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'Sheet'!$A$1:$W$499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0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91BF4D"/>
        <bgColor rgb="FF91BF4D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pivotButton="0" quotePrefix="0" xfId="0"/>
    <xf numFmtId="0" fontId="2" fillId="0" borderId="0" pivotButton="0" quotePrefix="0" xfId="1"/>
    <xf numFmtId="0" fontId="0" fillId="2" borderId="0" pivotButton="0" quotePrefix="0" xfId="0"/>
    <xf numFmtId="0" fontId="1" fillId="3" borderId="0" pivotButton="0" quotePrefix="0" xfId="0"/>
    <xf numFmtId="0" fontId="0" fillId="3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99"/>
  <sheetViews>
    <sheetView tabSelected="1" workbookViewId="0">
      <pane ySplit="1" topLeftCell="A497" activePane="bottomLeft" state="frozen"/>
      <selection pane="bottomLeft" activeCell="C474" sqref="C474"/>
    </sheetView>
  </sheetViews>
  <sheetFormatPr baseColWidth="8" defaultRowHeight="75" customHeight="1"/>
  <cols>
    <col width="4.28515625" customWidth="1" min="1" max="1"/>
    <col width="18.28515625" customWidth="1" min="3" max="3"/>
    <col width="25.140625" customWidth="1" min="4" max="4"/>
    <col width="30.7109375" customWidth="1" min="7" max="8"/>
  </cols>
  <sheetData>
    <row r="1" ht="18" customFormat="1" customHeight="1" s="4">
      <c r="A1" s="3" t="inlineStr">
        <is>
          <t>url</t>
        </is>
      </c>
      <c r="B1" s="3" t="inlineStr">
        <is>
          <t>canonicalUrl</t>
        </is>
      </c>
      <c r="C1" s="3" t="inlineStr">
        <is>
          <t>name</t>
        </is>
      </c>
      <c r="D1" s="3" t="inlineStr">
        <is>
          <t>Amazon Product Title</t>
        </is>
      </c>
      <c r="E1" s="3" t="inlineStr">
        <is>
          <t>Amazon Product URL</t>
        </is>
      </c>
      <c r="F1" s="3" t="inlineStr">
        <is>
          <t>ASIN</t>
        </is>
      </c>
      <c r="G1" s="3" t="inlineStr">
        <is>
          <t>Source Image</t>
        </is>
      </c>
      <c r="H1" s="3" t="inlineStr">
        <is>
          <t>Amazon Image</t>
        </is>
      </c>
      <c r="I1" s="3" t="inlineStr">
        <is>
          <t>Qualified?</t>
        </is>
      </c>
      <c r="J1" s="3" t="inlineStr">
        <is>
          <t>Notes</t>
        </is>
      </c>
      <c r="K1" s="3" t="inlineStr">
        <is>
          <t>offers/0/price</t>
        </is>
      </c>
      <c r="L1" s="3" t="inlineStr">
        <is>
          <t>Amazon Price</t>
        </is>
      </c>
      <c r="M1" s="3" t="inlineStr">
        <is>
          <t>ROI</t>
        </is>
      </c>
      <c r="N1" s="3" t="inlineStr">
        <is>
          <t>Rating</t>
        </is>
      </c>
      <c r="O1" s="3" t="inlineStr">
        <is>
          <t>ReviewCount</t>
        </is>
      </c>
      <c r="P1" s="3" t="inlineStr">
        <is>
          <t>offerCount</t>
        </is>
      </c>
      <c r="Q1" s="3" t="inlineStr">
        <is>
          <t>offers/0/availability</t>
        </is>
      </c>
      <c r="R1" s="3" t="inlineStr">
        <is>
          <t>offers/0/regularPrice</t>
        </is>
      </c>
      <c r="S1" s="3" t="inlineStr">
        <is>
          <t>sku</t>
        </is>
      </c>
      <c r="T1" s="3" t="inlineStr">
        <is>
          <t>Match?</t>
        </is>
      </c>
      <c r="U1" s="3" t="inlineStr">
        <is>
          <t>Qualified?</t>
        </is>
      </c>
      <c r="V1" s="3" t="inlineStr">
        <is>
          <t>Approved</t>
        </is>
      </c>
      <c r="W1" s="3" t="inlineStr">
        <is>
          <t>Notes</t>
        </is>
      </c>
    </row>
    <row r="2" ht="75" customHeight="1">
      <c r="A2" s="1">
        <f>HYPERLINK("https://www.als.com/adidas-w-shoe-puremotion-20/p?skuId=1285868", "https://www.als.com/adidas-w-shoe-puremotion-20/p?skuId=1285868")</f>
        <v/>
      </c>
      <c r="B2" s="1">
        <f>HYPERLINK("https://www.als.com/adidas-w-shoe-puremotion-20/p", "https://www.als.com/adidas-w-shoe-puremotion-20/p")</f>
        <v/>
      </c>
      <c r="C2" t="inlineStr">
        <is>
          <t>adidas Puremotion 2.0 Shoe - Women's</t>
        </is>
      </c>
      <c r="D2" t="inlineStr">
        <is>
          <t>adidas Women's Puremotion Se Running Shoe</t>
        </is>
      </c>
      <c r="E2" s="1">
        <f>HYPERLINK("https://www.amazon.com/adidas-Womens-Puremotion-Running-Almost/dp/B098SJMVC9/ref=sr_1_8?keywords=adidas+Puremotion+2.0+Shoe+-+Women%27s&amp;qid=1695763861&amp;sr=8-8", "https://www.amazon.com/adidas-Womens-Puremotion-Running-Almost/dp/B098SJMVC9/ref=sr_1_8?keywords=adidas+Puremotion+2.0+Shoe+-+Women%27s&amp;qid=1695763861&amp;sr=8-8")</f>
        <v/>
      </c>
      <c r="F2" t="inlineStr">
        <is>
          <t>B098SJMVC9</t>
        </is>
      </c>
      <c r="G2">
        <f>_xlfn.IMAGE("https://alssports.vtexassets.com/arquivos/ids/1251662-800-auto?v=638131122107400000&amp;width=800&amp;height=auto&amp;aspect=true")</f>
        <v/>
      </c>
      <c r="H2">
        <f>_xlfn.IMAGE("https://m.media-amazon.com/images/I/619BsGOKc4L._AC_UL320_.jpg")</f>
        <v/>
      </c>
      <c r="K2" t="inlineStr">
        <is>
          <t>29.98</t>
        </is>
      </c>
      <c r="L2" t="n">
        <v>58</v>
      </c>
      <c r="M2" s="2" t="inlineStr">
        <is>
          <t>93.46%</t>
        </is>
      </c>
      <c r="N2" t="n">
        <v>4.4</v>
      </c>
      <c r="O2" t="n">
        <v>115</v>
      </c>
      <c r="Q2" t="inlineStr">
        <is>
          <t>InStock</t>
        </is>
      </c>
      <c r="R2" t="inlineStr">
        <is>
          <t>74.95</t>
        </is>
      </c>
      <c r="S2" t="inlineStr">
        <is>
          <t>1285868</t>
        </is>
      </c>
    </row>
    <row r="3" ht="75" customHeight="1">
      <c r="A3" s="1">
        <f>HYPERLINK("https://www.als.com/adidas-w-shoe-puremotion-20/p?skuId=1285868", "https://www.als.com/adidas-w-shoe-puremotion-20/p?skuId=1285868")</f>
        <v/>
      </c>
      <c r="B3" s="1">
        <f>HYPERLINK("https://www.als.com/adidas-w-shoe-puremotion-20/p", "https://www.als.com/adidas-w-shoe-puremotion-20/p")</f>
        <v/>
      </c>
      <c r="C3" t="inlineStr">
        <is>
          <t>adidas Puremotion 2.0 Shoe - Women's</t>
        </is>
      </c>
      <c r="D3" t="inlineStr">
        <is>
          <t>adidas Women's Puremotion Super Running Shoe</t>
        </is>
      </c>
      <c r="E3" s="1">
        <f>HYPERLINK("https://www.amazon.com/adidas-Womens-Puremotion-Running-Purple/dp/B098SL6VV4/ref=sr_1_6?keywords=adidas+Puremotion+2.0+Shoe+-+Women%27s&amp;qid=1695763861&amp;sr=8-6", "https://www.amazon.com/adidas-Womens-Puremotion-Running-Purple/dp/B098SL6VV4/ref=sr_1_6?keywords=adidas+Puremotion+2.0+Shoe+-+Women%27s&amp;qid=1695763861&amp;sr=8-6")</f>
        <v/>
      </c>
      <c r="F3" t="inlineStr">
        <is>
          <t>B098SL6VV4</t>
        </is>
      </c>
      <c r="G3">
        <f>_xlfn.IMAGE("https://alssports.vtexassets.com/arquivos/ids/1251662-800-auto?v=638131122107400000&amp;width=800&amp;height=auto&amp;aspect=true")</f>
        <v/>
      </c>
      <c r="H3">
        <f>_xlfn.IMAGE("https://m.media-amazon.com/images/I/71uqXdiXUjL._AC_UL320_.jpg")</f>
        <v/>
      </c>
      <c r="K3" t="inlineStr">
        <is>
          <t>29.98</t>
        </is>
      </c>
      <c r="L3" t="n">
        <v>56.39</v>
      </c>
      <c r="M3" s="2" t="inlineStr">
        <is>
          <t>88.09%</t>
        </is>
      </c>
      <c r="N3" t="n">
        <v>4.2</v>
      </c>
      <c r="O3" t="n">
        <v>177</v>
      </c>
      <c r="Q3" t="inlineStr">
        <is>
          <t>InStock</t>
        </is>
      </c>
      <c r="R3" t="inlineStr">
        <is>
          <t>74.95</t>
        </is>
      </c>
      <c r="S3" t="inlineStr">
        <is>
          <t>1285868</t>
        </is>
      </c>
    </row>
    <row r="4" ht="75" customHeight="1">
      <c r="A4" s="1">
        <f>HYPERLINK("https://www.als.com/adidas-w-shoe-puremotion-20/p?skuId=1285868", "https://www.als.com/adidas-w-shoe-puremotion-20/p?skuId=1285868")</f>
        <v/>
      </c>
      <c r="B4" s="1">
        <f>HYPERLINK("https://www.als.com/adidas-w-shoe-puremotion-20/p", "https://www.als.com/adidas-w-shoe-puremotion-20/p")</f>
        <v/>
      </c>
      <c r="C4" t="inlineStr">
        <is>
          <t>adidas Puremotion 2.0 Shoe - Women's</t>
        </is>
      </c>
      <c r="D4" t="inlineStr">
        <is>
          <t>adidas Women's Puremotion Adapt 2.0 Running Shoe</t>
        </is>
      </c>
      <c r="E4" s="1">
        <f>HYPERLINK("https://www.amazon.com/adidas-Womens-Puremotion-Adapt-Running/dp/B09KP2LTF8/ref=sr_1_1?keywords=adidas+Puremotion+2.0+Shoe+-+Women%27s&amp;qid=1695763861&amp;sr=8-1", "https://www.amazon.com/adidas-Womens-Puremotion-Adapt-Running/dp/B09KP2LTF8/ref=sr_1_1?keywords=adidas+Puremotion+2.0+Shoe+-+Women%27s&amp;qid=1695763861&amp;sr=8-1")</f>
        <v/>
      </c>
      <c r="F4" t="inlineStr">
        <is>
          <t>B09KP2LTF8</t>
        </is>
      </c>
      <c r="G4">
        <f>_xlfn.IMAGE("https://alssports.vtexassets.com/arquivos/ids/1251662-800-auto?v=638131122107400000&amp;width=800&amp;height=auto&amp;aspect=true")</f>
        <v/>
      </c>
      <c r="H4">
        <f>_xlfn.IMAGE("https://m.media-amazon.com/images/I/71Us-E19RxL._AC_UL320_.jpg")</f>
        <v/>
      </c>
      <c r="K4" t="inlineStr">
        <is>
          <t>29.98</t>
        </is>
      </c>
      <c r="L4" t="n">
        <v>50.27</v>
      </c>
      <c r="M4" s="2" t="inlineStr">
        <is>
          <t>67.68%</t>
        </is>
      </c>
      <c r="N4" t="n">
        <v>4.3</v>
      </c>
      <c r="O4" t="n">
        <v>1069</v>
      </c>
      <c r="Q4" t="inlineStr">
        <is>
          <t>InStock</t>
        </is>
      </c>
      <c r="R4" t="inlineStr">
        <is>
          <t>74.95</t>
        </is>
      </c>
      <c r="S4" t="inlineStr">
        <is>
          <t>1285868</t>
        </is>
      </c>
    </row>
    <row r="5" ht="75" customHeight="1">
      <c r="A5" s="1">
        <f>HYPERLINK("https://www.als.com/adidas-w-shoe-puremotion-20/p?skuId=1285868", "https://www.als.com/adidas-w-shoe-puremotion-20/p?skuId=1285868")</f>
        <v/>
      </c>
      <c r="B5" s="1">
        <f>HYPERLINK("https://www.als.com/adidas-w-shoe-puremotion-20/p", "https://www.als.com/adidas-w-shoe-puremotion-20/p")</f>
        <v/>
      </c>
      <c r="C5" t="inlineStr">
        <is>
          <t>adidas Puremotion 2.0 Shoe - Women's</t>
        </is>
      </c>
      <c r="D5" t="inlineStr">
        <is>
          <t>adidas Women's Puremotion Running Shoe</t>
        </is>
      </c>
      <c r="E5" s="1">
        <f>HYPERLINK("https://www.amazon.com/adidas-Womens-Puremotion-Black-White/dp/B087KMHJXN/ref=sr_1_3?keywords=adidas+Puremotion+2.0+Shoe+-+Women%27s&amp;qid=1695763861&amp;sr=8-3", "https://www.amazon.com/adidas-Womens-Puremotion-Black-White/dp/B087KMHJXN/ref=sr_1_3?keywords=adidas+Puremotion+2.0+Shoe+-+Women%27s&amp;qid=1695763861&amp;sr=8-3")</f>
        <v/>
      </c>
      <c r="F5" t="inlineStr">
        <is>
          <t>B087KMHJXN</t>
        </is>
      </c>
      <c r="G5">
        <f>_xlfn.IMAGE("https://alssports.vtexassets.com/arquivos/ids/1251662-800-auto?v=638131122107400000&amp;width=800&amp;height=auto&amp;aspect=true")</f>
        <v/>
      </c>
      <c r="H5">
        <f>_xlfn.IMAGE("https://m.media-amazon.com/images/I/81dcREypkBL._AC_UL320_.jpg")</f>
        <v/>
      </c>
      <c r="K5" t="inlineStr">
        <is>
          <t>29.98</t>
        </is>
      </c>
      <c r="L5" t="n">
        <v>49.99</v>
      </c>
      <c r="M5" s="2" t="inlineStr">
        <is>
          <t>66.74%</t>
        </is>
      </c>
      <c r="N5" t="n">
        <v>4.5</v>
      </c>
      <c r="O5" t="n">
        <v>9309</v>
      </c>
      <c r="Q5" t="inlineStr">
        <is>
          <t>InStock</t>
        </is>
      </c>
      <c r="R5" t="inlineStr">
        <is>
          <t>74.95</t>
        </is>
      </c>
      <c r="S5" t="inlineStr">
        <is>
          <t>1285868</t>
        </is>
      </c>
    </row>
    <row r="6" ht="75" customHeight="1">
      <c r="A6" s="1">
        <f>HYPERLINK("https://www.als.com/brooks-ms-shoe-ghost-14/p?skuId=858980", "https://www.als.com/brooks-ms-shoe-ghost-14/p?skuId=858980")</f>
        <v/>
      </c>
      <c r="B6" s="1">
        <f>HYPERLINK("https://www.als.com/brooks-ms-shoe-ghost-14/p", "https://www.als.com/brooks-ms-shoe-ghost-14/p")</f>
        <v/>
      </c>
      <c r="C6" t="inlineStr">
        <is>
          <t>Brooks Ghost 14 Running Shoe - Men's</t>
        </is>
      </c>
      <c r="D6" t="inlineStr">
        <is>
          <t>Brooks Men's Ghost 15 GTX Waterproof Neutral Running Shoe</t>
        </is>
      </c>
      <c r="E6" s="1">
        <f>HYPERLINK("https://www.amazon.com/Brooks-Ghost-Waterproof-Neutral-Running/dp/B0BMT76D9F/ref=sr_1_5?keywords=Brooks+Ghost+14+Running+Shoe+-+Men%27s&amp;qid=1695763861&amp;sr=8-5", "https://www.amazon.com/Brooks-Ghost-Waterproof-Neutral-Running/dp/B0BMT76D9F/ref=sr_1_5?keywords=Brooks+Ghost+14+Running+Shoe+-+Men%27s&amp;qid=1695763861&amp;sr=8-5")</f>
        <v/>
      </c>
      <c r="F6" t="inlineStr">
        <is>
          <t>B0BMT76D9F</t>
        </is>
      </c>
      <c r="G6">
        <f>_xlfn.IMAGE("https://alssports.vtexassets.com/arquivos/ids/1294686-800-auto?v=638170218784500000&amp;width=800&amp;height=auto&amp;aspect=true")</f>
        <v/>
      </c>
      <c r="H6">
        <f>_xlfn.IMAGE("https://m.media-amazon.com/images/I/710NY1ul6yL._AC_UL320_.jpg")</f>
        <v/>
      </c>
      <c r="K6" t="inlineStr">
        <is>
          <t>69.95</t>
        </is>
      </c>
      <c r="L6" t="n">
        <v>169.95</v>
      </c>
      <c r="M6" s="2" t="inlineStr">
        <is>
          <t>142.96%</t>
        </is>
      </c>
      <c r="N6" t="n">
        <v>5</v>
      </c>
      <c r="O6" t="n">
        <v>3</v>
      </c>
      <c r="Q6" t="inlineStr">
        <is>
          <t>InStock</t>
        </is>
      </c>
      <c r="R6" t="inlineStr">
        <is>
          <t>139.95</t>
        </is>
      </c>
      <c r="S6" t="inlineStr">
        <is>
          <t>858980</t>
        </is>
      </c>
    </row>
    <row r="7" ht="75" customHeight="1">
      <c r="A7" s="1">
        <f>HYPERLINK("https://www.als.com/brooks-ms-shoe-ghost-14/p?skuId=858980", "https://www.als.com/brooks-ms-shoe-ghost-14/p?skuId=858980")</f>
        <v/>
      </c>
      <c r="B7" s="1">
        <f>HYPERLINK("https://www.als.com/brooks-ms-shoe-ghost-14/p", "https://www.als.com/brooks-ms-shoe-ghost-14/p")</f>
        <v/>
      </c>
      <c r="C7" t="inlineStr">
        <is>
          <t>Brooks Ghost 14 Running Shoe - Men's</t>
        </is>
      </c>
      <c r="D7" t="inlineStr">
        <is>
          <t>Brooks Men's Ghost 13 Running Shoe</t>
        </is>
      </c>
      <c r="E7" s="1">
        <f>HYPERLINK("https://www.amazon.com/Brooks-Mens-Ghost-Running-Shoe/dp/B083WDWD4C/ref=sr_1_4?keywords=Brooks+Ghost+14+Running+Shoe+-+Men%27s&amp;qid=1695763861&amp;sr=8-4", "https://www.amazon.com/Brooks-Mens-Ghost-Running-Shoe/dp/B083WDWD4C/ref=sr_1_4?keywords=Brooks+Ghost+14+Running+Shoe+-+Men%27s&amp;qid=1695763861&amp;sr=8-4")</f>
        <v/>
      </c>
      <c r="F7" t="inlineStr">
        <is>
          <t>B083WDWD4C</t>
        </is>
      </c>
      <c r="G7">
        <f>_xlfn.IMAGE("https://alssports.vtexassets.com/arquivos/ids/1294686-800-auto?v=638170218784500000&amp;width=800&amp;height=auto&amp;aspect=true")</f>
        <v/>
      </c>
      <c r="H7">
        <f>_xlfn.IMAGE("https://m.media-amazon.com/images/I/81DQ3CCRi7L._AC_UL320_.jpg")</f>
        <v/>
      </c>
      <c r="K7" t="inlineStr">
        <is>
          <t>69.95</t>
        </is>
      </c>
      <c r="L7" t="n">
        <v>151.3</v>
      </c>
      <c r="M7" s="2" t="inlineStr">
        <is>
          <t>116.30%</t>
        </is>
      </c>
      <c r="N7" t="n">
        <v>4.7</v>
      </c>
      <c r="O7" t="n">
        <v>17620</v>
      </c>
      <c r="Q7" t="inlineStr">
        <is>
          <t>InStock</t>
        </is>
      </c>
      <c r="R7" t="inlineStr">
        <is>
          <t>139.95</t>
        </is>
      </c>
      <c r="S7" t="inlineStr">
        <is>
          <t>858980</t>
        </is>
      </c>
    </row>
    <row r="8" ht="75" customHeight="1">
      <c r="A8" s="1">
        <f>HYPERLINK("https://www.als.com/brooks-ms-shoe-ghost-14/p?skuId=858980", "https://www.als.com/brooks-ms-shoe-ghost-14/p?skuId=858980")</f>
        <v/>
      </c>
      <c r="B8" s="1">
        <f>HYPERLINK("https://www.als.com/brooks-ms-shoe-ghost-14/p", "https://www.als.com/brooks-ms-shoe-ghost-14/p")</f>
        <v/>
      </c>
      <c r="C8" t="inlineStr">
        <is>
          <t>Brooks Ghost 14 Running Shoe - Men's</t>
        </is>
      </c>
      <c r="D8" t="inlineStr">
        <is>
          <t>Brooks Men's Ghost 15 Neutral Running Shoe</t>
        </is>
      </c>
      <c r="E8" s="1">
        <f>HYPERLINK("https://www.amazon.com/Brooks-Mens-Ghost-Neutral-Running/dp/B09RRXQPNJ/ref=sr_1_2?keywords=Brooks+Ghost+14+Running+Shoe+-+Men%27s&amp;qid=1695763861&amp;sr=8-2", "https://www.amazon.com/Brooks-Mens-Ghost-Neutral-Running/dp/B09RRXQPNJ/ref=sr_1_2?keywords=Brooks+Ghost+14+Running+Shoe+-+Men%27s&amp;qid=1695763861&amp;sr=8-2")</f>
        <v/>
      </c>
      <c r="F8" t="inlineStr">
        <is>
          <t>B09RRXQPNJ</t>
        </is>
      </c>
      <c r="G8">
        <f>_xlfn.IMAGE("https://alssports.vtexassets.com/arquivos/ids/1294686-800-auto?v=638170218784500000&amp;width=800&amp;height=auto&amp;aspect=true")</f>
        <v/>
      </c>
      <c r="H8">
        <f>_xlfn.IMAGE("https://m.media-amazon.com/images/I/71XjYtwZNRL._AC_UL320_.jpg")</f>
        <v/>
      </c>
      <c r="K8" t="inlineStr">
        <is>
          <t>69.95</t>
        </is>
      </c>
      <c r="L8" t="n">
        <v>139.95</v>
      </c>
      <c r="M8" s="2" t="inlineStr">
        <is>
          <t>100.07%</t>
        </is>
      </c>
      <c r="N8" t="n">
        <v>4.7</v>
      </c>
      <c r="O8" t="n">
        <v>2496</v>
      </c>
      <c r="Q8" t="inlineStr">
        <is>
          <t>InStock</t>
        </is>
      </c>
      <c r="R8" t="inlineStr">
        <is>
          <t>139.95</t>
        </is>
      </c>
      <c r="S8" t="inlineStr">
        <is>
          <t>858980</t>
        </is>
      </c>
    </row>
    <row r="9" ht="75" customHeight="1">
      <c r="A9" s="1">
        <f>HYPERLINK("https://www.als.com/brooks-ms-shoe-ghost-14/p?skuId=858980", "https://www.als.com/brooks-ms-shoe-ghost-14/p?skuId=858980")</f>
        <v/>
      </c>
      <c r="B9" s="1">
        <f>HYPERLINK("https://www.als.com/brooks-ms-shoe-ghost-14/p", "https://www.als.com/brooks-ms-shoe-ghost-14/p")</f>
        <v/>
      </c>
      <c r="C9" t="inlineStr">
        <is>
          <t>Brooks Ghost 14 Running Shoe - Men's</t>
        </is>
      </c>
      <c r="D9" t="inlineStr">
        <is>
          <t>Brooks Women's Ghost 14 GTX Waterproof Neutral Running Shoe</t>
        </is>
      </c>
      <c r="E9" s="1">
        <f>HYPERLINK("https://www.amazon.com/Brooks-Ghost-Black-Blackened-Aquaglass/dp/B097F2HSZC/ref=sr_1_10?keywords=Brooks+Ghost+14+Running+Shoe+-+Men%27s&amp;qid=1695763861&amp;sr=8-10", "https://www.amazon.com/Brooks-Ghost-Black-Blackened-Aquaglass/dp/B097F2HSZC/ref=sr_1_10?keywords=Brooks+Ghost+14+Running+Shoe+-+Men%27s&amp;qid=1695763861&amp;sr=8-10")</f>
        <v/>
      </c>
      <c r="F9" t="inlineStr">
        <is>
          <t>B097F2HSZC</t>
        </is>
      </c>
      <c r="G9">
        <f>_xlfn.IMAGE("https://alssports.vtexassets.com/arquivos/ids/1294686-800-auto?v=638170218784500000&amp;width=800&amp;height=auto&amp;aspect=true")</f>
        <v/>
      </c>
      <c r="H9">
        <f>_xlfn.IMAGE("https://m.media-amazon.com/images/I/91t6dNAz7yL._AC_UL320_.jpg")</f>
        <v/>
      </c>
      <c r="K9" t="inlineStr">
        <is>
          <t>69.95</t>
        </is>
      </c>
      <c r="L9" t="n">
        <v>119.95</v>
      </c>
      <c r="M9" s="2" t="inlineStr">
        <is>
          <t>71.48%</t>
        </is>
      </c>
      <c r="N9" t="n">
        <v>4.3</v>
      </c>
      <c r="O9" t="n">
        <v>637</v>
      </c>
      <c r="Q9" t="inlineStr">
        <is>
          <t>InStock</t>
        </is>
      </c>
      <c r="R9" t="inlineStr">
        <is>
          <t>139.95</t>
        </is>
      </c>
      <c r="S9" t="inlineStr">
        <is>
          <t>858980</t>
        </is>
      </c>
    </row>
    <row r="10" ht="75" customHeight="1">
      <c r="A10" s="1">
        <f>HYPERLINK("https://www.als.com/brooks-ms-shoe-ghost-14/p?skuId=858980", "https://www.als.com/brooks-ms-shoe-ghost-14/p?skuId=858980")</f>
        <v/>
      </c>
      <c r="B10" s="1">
        <f>HYPERLINK("https://www.als.com/brooks-ms-shoe-ghost-14/p", "https://www.als.com/brooks-ms-shoe-ghost-14/p")</f>
        <v/>
      </c>
      <c r="C10" t="inlineStr">
        <is>
          <t>Brooks Ghost 14 Running Shoe - Men's</t>
        </is>
      </c>
      <c r="D10" t="inlineStr">
        <is>
          <t>Brooks Men's Ghost 14 GTX Waterproof Neutral Running Shoe</t>
        </is>
      </c>
      <c r="E10" s="1">
        <f>HYPERLINK("https://www.amazon.com/Brooks-Ghost-Black-Blackened-High-Risk/dp/B097F1M932/ref=sr_1_3?keywords=Brooks+Ghost+14+Running+Shoe+-+Men%27s&amp;qid=1695763861&amp;sr=8-3", "https://www.amazon.com/Brooks-Ghost-Black-Blackened-High-Risk/dp/B097F1M932/ref=sr_1_3?keywords=Brooks+Ghost+14+Running+Shoe+-+Men%27s&amp;qid=1695763861&amp;sr=8-3")</f>
        <v/>
      </c>
      <c r="F10" t="inlineStr">
        <is>
          <t>B097F1M932</t>
        </is>
      </c>
      <c r="G10">
        <f>_xlfn.IMAGE("https://alssports.vtexassets.com/arquivos/ids/1294686-800-auto?v=638170218784500000&amp;width=800&amp;height=auto&amp;aspect=true")</f>
        <v/>
      </c>
      <c r="H10">
        <f>_xlfn.IMAGE("https://m.media-amazon.com/images/I/91AcdiNGaCL._AC_UL320_.jpg")</f>
        <v/>
      </c>
      <c r="K10" t="inlineStr">
        <is>
          <t>69.95</t>
        </is>
      </c>
      <c r="L10" t="n">
        <v>119.95</v>
      </c>
      <c r="M10" s="2" t="inlineStr">
        <is>
          <t>71.48%</t>
        </is>
      </c>
      <c r="N10" t="n">
        <v>4.4</v>
      </c>
      <c r="O10" t="n">
        <v>682</v>
      </c>
      <c r="Q10" t="inlineStr">
        <is>
          <t>InStock</t>
        </is>
      </c>
      <c r="R10" t="inlineStr">
        <is>
          <t>139.95</t>
        </is>
      </c>
      <c r="S10" t="inlineStr">
        <is>
          <t>858980</t>
        </is>
      </c>
    </row>
    <row r="11" ht="75" customHeight="1">
      <c r="A11" s="1">
        <f>HYPERLINK("https://www.als.com/experi-sock-silver-no-show-liner/p?skuId=1280356", "https://www.als.com/experi-sock-silver-no-show-liner/p?skuId=1280356")</f>
        <v/>
      </c>
      <c r="B11" s="1">
        <f>HYPERLINK("https://www.als.com/experi-sock-silver-no-show-liner/p", "https://www.als.com/experi-sock-silver-no-show-liner/p")</f>
        <v/>
      </c>
      <c r="C11" t="inlineStr">
        <is>
          <t>Thorlos Experia Thorlo Experia Silver No Show Liner Sock</t>
        </is>
      </c>
      <c r="D11" t="inlineStr">
        <is>
          <t>Thorlos womens Green Experia No Show Sock Liners</t>
        </is>
      </c>
      <c r="E11" s="1">
        <f>HYPERLINK("https://www.amazon.com/thorlos-unisex-Experia-Liners-Running/dp/B098KXZ5VN/ref=sr_1_3?keywords=Thorlos+Experia+Thorlo+Experia+Silver+No+Show+Liner+Sock&amp;qid=1695763867&amp;sr=8-3", "https://www.amazon.com/thorlos-unisex-Experia-Liners-Running/dp/B098KXZ5VN/ref=sr_1_3?keywords=Thorlos+Experia+Thorlo+Experia+Silver+No+Show+Liner+Sock&amp;qid=1695763867&amp;sr=8-3")</f>
        <v/>
      </c>
      <c r="F11" t="inlineStr">
        <is>
          <t>B098KXZ5VN</t>
        </is>
      </c>
      <c r="G11">
        <f>_xlfn.IMAGE("https://alssports.vtexassets.com/arquivos/ids/1190028-800-auto?v=638060391058530000&amp;width=800&amp;height=auto&amp;aspect=true")</f>
        <v/>
      </c>
      <c r="H11">
        <f>_xlfn.IMAGE("https://m.media-amazon.com/images/I/71Mhvk113ZL._AC_UL320_.jpg")</f>
        <v/>
      </c>
      <c r="K11" t="inlineStr">
        <is>
          <t>2.99</t>
        </is>
      </c>
      <c r="L11" t="n">
        <v>39.35</v>
      </c>
      <c r="M11" s="2" t="inlineStr">
        <is>
          <t>1216.05%</t>
        </is>
      </c>
      <c r="N11" t="n">
        <v>4.4</v>
      </c>
      <c r="O11" t="n">
        <v>36</v>
      </c>
      <c r="Q11" t="inlineStr">
        <is>
          <t>InStock</t>
        </is>
      </c>
      <c r="R11" t="inlineStr">
        <is>
          <t>12.99</t>
        </is>
      </c>
      <c r="S11" t="inlineStr">
        <is>
          <t>1280356</t>
        </is>
      </c>
    </row>
    <row r="12" ht="75" customHeight="1">
      <c r="A12" s="1">
        <f>HYPERLINK("https://www.als.com/experi-sock-silver-no-show-liner/p?skuId=1280356", "https://www.als.com/experi-sock-silver-no-show-liner/p?skuId=1280356")</f>
        <v/>
      </c>
      <c r="B12" s="1">
        <f>HYPERLINK("https://www.als.com/experi-sock-silver-no-show-liner/p", "https://www.als.com/experi-sock-silver-no-show-liner/p")</f>
        <v/>
      </c>
      <c r="C12" t="inlineStr">
        <is>
          <t>Thorlos Experia Thorlo Experia Silver No Show Liner Sock</t>
        </is>
      </c>
      <c r="D12" t="inlineStr">
        <is>
          <t>Thorlos Experia Unisex Prolite Xptu Ultra Thin Cushion No Show Socks</t>
        </is>
      </c>
      <c r="E12" s="1">
        <f>HYPERLINK("https://www.amazon.com/Thorlos-Experia-Unisex-XPTU-Running/dp/B07BH3WQBF/ref=sr_1_4?keywords=Thorlos+Experia+Thorlo+Experia+Silver+No+Show+Liner+Sock&amp;qid=1695763867&amp;sr=8-4", "https://www.amazon.com/Thorlos-Experia-Unisex-XPTU-Running/dp/B07BH3WQBF/ref=sr_1_4?keywords=Thorlos+Experia+Thorlo+Experia+Silver+No+Show+Liner+Sock&amp;qid=1695763867&amp;sr=8-4")</f>
        <v/>
      </c>
      <c r="F12" t="inlineStr">
        <is>
          <t>B07BH3WQBF</t>
        </is>
      </c>
      <c r="G12">
        <f>_xlfn.IMAGE("https://alssports.vtexassets.com/arquivos/ids/1190028-800-auto?v=638060391058530000&amp;width=800&amp;height=auto&amp;aspect=true")</f>
        <v/>
      </c>
      <c r="H12">
        <f>_xlfn.IMAGE("https://m.media-amazon.com/images/I/71ug9TlyNgL._AC_UL320_.jpg")</f>
        <v/>
      </c>
      <c r="K12" t="inlineStr">
        <is>
          <t>2.99</t>
        </is>
      </c>
      <c r="L12" t="n">
        <v>16.17</v>
      </c>
      <c r="M12" s="2" t="inlineStr">
        <is>
          <t>440.80%</t>
        </is>
      </c>
      <c r="N12" t="n">
        <v>4.5</v>
      </c>
      <c r="O12" t="n">
        <v>647</v>
      </c>
      <c r="Q12" t="inlineStr">
        <is>
          <t>InStock</t>
        </is>
      </c>
      <c r="R12" t="inlineStr">
        <is>
          <t>12.99</t>
        </is>
      </c>
      <c r="S12" t="inlineStr">
        <is>
          <t>1280356</t>
        </is>
      </c>
    </row>
    <row r="13" ht="75" customHeight="1">
      <c r="A13" s="1">
        <f>HYPERLINK("https://www.als.com/fiskar-pro-isocore-hammer/p?skuId=1392843", "https://www.als.com/fiskar-pro-isocore-hammer/p?skuId=1392843")</f>
        <v/>
      </c>
      <c r="B13" s="1">
        <f>HYPERLINK("https://www.als.com/fiskar-pro-isocore-hammer/p", "https://www.als.com/fiskar-pro-isocore-hammer/p")</f>
        <v/>
      </c>
      <c r="C13" t="inlineStr">
        <is>
          <t>Fiskars Pro IsoCore 20 Oz General Use 15.5" Hammer</t>
        </is>
      </c>
      <c r="D13" t="inlineStr">
        <is>
          <t>Fiskars 750230-1001 IsoCore 20 oz General Use Hammer, Carpenter Tools, Softgrip, Magnetic Nail Starter Groove, 15.5 inch,Black/Orange</t>
        </is>
      </c>
      <c r="E13" s="1">
        <f>HYPERLINK("https://www.amazon.com/Fiskars-750230-1001-Carpenter-Softgrip-Magnetic/dp/B01CDDTHA0/ref=sr_1_1?keywords=Fiskars+Pro+IsoCore+20+Oz+General+Use+15.5%22+Hammer&amp;qid=1695763861&amp;sr=8-1", "https://www.amazon.com/Fiskars-750230-1001-Carpenter-Softgrip-Magnetic/dp/B01CDDTHA0/ref=sr_1_1?keywords=Fiskars+Pro+IsoCore+20+Oz+General+Use+15.5%22+Hammer&amp;qid=1695763861&amp;sr=8-1")</f>
        <v/>
      </c>
      <c r="F13" t="inlineStr">
        <is>
          <t>B01CDDTHA0</t>
        </is>
      </c>
      <c r="G13">
        <f>_xlfn.IMAGE("https://alssports.vtexassets.com/arquivos/ids/1383114-800-auto?v=638253001299500000&amp;width=800&amp;height=auto&amp;aspect=true")</f>
        <v/>
      </c>
      <c r="H13">
        <f>_xlfn.IMAGE("https://m.media-amazon.com/images/I/41NQNxmpUKL._AC_UL320_.jpg")</f>
        <v/>
      </c>
      <c r="K13" t="inlineStr">
        <is>
          <t>7.99</t>
        </is>
      </c>
      <c r="L13" t="n">
        <v>33.58</v>
      </c>
      <c r="M13" s="2" t="inlineStr">
        <is>
          <t>320.28%</t>
        </is>
      </c>
      <c r="N13" t="n">
        <v>4.6</v>
      </c>
      <c r="O13" t="n">
        <v>1371</v>
      </c>
      <c r="Q13" t="inlineStr">
        <is>
          <t>InStock</t>
        </is>
      </c>
      <c r="R13" t="inlineStr">
        <is>
          <t>65.99</t>
        </is>
      </c>
      <c r="S13" t="inlineStr">
        <is>
          <t>1392843</t>
        </is>
      </c>
    </row>
    <row r="14" ht="75" customHeight="1">
      <c r="A14" s="1">
        <f>HYPERLINK("https://www.als.com/fiskar-snphps-flr-byp-4os/p?skuId=1425949", "https://www.als.com/fiskar-snphps-flr-byp-4os/p?skuId=1425949")</f>
        <v/>
      </c>
      <c r="B14" s="1">
        <f>HYPERLINK("https://www.als.com/fiskar-snphps-flr-byp-4os/p", "https://www.als.com/fiskar-snphps-flr-byp-4os/p")</f>
        <v/>
      </c>
      <c r="C14" t="inlineStr">
        <is>
          <t>Fiskars Floral Pruner</t>
        </is>
      </c>
      <c r="D14" t="inlineStr">
        <is>
          <t>Fiskars Solid Snip Pruner, Floral SP14, Length: 24cm, Steel Blades/Plastic Handle, 1051601, Orange/Black</t>
        </is>
      </c>
      <c r="E14" s="1">
        <f>HYPERLINK("https://www.amazon.com/Fiskars-1051601-Pruning-Shears-Orange/dp/B081S54YRV/ref=sr_1_3?keywords=Fiskars+Floral+Pruner&amp;qid=1695763863&amp;sr=8-3", "https://www.amazon.com/Fiskars-1051601-Pruning-Shears-Orange/dp/B081S54YRV/ref=sr_1_3?keywords=Fiskars+Floral+Pruner&amp;qid=1695763863&amp;sr=8-3")</f>
        <v/>
      </c>
      <c r="F14" t="inlineStr">
        <is>
          <t>B081S54YRV</t>
        </is>
      </c>
      <c r="G14">
        <f>_xlfn.IMAGE("https://alssports.vtexassets.com/arquivos/ids/1464396-800-auto?v=638303186786600000&amp;width=800&amp;height=auto&amp;aspect=true")</f>
        <v/>
      </c>
      <c r="H14">
        <f>_xlfn.IMAGE("https://m.media-amazon.com/images/I/51hRE0TNszL._AC_UL320_.jpg")</f>
        <v/>
      </c>
      <c r="J14" t="inlineStr">
        <is>
          <t>1 seller</t>
        </is>
      </c>
      <c r="K14" t="inlineStr">
        <is>
          <t>4.99</t>
        </is>
      </c>
      <c r="L14" t="n">
        <v>22.55</v>
      </c>
      <c r="M14" s="2" t="inlineStr">
        <is>
          <t>351.90%</t>
        </is>
      </c>
      <c r="N14" t="n">
        <v>4.5</v>
      </c>
      <c r="O14" t="n">
        <v>108</v>
      </c>
      <c r="Q14" t="inlineStr">
        <is>
          <t>InStock</t>
        </is>
      </c>
      <c r="R14" t="inlineStr">
        <is>
          <t>25.0</t>
        </is>
      </c>
      <c r="S14" t="inlineStr">
        <is>
          <t>1425949</t>
        </is>
      </c>
    </row>
    <row r="15" ht="75" customHeight="1">
      <c r="A15" s="1">
        <f>HYPERLINK("https://www.als.com/gerber-knife-controller-salt-fillet/p?skuId=1328019", "https://www.als.com/gerber-knife-controller-salt-fillet/p?skuId=1328019")</f>
        <v/>
      </c>
      <c r="B15" s="1">
        <f>HYPERLINK("https://www.als.com/gerber-knife-controller-salt-fillet/p", "https://www.als.com/gerber-knife-controller-salt-fillet/p")</f>
        <v/>
      </c>
      <c r="C15" t="inlineStr">
        <is>
          <t>Gerber Controller 6" Fillet Knife</t>
        </is>
      </c>
      <c r="D15" t="inlineStr">
        <is>
          <t>Gerber Gear Controller - Saltwater Fishing Fillet Knife for Fishing Gear - Cyan, 10 Inches</t>
        </is>
      </c>
      <c r="E15" s="1">
        <f>HYPERLINK("https://www.amazon.com/Gerber-Controller-Saltwater-Fillet-Knife/dp/B07P5GY8HC/ref=sr_1_5?keywords=Gerber+Controller+6%22+Fillet+Knife&amp;qid=1695763862&amp;sr=8-5", "https://www.amazon.com/Gerber-Controller-Saltwater-Fillet-Knife/dp/B07P5GY8HC/ref=sr_1_5?keywords=Gerber+Controller+6%22+Fillet+Knife&amp;qid=1695763862&amp;sr=8-5")</f>
        <v/>
      </c>
      <c r="F15" t="inlineStr">
        <is>
          <t>B07P5GY8HC</t>
        </is>
      </c>
      <c r="G15">
        <f>_xlfn.IMAGE("https://alssports.vtexassets.com/arquivos/ids/1353087-800-auto?v=638228956841400000&amp;width=800&amp;height=auto&amp;aspect=true")</f>
        <v/>
      </c>
      <c r="H15">
        <f>_xlfn.IMAGE("https://m.media-amazon.com/images/I/5142amU8UsL._AC_UL320_.jpg")</f>
        <v/>
      </c>
      <c r="K15" t="inlineStr">
        <is>
          <t>19.99</t>
        </is>
      </c>
      <c r="L15" t="n">
        <v>53</v>
      </c>
      <c r="M15" s="2" t="inlineStr">
        <is>
          <t>165.13%</t>
        </is>
      </c>
      <c r="N15" t="n">
        <v>4.6</v>
      </c>
      <c r="O15" t="n">
        <v>157</v>
      </c>
      <c r="Q15" t="inlineStr">
        <is>
          <t>InStock</t>
        </is>
      </c>
      <c r="R15" t="inlineStr">
        <is>
          <t>45.0</t>
        </is>
      </c>
      <c r="S15" t="inlineStr">
        <is>
          <t>1328019</t>
        </is>
      </c>
    </row>
    <row r="16" ht="75" customHeight="1">
      <c r="A16" s="1">
        <f>HYPERLINK("https://www.als.com/gerber-knife-controller-salt-fillet/p?skuId=1328019", "https://www.als.com/gerber-knife-controller-salt-fillet/p?skuId=1328019")</f>
        <v/>
      </c>
      <c r="B16" s="1">
        <f>HYPERLINK("https://www.als.com/gerber-knife-controller-salt-fillet/p", "https://www.als.com/gerber-knife-controller-salt-fillet/p")</f>
        <v/>
      </c>
      <c r="C16" t="inlineStr">
        <is>
          <t>Gerber Controller 6" Fillet Knife</t>
        </is>
      </c>
      <c r="D16" t="inlineStr">
        <is>
          <t>Gerber Gear Controller - Saltwater Fishing Fillet Knife for Fishing Gear - Cyan, 8 Inches</t>
        </is>
      </c>
      <c r="E16" s="1">
        <f>HYPERLINK("https://www.amazon.com/Gerber-Gear-Controller-Saltwater-Fillet/dp/B07P566PB7/ref=sr_1_4?keywords=Gerber+Controller+6%22+Fillet+Knife&amp;qid=1695763862&amp;sr=8-4", "https://www.amazon.com/Gerber-Gear-Controller-Saltwater-Fillet/dp/B07P566PB7/ref=sr_1_4?keywords=Gerber+Controller+6%22+Fillet+Knife&amp;qid=1695763862&amp;sr=8-4")</f>
        <v/>
      </c>
      <c r="F16" t="inlineStr">
        <is>
          <t>B07P566PB7</t>
        </is>
      </c>
      <c r="G16">
        <f>_xlfn.IMAGE("https://alssports.vtexassets.com/arquivos/ids/1353087-800-auto?v=638228956841400000&amp;width=800&amp;height=auto&amp;aspect=true")</f>
        <v/>
      </c>
      <c r="H16">
        <f>_xlfn.IMAGE("https://m.media-amazon.com/images/I/41RPVyicJTL._AC_UL320_.jpg")</f>
        <v/>
      </c>
      <c r="K16" t="inlineStr">
        <is>
          <t>19.99</t>
        </is>
      </c>
      <c r="L16" t="n">
        <v>42.98</v>
      </c>
      <c r="M16" s="2" t="inlineStr">
        <is>
          <t>115.01%</t>
        </is>
      </c>
      <c r="N16" t="n">
        <v>4.6</v>
      </c>
      <c r="O16" t="n">
        <v>169</v>
      </c>
      <c r="Q16" t="inlineStr">
        <is>
          <t>InStock</t>
        </is>
      </c>
      <c r="R16" t="inlineStr">
        <is>
          <t>45.0</t>
        </is>
      </c>
      <c r="S16" t="inlineStr">
        <is>
          <t>1328019</t>
        </is>
      </c>
    </row>
    <row r="17" ht="75" customHeight="1">
      <c r="A17" s="1">
        <f>HYPERLINK("https://www.als.com/gerber-knife-controller-salt-fillet/p?skuId=1328019", "https://www.als.com/gerber-knife-controller-salt-fillet/p?skuId=1328019")</f>
        <v/>
      </c>
      <c r="B17" s="1">
        <f>HYPERLINK("https://www.als.com/gerber-knife-controller-salt-fillet/p", "https://www.als.com/gerber-knife-controller-salt-fillet/p")</f>
        <v/>
      </c>
      <c r="C17" t="inlineStr">
        <is>
          <t>Gerber Controller 6" Fillet Knife</t>
        </is>
      </c>
      <c r="D17" t="inlineStr">
        <is>
          <t>Gerber Gear Controller - Saltwater Fishing Fillet Knife for Fishing Gear - Cyan, 6 Inches</t>
        </is>
      </c>
      <c r="E17" s="1">
        <f>HYPERLINK("https://www.amazon.com/Gerber-Controller-Folding-Fillet-Knife/dp/B085GLS5R2/ref=sr_1_2?keywords=Gerber+Controller+6%22+Fillet+Knife&amp;qid=1695763862&amp;sr=8-2", "https://www.amazon.com/Gerber-Controller-Folding-Fillet-Knife/dp/B085GLS5R2/ref=sr_1_2?keywords=Gerber+Controller+6%22+Fillet+Knife&amp;qid=1695763862&amp;sr=8-2")</f>
        <v/>
      </c>
      <c r="F17" t="inlineStr">
        <is>
          <t>B085GLS5R2</t>
        </is>
      </c>
      <c r="G17">
        <f>_xlfn.IMAGE("https://alssports.vtexassets.com/arquivos/ids/1353087-800-auto?v=638228956841400000&amp;width=800&amp;height=auto&amp;aspect=true")</f>
        <v/>
      </c>
      <c r="H17">
        <f>_xlfn.IMAGE("https://m.media-amazon.com/images/I/51UKANjcKiL._AC_UL320_.jpg")</f>
        <v/>
      </c>
      <c r="K17" t="inlineStr">
        <is>
          <t>19.99</t>
        </is>
      </c>
      <c r="L17" t="n">
        <v>33.9</v>
      </c>
      <c r="M17" s="2" t="inlineStr">
        <is>
          <t>69.58%</t>
        </is>
      </c>
      <c r="N17" t="n">
        <v>4.7</v>
      </c>
      <c r="O17" t="n">
        <v>154</v>
      </c>
      <c r="Q17" t="inlineStr">
        <is>
          <t>InStock</t>
        </is>
      </c>
      <c r="R17" t="inlineStr">
        <is>
          <t>45.0</t>
        </is>
      </c>
      <c r="S17" t="inlineStr">
        <is>
          <t>1328019</t>
        </is>
      </c>
    </row>
    <row r="18" ht="75" customHeight="1">
      <c r="A18" s="1">
        <f>HYPERLINK("https://www.als.com/hotchi-w-lil-mid-volume-sock/p?skuId=1274578", "https://www.als.com/hotchi-w-lil-mid-volume-sock/p?skuId=1274578")</f>
        <v/>
      </c>
      <c r="B18" s="1">
        <f>HYPERLINK("https://www.als.com/hotchi-w-lil-mid-volume-sock/p", "https://www.als.com/hotchi-w-lil-mid-volume-sock/p")</f>
        <v/>
      </c>
      <c r="C18" t="inlineStr">
        <is>
          <t>Hot Chillys Mid Volume Sock - Women's</t>
        </is>
      </c>
      <c r="D18" t="inlineStr">
        <is>
          <t>Hot Chillys Men's Elite Heat Mid Volume Sock</t>
        </is>
      </c>
      <c r="E18" s="1">
        <f>HYPERLINK("https://www.amazon.com/Hot-Chillys-Elite-Heat-Black/dp/B08F7JLB1K/ref=sr_1_4?keywords=Hot+Chillys+Mid+Volume+Sock+-+Women%27s&amp;qid=1695763862&amp;sr=8-4", "https://www.amazon.com/Hot-Chillys-Elite-Heat-Black/dp/B08F7JLB1K/ref=sr_1_4?keywords=Hot+Chillys+Mid+Volume+Sock+-+Women%27s&amp;qid=1695763862&amp;sr=8-4")</f>
        <v/>
      </c>
      <c r="F18" t="inlineStr">
        <is>
          <t>B08F7JLB1K</t>
        </is>
      </c>
      <c r="G18">
        <f>_xlfn.IMAGE("https://alssports.vtexassets.com/arquivos/ids/1414109-800-auto?v=638271953125230000&amp;width=800&amp;height=auto&amp;aspect=true")</f>
        <v/>
      </c>
      <c r="H18">
        <f>_xlfn.IMAGE("https://m.media-amazon.com/images/I/41z7pgLVy-L._AC_UL320_.jpg")</f>
        <v/>
      </c>
      <c r="K18" t="inlineStr">
        <is>
          <t>3.95</t>
        </is>
      </c>
      <c r="L18" t="n">
        <v>29.95</v>
      </c>
      <c r="M18" s="2" t="inlineStr">
        <is>
          <t>658.23%</t>
        </is>
      </c>
      <c r="N18" t="n">
        <v>5</v>
      </c>
      <c r="O18" t="n">
        <v>3</v>
      </c>
      <c r="Q18" t="inlineStr">
        <is>
          <t>InStock</t>
        </is>
      </c>
      <c r="R18" t="inlineStr">
        <is>
          <t>23.0</t>
        </is>
      </c>
      <c r="S18" t="inlineStr">
        <is>
          <t>1274578</t>
        </is>
      </c>
    </row>
    <row r="19" ht="75" customHeight="1">
      <c r="A19" s="1">
        <f>HYPERLINK("https://www.als.com/hotchi-w-lil-mid-volume-sock/p?skuId=1274578", "https://www.als.com/hotchi-w-lil-mid-volume-sock/p?skuId=1274578")</f>
        <v/>
      </c>
      <c r="B19" s="1">
        <f>HYPERLINK("https://www.als.com/hotchi-w-lil-mid-volume-sock/p", "https://www.als.com/hotchi-w-lil-mid-volume-sock/p")</f>
        <v/>
      </c>
      <c r="C19" t="inlineStr">
        <is>
          <t>Hot Chillys Mid Volume Sock - Women's</t>
        </is>
      </c>
      <c r="D19" t="inlineStr">
        <is>
          <t>Hot Chillys Women's Elite Mid Volume Lightweight Breathable Durable Moisture-Wicking Winter Sports Active Socks</t>
        </is>
      </c>
      <c r="E19" s="1">
        <f>HYPERLINK("https://www.amazon.com/Hot-Chillys-Elite-Heat-Black/dp/B08F6YT3HQ/ref=sr_1_2?keywords=Hot+Chillys+Mid+Volume+Sock+-+Women%27s&amp;qid=1695763862&amp;sr=8-2", "https://www.amazon.com/Hot-Chillys-Elite-Heat-Black/dp/B08F6YT3HQ/ref=sr_1_2?keywords=Hot+Chillys+Mid+Volume+Sock+-+Women%27s&amp;qid=1695763862&amp;sr=8-2")</f>
        <v/>
      </c>
      <c r="F19" t="inlineStr">
        <is>
          <t>B08F6YT3HQ</t>
        </is>
      </c>
      <c r="G19">
        <f>_xlfn.IMAGE("https://alssports.vtexassets.com/arquivos/ids/1414109-800-auto?v=638271953125230000&amp;width=800&amp;height=auto&amp;aspect=true")</f>
        <v/>
      </c>
      <c r="H19">
        <f>_xlfn.IMAGE("https://m.media-amazon.com/images/I/71GTXviX+YL._AC_UL320_.jpg")</f>
        <v/>
      </c>
      <c r="K19" t="inlineStr">
        <is>
          <t>3.95</t>
        </is>
      </c>
      <c r="L19" t="n">
        <v>24.99</v>
      </c>
      <c r="M19" s="2" t="inlineStr">
        <is>
          <t>532.66%</t>
        </is>
      </c>
      <c r="N19" t="n">
        <v>4.1</v>
      </c>
      <c r="O19" t="n">
        <v>6</v>
      </c>
      <c r="Q19" t="inlineStr">
        <is>
          <t>InStock</t>
        </is>
      </c>
      <c r="R19" t="inlineStr">
        <is>
          <t>23.0</t>
        </is>
      </c>
      <c r="S19" t="inlineStr">
        <is>
          <t>1274578</t>
        </is>
      </c>
    </row>
    <row r="20" ht="75" customHeight="1">
      <c r="A20" s="1">
        <f>HYPERLINK("https://www.als.com/hotchi-w-lil-mid-volume-sock/p?skuId=1274578", "https://www.als.com/hotchi-w-lil-mid-volume-sock/p?skuId=1274578")</f>
        <v/>
      </c>
      <c r="B20" s="1">
        <f>HYPERLINK("https://www.als.com/hotchi-w-lil-mid-volume-sock/p", "https://www.als.com/hotchi-w-lil-mid-volume-sock/p")</f>
        <v/>
      </c>
      <c r="C20" t="inlineStr">
        <is>
          <t>Hot Chillys Mid Volume Sock - Women's</t>
        </is>
      </c>
      <c r="D20" t="inlineStr">
        <is>
          <t>Hot Chillys Women's Premier Mid Volume Classic Sock</t>
        </is>
      </c>
      <c r="E20" s="1">
        <f>HYPERLINK("https://www.amazon.com/Hot-Chillys-Womens-Heather-Medium/dp/B003SLEFLI/ref=sr_1_1?keywords=Hot+Chillys+Mid+Volume+Sock+-+Women%27s&amp;qid=1695763862&amp;sr=8-1", "https://www.amazon.com/Hot-Chillys-Womens-Heather-Medium/dp/B003SLEFLI/ref=sr_1_1?keywords=Hot+Chillys+Mid+Volume+Sock+-+Women%27s&amp;qid=1695763862&amp;sr=8-1")</f>
        <v/>
      </c>
      <c r="F20" t="inlineStr">
        <is>
          <t>B003SLEFLI</t>
        </is>
      </c>
      <c r="G20">
        <f>_xlfn.IMAGE("https://alssports.vtexassets.com/arquivos/ids/1414109-800-auto?v=638271953125230000&amp;width=800&amp;height=auto&amp;aspect=true")</f>
        <v/>
      </c>
      <c r="H20">
        <f>_xlfn.IMAGE("https://m.media-amazon.com/images/I/71L5dwkG9JL._AC_UL320_.jpg")</f>
        <v/>
      </c>
      <c r="K20" t="inlineStr">
        <is>
          <t>3.95</t>
        </is>
      </c>
      <c r="L20" t="n">
        <v>23.95</v>
      </c>
      <c r="M20" s="2" t="inlineStr">
        <is>
          <t>506.33%</t>
        </is>
      </c>
      <c r="N20" t="n">
        <v>4.5</v>
      </c>
      <c r="O20" t="n">
        <v>123</v>
      </c>
      <c r="Q20" t="inlineStr">
        <is>
          <t>InStock</t>
        </is>
      </c>
      <c r="R20" t="inlineStr">
        <is>
          <t>23.0</t>
        </is>
      </c>
      <c r="S20" t="inlineStr">
        <is>
          <t>1274578</t>
        </is>
      </c>
    </row>
    <row r="21" ht="75" customHeight="1">
      <c r="A21" s="1">
        <f>HYPERLINK("https://www.als.com/hotchi-w-lil-mid-volume-sock/p?skuId=1274578", "https://www.als.com/hotchi-w-lil-mid-volume-sock/p?skuId=1274578")</f>
        <v/>
      </c>
      <c r="B21" s="1">
        <f>HYPERLINK("https://www.als.com/hotchi-w-lil-mid-volume-sock/p", "https://www.als.com/hotchi-w-lil-mid-volume-sock/p")</f>
        <v/>
      </c>
      <c r="C21" t="inlineStr">
        <is>
          <t>Hot Chillys Mid Volume Sock - Women's</t>
        </is>
      </c>
      <c r="D21" t="inlineStr">
        <is>
          <t>Hot Chillys Women's Alpaca Cushion Sock</t>
        </is>
      </c>
      <c r="E21" s="1">
        <f>HYPERLINK("https://www.amazon.com/Hot-Chillys-Womens-Alpaca-Cushion/dp/B0050JGEF6/ref=sr_1_8?keywords=Hot+Chillys+Mid+Volume+Sock+-+Women%27s&amp;qid=1695763862&amp;sr=8-8", "https://www.amazon.com/Hot-Chillys-Womens-Alpaca-Cushion/dp/B0050JGEF6/ref=sr_1_8?keywords=Hot+Chillys+Mid+Volume+Sock+-+Women%27s&amp;qid=1695763862&amp;sr=8-8")</f>
        <v/>
      </c>
      <c r="F21" t="inlineStr">
        <is>
          <t>B0050JGEF6</t>
        </is>
      </c>
      <c r="G21">
        <f>_xlfn.IMAGE("https://alssports.vtexassets.com/arquivos/ids/1414109-800-auto?v=638271953125230000&amp;width=800&amp;height=auto&amp;aspect=true")</f>
        <v/>
      </c>
      <c r="H21">
        <f>_xlfn.IMAGE("https://m.media-amazon.com/images/I/81+rpy3voIL._AC_UL320_.jpg")</f>
        <v/>
      </c>
      <c r="K21" t="inlineStr">
        <is>
          <t>3.95</t>
        </is>
      </c>
      <c r="L21" t="n">
        <v>23.3</v>
      </c>
      <c r="M21" s="2" t="inlineStr">
        <is>
          <t>489.87%</t>
        </is>
      </c>
      <c r="N21" t="n">
        <v>4</v>
      </c>
      <c r="O21" t="n">
        <v>4</v>
      </c>
      <c r="Q21" t="inlineStr">
        <is>
          <t>InStock</t>
        </is>
      </c>
      <c r="R21" t="inlineStr">
        <is>
          <t>23.0</t>
        </is>
      </c>
      <c r="S21" t="inlineStr">
        <is>
          <t>1274578</t>
        </is>
      </c>
    </row>
    <row r="22" ht="75" customHeight="1">
      <c r="A22" s="1">
        <f>HYPERLINK("https://www.als.com/hotchi-w-lil-mid-volume-sock/p?skuId=1274578", "https://www.als.com/hotchi-w-lil-mid-volume-sock/p?skuId=1274578")</f>
        <v/>
      </c>
      <c r="B22" s="1">
        <f>HYPERLINK("https://www.als.com/hotchi-w-lil-mid-volume-sock/p", "https://www.als.com/hotchi-w-lil-mid-volume-sock/p")</f>
        <v/>
      </c>
      <c r="C22" t="inlineStr">
        <is>
          <t>Hot Chillys Mid Volume Sock - Women's</t>
        </is>
      </c>
      <c r="D22" t="inlineStr">
        <is>
          <t>Hot Chillys Youth Premier Mid Volume Classic Sock</t>
        </is>
      </c>
      <c r="E22" s="1">
        <f>HYPERLINK("https://www.amazon.com/Hot-Chillys-Youth-Assorted-Heather/dp/B0006FMCGE/ref=sr_1_5?keywords=Hot+Chillys+Mid+Volume+Sock+-+Women%27s&amp;qid=1695763862&amp;sr=8-5", "https://www.amazon.com/Hot-Chillys-Youth-Assorted-Heather/dp/B0006FMCGE/ref=sr_1_5?keywords=Hot+Chillys+Mid+Volume+Sock+-+Women%27s&amp;qid=1695763862&amp;sr=8-5")</f>
        <v/>
      </c>
      <c r="F22" t="inlineStr">
        <is>
          <t>B0006FMCGE</t>
        </is>
      </c>
      <c r="G22">
        <f>_xlfn.IMAGE("https://alssports.vtexassets.com/arquivos/ids/1414109-800-auto?v=638271953125230000&amp;width=800&amp;height=auto&amp;aspect=true")</f>
        <v/>
      </c>
      <c r="H22">
        <f>_xlfn.IMAGE("https://m.media-amazon.com/images/I/91UDG1BTjrL._AC_UL320_.jpg")</f>
        <v/>
      </c>
      <c r="K22" t="inlineStr">
        <is>
          <t>3.95</t>
        </is>
      </c>
      <c r="L22" t="n">
        <v>22.95</v>
      </c>
      <c r="M22" s="2" t="inlineStr">
        <is>
          <t>481.01%</t>
        </is>
      </c>
      <c r="N22" t="n">
        <v>4.5</v>
      </c>
      <c r="O22" t="n">
        <v>18</v>
      </c>
      <c r="Q22" t="inlineStr">
        <is>
          <t>InStock</t>
        </is>
      </c>
      <c r="R22" t="inlineStr">
        <is>
          <t>23.0</t>
        </is>
      </c>
      <c r="S22" t="inlineStr">
        <is>
          <t>1274578</t>
        </is>
      </c>
    </row>
    <row r="23" ht="75" customHeight="1">
      <c r="A23" s="1">
        <f>HYPERLINK("https://www.als.com/hotchi-w-lil-mid-volume-sock/p?skuId=1274578", "https://www.als.com/hotchi-w-lil-mid-volume-sock/p?skuId=1274578")</f>
        <v/>
      </c>
      <c r="B23" s="1">
        <f>HYPERLINK("https://www.als.com/hotchi-w-lil-mid-volume-sock/p", "https://www.als.com/hotchi-w-lil-mid-volume-sock/p")</f>
        <v/>
      </c>
      <c r="C23" t="inlineStr">
        <is>
          <t>Hot Chillys Mid Volume Sock - Women's</t>
        </is>
      </c>
      <c r="D23" t="inlineStr">
        <is>
          <t>Hot Chillys Women's Fiesta Print Pattern Over-The-Calf Mid Volume Cushion Wintersports Socks</t>
        </is>
      </c>
      <c r="E23" s="1">
        <f>HYPERLINK("https://www.amazon.com/Hot-Chillys-Womens-Horizon-Nord/dp/B09MGB238D/ref=sr_1_3?keywords=Hot+Chillys+Mid+Volume+Sock+-+Women%27s&amp;qid=1695763862&amp;sr=8-3", "https://www.amazon.com/Hot-Chillys-Womens-Horizon-Nord/dp/B09MGB238D/ref=sr_1_3?keywords=Hot+Chillys+Mid+Volume+Sock+-+Women%27s&amp;qid=1695763862&amp;sr=8-3")</f>
        <v/>
      </c>
      <c r="F23" t="inlineStr">
        <is>
          <t>B09MGB238D</t>
        </is>
      </c>
      <c r="G23">
        <f>_xlfn.IMAGE("https://alssports.vtexassets.com/arquivos/ids/1414109-800-auto?v=638271953125230000&amp;width=800&amp;height=auto&amp;aspect=true")</f>
        <v/>
      </c>
      <c r="H23">
        <f>_xlfn.IMAGE("https://m.media-amazon.com/images/I/719n1EIx5zL._AC_UL320_.jpg")</f>
        <v/>
      </c>
      <c r="K23" t="inlineStr">
        <is>
          <t>3.95</t>
        </is>
      </c>
      <c r="L23" t="n">
        <v>22.95</v>
      </c>
      <c r="M23" s="2" t="inlineStr">
        <is>
          <t>481.01%</t>
        </is>
      </c>
      <c r="N23" t="n">
        <v>4.1</v>
      </c>
      <c r="O23" t="n">
        <v>4</v>
      </c>
      <c r="Q23" t="inlineStr">
        <is>
          <t>InStock</t>
        </is>
      </c>
      <c r="R23" t="inlineStr">
        <is>
          <t>23.0</t>
        </is>
      </c>
      <c r="S23" t="inlineStr">
        <is>
          <t>1274578</t>
        </is>
      </c>
    </row>
    <row r="24" ht="75" customHeight="1">
      <c r="A24" s="1">
        <f>HYPERLINK("https://www.als.com/nike-m-nike-trail-running-sock/p?skuId=1240594", "https://www.als.com/nike-m-nike-trail-running-sock/p?skuId=1240594")</f>
        <v/>
      </c>
      <c r="B24" s="1">
        <f>HYPERLINK("https://www.als.com/nike-m-nike-trail-running-sock/p", "https://www.als.com/nike-m-nike-trail-running-sock/p")</f>
        <v/>
      </c>
      <c r="C24" t="inlineStr">
        <is>
          <t>Nike Trail Running Crew Sock - Men's</t>
        </is>
      </c>
      <c r="D24" t="inlineStr">
        <is>
          <t>Nike Dri-FIT Men's Long-Sleeve Trail Running Crew</t>
        </is>
      </c>
      <c r="E24" s="1">
        <f>HYPERLINK("https://www.amazon.com/Nike-Dri-FIT-Long-Sleeve-Running-Brown-Blue-Green/dp/B0BX8T6RVD/ref=sr_1_10?keywords=Nike+Trail+Running+Crew+Sock+-+Men%27s&amp;qid=1695763862&amp;sr=8-10", "https://www.amazon.com/Nike-Dri-FIT-Long-Sleeve-Running-Brown-Blue-Green/dp/B0BX8T6RVD/ref=sr_1_10?keywords=Nike+Trail+Running+Crew+Sock+-+Men%27s&amp;qid=1695763862&amp;sr=8-10")</f>
        <v/>
      </c>
      <c r="F24" t="inlineStr">
        <is>
          <t>B0BX8T6RVD</t>
        </is>
      </c>
      <c r="G24">
        <f>_xlfn.IMAGE("https://alssports.vtexassets.com/arquivos/ids/1344344-800-auto?v=638221804201070000&amp;width=800&amp;height=auto&amp;aspect=true")</f>
        <v/>
      </c>
      <c r="H24">
        <f>_xlfn.IMAGE("https://m.media-amazon.com/images/I/611ePkJgPJL._AC_UL320_.jpg")</f>
        <v/>
      </c>
      <c r="K24" t="inlineStr">
        <is>
          <t>3.99</t>
        </is>
      </c>
      <c r="L24" t="n">
        <v>46.99</v>
      </c>
      <c r="M24" s="2" t="inlineStr">
        <is>
          <t>1077.69%</t>
        </is>
      </c>
      <c r="N24" t="n">
        <v>5</v>
      </c>
      <c r="O24" t="n">
        <v>1</v>
      </c>
      <c r="Q24" t="inlineStr">
        <is>
          <t>undefined</t>
        </is>
      </c>
      <c r="R24" t="inlineStr">
        <is>
          <t>29.95</t>
        </is>
      </c>
      <c r="S24" t="inlineStr">
        <is>
          <t>1240594</t>
        </is>
      </c>
    </row>
    <row r="25" ht="75" customHeight="1">
      <c r="A25" s="1">
        <f>HYPERLINK("https://www.als.com/nike-m-nike-trail-running-sock/p?skuId=1240594", "https://www.als.com/nike-m-nike-trail-running-sock/p?skuId=1240594")</f>
        <v/>
      </c>
      <c r="B25" s="1">
        <f>HYPERLINK("https://www.als.com/nike-m-nike-trail-running-sock/p", "https://www.als.com/nike-m-nike-trail-running-sock/p")</f>
        <v/>
      </c>
      <c r="C25" t="inlineStr">
        <is>
          <t>Nike Trail Running Crew Sock - Men's</t>
        </is>
      </c>
      <c r="D25" t="inlineStr">
        <is>
          <t>Feetures Trail Max Cushion Mini Crew Sock - Running Socks for Women and Men - Moisture Wicking</t>
        </is>
      </c>
      <c r="E25" s="1">
        <f>HYPERLINK("https://www.amazon.com/Feetures-Trail-Cushion-Mini-Crew/dp/B0C6XQ1WRQ/ref=sr_1_8?keywords=Nike+Trail+Running+Crew+Sock+-+Men%27s&amp;qid=1695763862&amp;sr=8-8", "https://www.amazon.com/Feetures-Trail-Cushion-Mini-Crew/dp/B0C6XQ1WRQ/ref=sr_1_8?keywords=Nike+Trail+Running+Crew+Sock+-+Men%27s&amp;qid=1695763862&amp;sr=8-8")</f>
        <v/>
      </c>
      <c r="F25" t="inlineStr">
        <is>
          <t>B0C6XQ1WRQ</t>
        </is>
      </c>
      <c r="G25">
        <f>_xlfn.IMAGE("https://alssports.vtexassets.com/arquivos/ids/1344344-800-auto?v=638221804201070000&amp;width=800&amp;height=auto&amp;aspect=true")</f>
        <v/>
      </c>
      <c r="H25">
        <f>_xlfn.IMAGE("https://m.media-amazon.com/images/I/81gZMKkERVL._AC_UL320_.jpg")</f>
        <v/>
      </c>
      <c r="K25" t="inlineStr">
        <is>
          <t>3.99</t>
        </is>
      </c>
      <c r="L25" t="n">
        <v>20</v>
      </c>
      <c r="M25" s="2" t="inlineStr">
        <is>
          <t>401.25%</t>
        </is>
      </c>
      <c r="N25" t="n">
        <v>5</v>
      </c>
      <c r="O25" t="n">
        <v>3</v>
      </c>
      <c r="Q25" t="inlineStr">
        <is>
          <t>undefined</t>
        </is>
      </c>
      <c r="R25" t="inlineStr">
        <is>
          <t>29.95</t>
        </is>
      </c>
      <c r="S25" t="inlineStr">
        <is>
          <t>1240594</t>
        </is>
      </c>
    </row>
    <row r="26" ht="75" customHeight="1">
      <c r="A26" s="1">
        <f>HYPERLINK("https://www.als.com/owala-bottle-free-sip-kids-14-oz/p?skuId=1326151", "https://www.als.com/owala-bottle-free-sip-kids-14-oz/p?skuId=1326151")</f>
        <v/>
      </c>
      <c r="B26" s="1">
        <f>HYPERLINK("https://www.als.com/owala-bottle-free-sip-kids-14-oz/p", "https://www.als.com/owala-bottle-free-sip-kids-14-oz/p")</f>
        <v/>
      </c>
      <c r="C26" t="inlineStr">
        <is>
          <t>Owala Flip Stainless Steel 14oz Water Bottle - Youth</t>
        </is>
      </c>
      <c r="D26" t="inlineStr">
        <is>
          <t>Owala Flip Insulated Stainless Steel Water Bottle with Straw and Locking Lid for Sports and Travel, BPA-Free, 32-Ounce, Very, Very Dark</t>
        </is>
      </c>
      <c r="E26" s="1">
        <f>HYPERLINK("https://www.amazon.com/Owala-Insulated-Stainless-Steel-Locking-32-Ounce/dp/B085DVDBZW/ref=sr_1_7?keywords=Owala+Flip+Stainless+Steel+14oz+Water+Bottle+-+Youth&amp;qid=1695763863&amp;sr=8-7", "https://www.amazon.com/Owala-Insulated-Stainless-Steel-Locking-32-Ounce/dp/B085DVDBZW/ref=sr_1_7?keywords=Owala+Flip+Stainless+Steel+14oz+Water+Bottle+-+Youth&amp;qid=1695763863&amp;sr=8-7")</f>
        <v/>
      </c>
      <c r="F26" t="inlineStr">
        <is>
          <t>B085DVDBZW</t>
        </is>
      </c>
      <c r="G26">
        <f>_xlfn.IMAGE("https://alssports.vtexassets.com/arquivos/ids/1355953-800-auto?v=638230509422430000&amp;width=800&amp;height=auto&amp;aspect=true")</f>
        <v/>
      </c>
      <c r="H26">
        <f>_xlfn.IMAGE("https://m.media-amazon.com/images/I/71t0YTVfZxL._AC_UL320_.jpg")</f>
        <v/>
      </c>
      <c r="K26" t="inlineStr">
        <is>
          <t>19.99</t>
        </is>
      </c>
      <c r="L26" t="n">
        <v>32.99</v>
      </c>
      <c r="M26" s="2" t="inlineStr">
        <is>
          <t>65.03%</t>
        </is>
      </c>
      <c r="N26" t="n">
        <v>4.5</v>
      </c>
      <c r="O26" t="n">
        <v>361</v>
      </c>
      <c r="Q26" t="inlineStr">
        <is>
          <t>InStock</t>
        </is>
      </c>
      <c r="R26" t="inlineStr">
        <is>
          <t>undefined</t>
        </is>
      </c>
      <c r="S26" t="inlineStr">
        <is>
          <t>1326151</t>
        </is>
      </c>
    </row>
    <row r="27" ht="75" customHeight="1">
      <c r="A27" s="1">
        <f>HYPERLINK("https://www.als.com/sunray-m-hollis-river-sandal/p?skuId=1193441", "https://www.als.com/sunray-m-hollis-river-sandal/p?skuId=1193441")</f>
        <v/>
      </c>
      <c r="B27" s="1">
        <f>HYPERLINK("https://www.als.com/sunray-m-hollis-river-sandal/p", "https://www.als.com/sunray-m-hollis-river-sandal/p")</f>
        <v/>
      </c>
      <c r="C27" t="inlineStr">
        <is>
          <t>SunRay Hollis River Outdoor Sandal - Men's</t>
        </is>
      </c>
      <c r="D27" t="inlineStr">
        <is>
          <t>NORTIV 8 Men's Sandals Hiking Sports Lightweight Summer Water Arch Support River Open Toe Athletic Trail Outdoor Walking Sandals</t>
        </is>
      </c>
      <c r="E27" s="1">
        <f>HYPERLINK("https://www.amazon.com/NORTIV-Sandals-Lightweight-Outdoor-Walking/dp/B09G5Y7G7V/ref=sr_1_1?keywords=SunRay+Hollis+River+Outdoor+Sandal+-+Men%27s&amp;qid=1695763865&amp;sr=8-1", "https://www.amazon.com/NORTIV-Sandals-Lightweight-Outdoor-Walking/dp/B09G5Y7G7V/ref=sr_1_1?keywords=SunRay+Hollis+River+Outdoor+Sandal+-+Men%27s&amp;qid=1695763865&amp;sr=8-1")</f>
        <v/>
      </c>
      <c r="F27" t="inlineStr">
        <is>
          <t>B09G5Y7G7V</t>
        </is>
      </c>
      <c r="G27">
        <f>_xlfn.IMAGE("https://alssports.vtexassets.com/arquivos/ids/1443194-800-auto?v=638292005832200000&amp;width=800&amp;height=auto&amp;aspect=true")</f>
        <v/>
      </c>
      <c r="H27">
        <f>_xlfn.IMAGE("https://m.media-amazon.com/images/I/71NUj2KprTL._AC_UL320_.jpg")</f>
        <v/>
      </c>
      <c r="K27" t="inlineStr">
        <is>
          <t>4.99</t>
        </is>
      </c>
      <c r="L27" t="n">
        <v>29.99</v>
      </c>
      <c r="M27" s="2" t="inlineStr">
        <is>
          <t>501.00%</t>
        </is>
      </c>
      <c r="N27" t="n">
        <v>4.4</v>
      </c>
      <c r="O27" t="n">
        <v>924</v>
      </c>
      <c r="Q27" t="inlineStr">
        <is>
          <t>InStock</t>
        </is>
      </c>
      <c r="R27" t="inlineStr">
        <is>
          <t>30.0</t>
        </is>
      </c>
      <c r="S27" t="inlineStr">
        <is>
          <t>1193441</t>
        </is>
      </c>
    </row>
    <row r="28" ht="75" customHeight="1">
      <c r="A28" s="1">
        <f>HYPERLINK("https://www.als.com/under-cleat-harper-7-mid-rm-yth/p?skuId=1310671", "https://www.als.com/under-cleat-harper-7-mid-rm-yth/p?skuId=1310671")</f>
        <v/>
      </c>
      <c r="B28" s="1">
        <f>HYPERLINK("https://www.als.com/under-cleat-harper-7-mid-rm-yth/p", "https://www.als.com/under-cleat-harper-7-mid-rm-yth/p")</f>
        <v/>
      </c>
      <c r="C28" t="inlineStr">
        <is>
          <t>Under Armour Harper 7 Mid RM Baseball Cleat - Boys'</t>
        </is>
      </c>
      <c r="D28" t="inlineStr">
        <is>
          <t>Under Armour Unisex-Child Harper 7 Low Juniors TPU Baseball Cleat Shoe</t>
        </is>
      </c>
      <c r="E28" s="1">
        <f>HYPERLINK("https://www.amazon.com/Under-Armour-Harper-Juniors-Baseball/dp/B09MYJNPLM/ref=sr_1_9?keywords=Under+Armour+Harper+7+Mid+RM+Baseball+Cleat+-+Boys&amp;qid=1695763869&amp;sr=8-9", "https://www.amazon.com/Under-Armour-Harper-Juniors-Baseball/dp/B09MYJNPLM/ref=sr_1_9?keywords=Under+Armour+Harper+7+Mid+RM+Baseball+Cleat+-+Boys&amp;qid=1695763869&amp;sr=8-9")</f>
        <v/>
      </c>
      <c r="F28" t="inlineStr">
        <is>
          <t>B09MYJNPLM</t>
        </is>
      </c>
      <c r="G28">
        <f>_xlfn.IMAGE("https://alssports.vtexassets.com/arquivos/ids/1282073-800-auto?v=638157926452970000&amp;width=800&amp;height=auto&amp;aspect=true")</f>
        <v/>
      </c>
      <c r="H28">
        <f>_xlfn.IMAGE("https://m.media-amazon.com/images/I/51yEMg8y4sL._AC_UL320_.jpg")</f>
        <v/>
      </c>
      <c r="K28" t="inlineStr">
        <is>
          <t>18.0</t>
        </is>
      </c>
      <c r="L28" t="n">
        <v>64.98999999999999</v>
      </c>
      <c r="M28" s="2" t="inlineStr">
        <is>
          <t>261.06%</t>
        </is>
      </c>
      <c r="N28" t="n">
        <v>4.6</v>
      </c>
      <c r="O28" t="n">
        <v>55</v>
      </c>
      <c r="Q28" t="inlineStr">
        <is>
          <t>InStock</t>
        </is>
      </c>
      <c r="R28" t="inlineStr">
        <is>
          <t>45.0</t>
        </is>
      </c>
      <c r="S28" t="inlineStr">
        <is>
          <t>1310671</t>
        </is>
      </c>
    </row>
    <row r="29" ht="75" customHeight="1">
      <c r="A29" s="1">
        <f>HYPERLINK("https://www.als.com/under-cleat-harper-7-mid-rm-yth/p?skuId=1310671", "https://www.als.com/under-cleat-harper-7-mid-rm-yth/p?skuId=1310671")</f>
        <v/>
      </c>
      <c r="B29" s="1">
        <f>HYPERLINK("https://www.als.com/under-cleat-harper-7-mid-rm-yth/p", "https://www.als.com/under-cleat-harper-7-mid-rm-yth/p")</f>
        <v/>
      </c>
      <c r="C29" t="inlineStr">
        <is>
          <t>Under Armour Harper 7 Mid RM Baseball Cleat - Boys'</t>
        </is>
      </c>
      <c r="D29" t="inlineStr">
        <is>
          <t>Under Armour Men's Leadoff Mid Rubber Molded Baseball Cleat Shoe</t>
        </is>
      </c>
      <c r="E29" s="1">
        <f>HYPERLINK("https://www.amazon.com/Under-Armour-Leadoff-Rubber-Baseball/dp/B09LSBFFHM/ref=sr_1_5?keywords=Under+Armour+Harper+7+Mid+RM+Baseball+Cleat+-+Boys&amp;qid=1695763869&amp;sr=8-5", "https://www.amazon.com/Under-Armour-Leadoff-Rubber-Baseball/dp/B09LSBFFHM/ref=sr_1_5?keywords=Under+Armour+Harper+7+Mid+RM+Baseball+Cleat+-+Boys&amp;qid=1695763869&amp;sr=8-5")</f>
        <v/>
      </c>
      <c r="F29" t="inlineStr">
        <is>
          <t>B09LSBFFHM</t>
        </is>
      </c>
      <c r="G29">
        <f>_xlfn.IMAGE("https://alssports.vtexassets.com/arquivos/ids/1282073-800-auto?v=638157926452970000&amp;width=800&amp;height=auto&amp;aspect=true")</f>
        <v/>
      </c>
      <c r="H29">
        <f>_xlfn.IMAGE("https://m.media-amazon.com/images/I/71zzNKlu5VL._AC_UL320_.jpg")</f>
        <v/>
      </c>
      <c r="K29" t="inlineStr">
        <is>
          <t>18.0</t>
        </is>
      </c>
      <c r="L29" t="n">
        <v>45</v>
      </c>
      <c r="M29" s="2" t="inlineStr">
        <is>
          <t>150.00%</t>
        </is>
      </c>
      <c r="N29" t="n">
        <v>4.7</v>
      </c>
      <c r="O29" t="n">
        <v>828</v>
      </c>
      <c r="Q29" t="inlineStr">
        <is>
          <t>InStock</t>
        </is>
      </c>
      <c r="R29" t="inlineStr">
        <is>
          <t>45.0</t>
        </is>
      </c>
      <c r="S29" t="inlineStr">
        <is>
          <t>1310671</t>
        </is>
      </c>
    </row>
    <row r="30" ht="75" customHeight="1">
      <c r="A30" s="1">
        <f>HYPERLINK("https://www.als.com/under-cleat-harper-7-mid-rm-yth/p?skuId=1310671", "https://www.als.com/under-cleat-harper-7-mid-rm-yth/p?skuId=1310671")</f>
        <v/>
      </c>
      <c r="B30" s="1">
        <f>HYPERLINK("https://www.als.com/under-cleat-harper-7-mid-rm-yth/p", "https://www.als.com/under-cleat-harper-7-mid-rm-yth/p")</f>
        <v/>
      </c>
      <c r="C30" t="inlineStr">
        <is>
          <t>Under Armour Harper 7 Mid RM Baseball Cleat - Boys'</t>
        </is>
      </c>
      <c r="D30" t="inlineStr">
        <is>
          <t>Under Armour Men's Harper 8 Mid Rm Baseball Shoe</t>
        </is>
      </c>
      <c r="E30" s="1">
        <f>HYPERLINK("https://www.amazon.com/Under-Armour-Harper-Baseball-White/dp/B0BGQNS2Q3/ref=sr_1_2?keywords=Under+Armour+Harper+7+Mid+RM+Baseball+Cleat+-+Boys&amp;qid=1695763869&amp;sr=8-2", "https://www.amazon.com/Under-Armour-Harper-Baseball-White/dp/B0BGQNS2Q3/ref=sr_1_2?keywords=Under+Armour+Harper+7+Mid+RM+Baseball+Cleat+-+Boys&amp;qid=1695763869&amp;sr=8-2")</f>
        <v/>
      </c>
      <c r="F30" t="inlineStr">
        <is>
          <t>B0BGQNS2Q3</t>
        </is>
      </c>
      <c r="G30">
        <f>_xlfn.IMAGE("https://alssports.vtexassets.com/arquivos/ids/1282073-800-auto?v=638157926452970000&amp;width=800&amp;height=auto&amp;aspect=true")</f>
        <v/>
      </c>
      <c r="H30">
        <f>_xlfn.IMAGE("https://m.media-amazon.com/images/I/51GDF-kgG4L._AC_UL320_.jpg")</f>
        <v/>
      </c>
      <c r="K30" t="inlineStr">
        <is>
          <t>18.0</t>
        </is>
      </c>
      <c r="L30" t="n">
        <v>38.83</v>
      </c>
      <c r="M30" s="2" t="inlineStr">
        <is>
          <t>115.72%</t>
        </is>
      </c>
      <c r="N30" t="n">
        <v>5</v>
      </c>
      <c r="O30" t="n">
        <v>5</v>
      </c>
      <c r="Q30" t="inlineStr">
        <is>
          <t>InStock</t>
        </is>
      </c>
      <c r="R30" t="inlineStr">
        <is>
          <t>45.0</t>
        </is>
      </c>
      <c r="S30" t="inlineStr">
        <is>
          <t>1310671</t>
        </is>
      </c>
    </row>
    <row r="31" ht="75" customHeight="1">
      <c r="A31" s="1">
        <f>HYPERLINK("https://www.als.com/under-m-cleat-harper-7-mid-rm/p?skuId=1310749", "https://www.als.com/under-m-cleat-harper-7-mid-rm/p?skuId=1310749")</f>
        <v/>
      </c>
      <c r="B31" s="1">
        <f>HYPERLINK("https://www.als.com/under-m-cleat-harper-7-mid-rm/p", "https://www.als.com/under-m-cleat-harper-7-mid-rm/p")</f>
        <v/>
      </c>
      <c r="C31" t="inlineStr">
        <is>
          <t>Under Armour Harper 7 Mid Rm Baseball Cleat</t>
        </is>
      </c>
      <c r="D31" t="inlineStr">
        <is>
          <t>Under Armour Men's Leadoff Mid Rubber Molded Baseball Cleat Shoe</t>
        </is>
      </c>
      <c r="E31" s="1">
        <f>HYPERLINK("https://www.amazon.com/Under-Armour-Leadoff-Rubber-Baseball/dp/B09LSCJ3RV/ref=sr_1_3?keywords=Under+Armour+Harper+7+Mid+Rm+Baseball+Cleat&amp;qid=1695763862&amp;sr=8-3", "https://www.amazon.com/Under-Armour-Leadoff-Rubber-Baseball/dp/B09LSCJ3RV/ref=sr_1_3?keywords=Under+Armour+Harper+7+Mid+Rm+Baseball+Cleat&amp;qid=1695763862&amp;sr=8-3")</f>
        <v/>
      </c>
      <c r="F31" t="inlineStr">
        <is>
          <t>B09LSCJ3RV</t>
        </is>
      </c>
      <c r="G31">
        <f>_xlfn.IMAGE("https://alssports.vtexassets.com/arquivos/ids/1282017-800-auto?v=638157898289930000&amp;width=800&amp;height=auto&amp;aspect=true")</f>
        <v/>
      </c>
      <c r="H31">
        <f>_xlfn.IMAGE("https://m.media-amazon.com/images/I/61JEbhh-4+L._AC_UL320_.jpg")</f>
        <v/>
      </c>
      <c r="K31" t="inlineStr">
        <is>
          <t>22.0</t>
        </is>
      </c>
      <c r="L31" t="n">
        <v>45</v>
      </c>
      <c r="M31" s="2" t="inlineStr">
        <is>
          <t>104.55%</t>
        </is>
      </c>
      <c r="N31" t="n">
        <v>4.7</v>
      </c>
      <c r="O31" t="n">
        <v>828</v>
      </c>
      <c r="Q31" t="inlineStr">
        <is>
          <t>InStock</t>
        </is>
      </c>
      <c r="R31" t="inlineStr">
        <is>
          <t>55.0</t>
        </is>
      </c>
      <c r="S31" t="inlineStr">
        <is>
          <t>1310749</t>
        </is>
      </c>
    </row>
    <row r="32" ht="75" customHeight="1">
      <c r="A32" s="1">
        <f>HYPERLINK("https://www.als.com/under-m-cleat-harper-7-mid-rm/p?skuId=1310749", "https://www.als.com/under-m-cleat-harper-7-mid-rm/p?skuId=1310749")</f>
        <v/>
      </c>
      <c r="B32" s="1">
        <f>HYPERLINK("https://www.als.com/under-m-cleat-harper-7-mid-rm/p", "https://www.als.com/under-m-cleat-harper-7-mid-rm/p")</f>
        <v/>
      </c>
      <c r="C32" t="inlineStr">
        <is>
          <t>Under Armour Harper 7 Mid Rm Baseball Cleat</t>
        </is>
      </c>
      <c r="D32" t="inlineStr">
        <is>
          <t>Under Armour Men's Harper 8 Mid Rm Baseball Shoe</t>
        </is>
      </c>
      <c r="E32" s="1">
        <f>HYPERLINK("https://www.amazon.com/Under-Armour-Harper-Baseball-Royal/dp/B0BGQP1GBP/ref=sr_1_1?keywords=Under+Armour+Harper+7+Mid+Rm+Baseball+Cleat&amp;qid=1695763862&amp;sr=8-1", "https://www.amazon.com/Under-Armour-Harper-Baseball-Royal/dp/B0BGQP1GBP/ref=sr_1_1?keywords=Under+Armour+Harper+7+Mid+Rm+Baseball+Cleat&amp;qid=1695763862&amp;sr=8-1")</f>
        <v/>
      </c>
      <c r="F32" t="inlineStr">
        <is>
          <t>B0BGQP1GBP</t>
        </is>
      </c>
      <c r="G32">
        <f>_xlfn.IMAGE("https://alssports.vtexassets.com/arquivos/ids/1282017-800-auto?v=638157898289930000&amp;width=800&amp;height=auto&amp;aspect=true")</f>
        <v/>
      </c>
      <c r="H32">
        <f>_xlfn.IMAGE("https://m.media-amazon.com/images/I/514kr2fGOML._AC_UL320_.jpg")</f>
        <v/>
      </c>
      <c r="K32" t="inlineStr">
        <is>
          <t>22.0</t>
        </is>
      </c>
      <c r="L32" t="n">
        <v>40.19</v>
      </c>
      <c r="M32" s="2" t="inlineStr">
        <is>
          <t>82.68%</t>
        </is>
      </c>
      <c r="N32" t="n">
        <v>5</v>
      </c>
      <c r="O32" t="n">
        <v>5</v>
      </c>
      <c r="Q32" t="inlineStr">
        <is>
          <t>InStock</t>
        </is>
      </c>
      <c r="R32" t="inlineStr">
        <is>
          <t>55.0</t>
        </is>
      </c>
      <c r="S32" t="inlineStr">
        <is>
          <t>1310749</t>
        </is>
      </c>
    </row>
    <row r="33" ht="75" customHeight="1">
      <c r="A33" s="1">
        <f>HYPERLINK("https://www.blair.com/product/cowl-neck-dolman-sweater?id=d99f6a412f54446894f52045f7db646b&amp;category=/clearance/save-85-/", "https://www.blair.com/product/cowl-neck-dolman-sweater?id=d99f6a412f54446894f52045f7db646b&amp;category=/clearance/save-85-/")</f>
        <v/>
      </c>
      <c r="B33" s="1">
        <f>HYPERLINK("https://www.blair.com/product/cowl-neck-dolman-sweater?id=d99f6a412f54446894f52045f7db646b", "https://www.blair.com/product/cowl-neck-dolman-sweater?id=d99f6a412f54446894f52045f7db646b")</f>
        <v/>
      </c>
      <c r="C33" t="inlineStr">
        <is>
          <t>Cowl Neck Dolman Sweater</t>
        </is>
      </c>
      <c r="D33" t="inlineStr">
        <is>
          <t>Ckikiou Womens Lightweight Oversized Boat Neck Sweaters Tops Dolman Batwing Sleeve Ribbed Knitted Pullovers</t>
        </is>
      </c>
      <c r="E33" s="1">
        <f>HYPERLINK("https://www.amazon.com/Ckikiou-Sweaters-Batwing-Cashmere-Pullovers/dp/B07G9FC5T1/ref=sr_1_5?keywords=Cowl+Neck+Dolman+Sweater&amp;qid=1695763879&amp;sr=8-5", "https://www.amazon.com/Ckikiou-Sweaters-Batwing-Cashmere-Pullovers/dp/B07G9FC5T1/ref=sr_1_5?keywords=Cowl+Neck+Dolman+Sweater&amp;qid=1695763879&amp;sr=8-5")</f>
        <v/>
      </c>
      <c r="F33" t="inlineStr">
        <is>
          <t>B07G9FC5T1</t>
        </is>
      </c>
      <c r="G33">
        <f>_xlfn.IMAGE("https://s7d9.scene7.com/is/image/orchardbrands/B16319_T755?hei=475&amp;wid=356&amp;resMode=sharp2")</f>
        <v/>
      </c>
      <c r="H33">
        <f>_xlfn.IMAGE("https://m.media-amazon.com/images/I/717KBjPL1eL._AC_UF264,320_.jpg")</f>
        <v/>
      </c>
      <c r="K33" t="inlineStr">
        <is>
          <t>6.97</t>
        </is>
      </c>
      <c r="L33" t="n">
        <v>32.99</v>
      </c>
      <c r="M33" s="2" t="inlineStr">
        <is>
          <t>373.31%</t>
        </is>
      </c>
      <c r="N33" t="n">
        <v>4.4</v>
      </c>
      <c r="O33" t="n">
        <v>7500</v>
      </c>
      <c r="Q33" t="inlineStr">
        <is>
          <t>InStock</t>
        </is>
      </c>
      <c r="R33" t="inlineStr">
        <is>
          <t>undefined</t>
        </is>
      </c>
      <c r="S33" t="inlineStr">
        <is>
          <t>B16319</t>
        </is>
      </c>
    </row>
    <row r="34" ht="75" customHeight="1">
      <c r="A34" s="1">
        <f>HYPERLINK("https://www.blair.com/product/cowl-neck-dolman-sweater?id=d99f6a412f54446894f52045f7db646b&amp;category=/clearance/save-85-/", "https://www.blair.com/product/cowl-neck-dolman-sweater?id=d99f6a412f54446894f52045f7db646b&amp;category=/clearance/save-85-/")</f>
        <v/>
      </c>
      <c r="B34" s="1">
        <f>HYPERLINK("https://www.blair.com/product/cowl-neck-dolman-sweater?id=d99f6a412f54446894f52045f7db646b", "https://www.blair.com/product/cowl-neck-dolman-sweater?id=d99f6a412f54446894f52045f7db646b")</f>
        <v/>
      </c>
      <c r="C34" t="inlineStr">
        <is>
          <t>Cowl Neck Dolman Sweater</t>
        </is>
      </c>
      <c r="D34" t="inlineStr">
        <is>
          <t>Caracilia Women Turtle Cowl Neck Long Batwing Sleeve Waffle Knit Pullover Sweaters Oversized Loose Fit High Low Tunic Tops</t>
        </is>
      </c>
      <c r="E34" s="1">
        <f>HYPERLINK("https://www.amazon.com/Caracilia-Maroon-Sweaters-Pullover-C8A3-zaohong-L/dp/B07YHSX53Q/ref=sr_1_2?keywords=Cowl+Neck+Dolman+Sweater&amp;qid=1695763879&amp;sr=8-2", "https://www.amazon.com/Caracilia-Maroon-Sweaters-Pullover-C8A3-zaohong-L/dp/B07YHSX53Q/ref=sr_1_2?keywords=Cowl+Neck+Dolman+Sweater&amp;qid=1695763879&amp;sr=8-2")</f>
        <v/>
      </c>
      <c r="F34" t="inlineStr">
        <is>
          <t>B07YHSX53Q</t>
        </is>
      </c>
      <c r="G34">
        <f>_xlfn.IMAGE("https://s7d9.scene7.com/is/image/orchardbrands/B16319_T755?hei=475&amp;wid=356&amp;resMode=sharp2")</f>
        <v/>
      </c>
      <c r="H34">
        <f>_xlfn.IMAGE("https://m.media-amazon.com/images/I/61c-CiJtFYL._AC_UF264,320_.jpg")</f>
        <v/>
      </c>
      <c r="K34" t="inlineStr">
        <is>
          <t>6.97</t>
        </is>
      </c>
      <c r="L34" t="n">
        <v>28.99</v>
      </c>
      <c r="M34" s="2" t="inlineStr">
        <is>
          <t>315.93%</t>
        </is>
      </c>
      <c r="N34" t="n">
        <v>4.1</v>
      </c>
      <c r="O34" t="n">
        <v>5718</v>
      </c>
      <c r="Q34" t="inlineStr">
        <is>
          <t>InStock</t>
        </is>
      </c>
      <c r="R34" t="inlineStr">
        <is>
          <t>undefined</t>
        </is>
      </c>
      <c r="S34" t="inlineStr">
        <is>
          <t>B16319</t>
        </is>
      </c>
    </row>
    <row r="35" ht="75" customHeight="1">
      <c r="A35" s="1">
        <f>HYPERLINK("https://www.blair.com/product/eyelet-jacket?id=a9ab1fe12d1f4aa29d39066750594b2b&amp;category=/clearance/save-85-/", "https://www.blair.com/product/eyelet-jacket?id=a9ab1fe12d1f4aa29d39066750594b2b&amp;category=/clearance/save-85-/")</f>
        <v/>
      </c>
      <c r="B35" s="1">
        <f>HYPERLINK("https://www.blair.com/product/eyelet-jacket?id=a9ab1fe12d1f4aa29d39066750594b2b", "https://www.blair.com/product/eyelet-jacket?id=a9ab1fe12d1f4aa29d39066750594b2b")</f>
        <v/>
      </c>
      <c r="C35" t="inlineStr">
        <is>
          <t>Eyelet Jacket</t>
        </is>
      </c>
      <c r="D35" t="inlineStr">
        <is>
          <t>Floerns Women's Eyelet Embroidery Zipper Up Boho Long Sleeve Bomber Jacket</t>
        </is>
      </c>
      <c r="E35" s="1">
        <f>HYPERLINK("https://www.amazon.com/Floerns-Womens-Eyelet-Embroidery-Zipper/dp/B0CBJK2924/ref=sr_1_1?keywords=Eyelet+Jacket&amp;qid=1695763881&amp;sr=8-1", "https://www.amazon.com/Floerns-Womens-Eyelet-Embroidery-Zipper/dp/B0CBJK2924/ref=sr_1_1?keywords=Eyelet+Jacket&amp;qid=1695763881&amp;sr=8-1")</f>
        <v/>
      </c>
      <c r="F35" t="inlineStr">
        <is>
          <t>B0CBJK2924</t>
        </is>
      </c>
      <c r="G35">
        <f>_xlfn.IMAGE("https://s7d9.scene7.com/is/image/orchardbrands/B11453_0014?hei=475&amp;wid=356&amp;resMode=sharp2")</f>
        <v/>
      </c>
      <c r="H35">
        <f>_xlfn.IMAGE("https://m.media-amazon.com/images/I/81J5PrijoWL._MCnd_AC_UL320_.jpg")</f>
        <v/>
      </c>
      <c r="K35" t="inlineStr">
        <is>
          <t>5.97</t>
        </is>
      </c>
      <c r="L35" t="n">
        <v>27.99</v>
      </c>
      <c r="M35" s="2" t="inlineStr">
        <is>
          <t>368.84%</t>
        </is>
      </c>
      <c r="N35" t="n">
        <v>5</v>
      </c>
      <c r="O35" t="n">
        <v>1</v>
      </c>
      <c r="Q35" t="inlineStr">
        <is>
          <t>InStock</t>
        </is>
      </c>
      <c r="R35" t="inlineStr">
        <is>
          <t>46.99</t>
        </is>
      </c>
      <c r="S35" t="inlineStr">
        <is>
          <t>B11453</t>
        </is>
      </c>
    </row>
    <row r="36" ht="75" customHeight="1">
      <c r="A36" s="1">
        <f>HYPERLINK("https://www.blair.com/product/eyelet-jacket?id=a9ab1fe12d1f4aa29d39066750594b2b&amp;category=/clearance/save-85-/", "https://www.blair.com/product/eyelet-jacket?id=a9ab1fe12d1f4aa29d39066750594b2b&amp;category=/clearance/save-85-/")</f>
        <v/>
      </c>
      <c r="B36" s="1">
        <f>HYPERLINK("https://www.blair.com/product/eyelet-jacket?id=a9ab1fe12d1f4aa29d39066750594b2b", "https://www.blair.com/product/eyelet-jacket?id=a9ab1fe12d1f4aa29d39066750594b2b")</f>
        <v/>
      </c>
      <c r="C36" t="inlineStr">
        <is>
          <t>Eyelet Jacket</t>
        </is>
      </c>
      <c r="D36" t="inlineStr">
        <is>
          <t>chouyatou Women's Sexy Hollow Out Eyelet Lace Embroidered Open Front Cardigan Jacket</t>
        </is>
      </c>
      <c r="E36" s="1">
        <f>HYPERLINK("https://www.amazon.com/chouyatou-Womens-Hollow-Embroidered-Cardigan/dp/B09Z6MW1LR/ref=sr_1_3?keywords=Eyelet+Jacket&amp;qid=1695763881&amp;sr=8-3", "https://www.amazon.com/chouyatou-Womens-Hollow-Embroidered-Cardigan/dp/B09Z6MW1LR/ref=sr_1_3?keywords=Eyelet+Jacket&amp;qid=1695763881&amp;sr=8-3")</f>
        <v/>
      </c>
      <c r="F36" t="inlineStr">
        <is>
          <t>B09Z6MW1LR</t>
        </is>
      </c>
      <c r="G36">
        <f>_xlfn.IMAGE("https://s7d9.scene7.com/is/image/orchardbrands/B11453_0014?hei=475&amp;wid=356&amp;resMode=sharp2")</f>
        <v/>
      </c>
      <c r="H36">
        <f>_xlfn.IMAGE("https://m.media-amazon.com/images/I/6119FKBnW4L._AC_UL320_.jpg")</f>
        <v/>
      </c>
      <c r="K36" t="inlineStr">
        <is>
          <t>5.97</t>
        </is>
      </c>
      <c r="L36" t="n">
        <v>20.24</v>
      </c>
      <c r="M36" s="2" t="inlineStr">
        <is>
          <t>239.03%</t>
        </is>
      </c>
      <c r="N36" t="n">
        <v>4.1</v>
      </c>
      <c r="O36" t="n">
        <v>16</v>
      </c>
      <c r="Q36" t="inlineStr">
        <is>
          <t>InStock</t>
        </is>
      </c>
      <c r="R36" t="inlineStr">
        <is>
          <t>46.99</t>
        </is>
      </c>
      <c r="S36" t="inlineStr">
        <is>
          <t>B11453</t>
        </is>
      </c>
    </row>
    <row r="37" ht="75" customHeight="1">
      <c r="A37" s="1">
        <f>HYPERLINK("https://www.blair.com/product/pants-set?id=0dc39000623644619ee6e41fa591afe9&amp;category=/clearance/save-85-/", "https://www.blair.com/product/pants-set?id=0dc39000623644619ee6e41fa591afe9&amp;category=/clearance/save-85-/")</f>
        <v/>
      </c>
      <c r="B37" s="1">
        <f>HYPERLINK("https://www.blair.com/product/pants-set?id=0dc39000623644619ee6e41fa591afe9", "https://www.blair.com/product/pants-set?id=0dc39000623644619ee6e41fa591afe9")</f>
        <v/>
      </c>
      <c r="C37" t="inlineStr">
        <is>
          <t>Pants Set</t>
        </is>
      </c>
      <c r="D37" t="inlineStr">
        <is>
          <t>Floerns Women's 2 Piece Outfits Slit Hem Longline Blouse and Wide Leg Pants Set</t>
        </is>
      </c>
      <c r="E37" s="1">
        <f>HYPERLINK("https://www.amazon.com/Floerns-Womens-Outfits-Longline-Blouse/dp/B09WH332ST/ref=sr_1_4?keywords=Pants+Set&amp;qid=1695763879&amp;sr=8-4", "https://www.amazon.com/Floerns-Womens-Outfits-Longline-Blouse/dp/B09WH332ST/ref=sr_1_4?keywords=Pants+Set&amp;qid=1695763879&amp;sr=8-4")</f>
        <v/>
      </c>
      <c r="F37" t="inlineStr">
        <is>
          <t>B09WH332ST</t>
        </is>
      </c>
      <c r="G37">
        <f>_xlfn.IMAGE("https://s7d9.scene7.com/is/image/orchardbrands/B12664_T459?hei=475&amp;wid=356&amp;resMode=sharp2")</f>
        <v/>
      </c>
      <c r="H37">
        <f>_xlfn.IMAGE("https://m.media-amazon.com/images/I/61SDC0ypIeL._AC_UL320_.jpg")</f>
        <v/>
      </c>
      <c r="K37" t="inlineStr">
        <is>
          <t>6.97</t>
        </is>
      </c>
      <c r="L37" t="n">
        <v>49.99</v>
      </c>
      <c r="M37" s="2" t="inlineStr">
        <is>
          <t>617.22%</t>
        </is>
      </c>
      <c r="N37" t="n">
        <v>3.9</v>
      </c>
      <c r="O37" t="n">
        <v>331</v>
      </c>
      <c r="Q37" t="inlineStr">
        <is>
          <t>InStock</t>
        </is>
      </c>
      <c r="R37" t="inlineStr">
        <is>
          <t>49.99</t>
        </is>
      </c>
      <c r="S37" t="inlineStr">
        <is>
          <t>B12664</t>
        </is>
      </c>
    </row>
    <row r="38" ht="75" customHeight="1">
      <c r="A38" s="1">
        <f>HYPERLINK("https://www.blair.com/product/pants-set?id=0dc39000623644619ee6e41fa591afe9&amp;category=/clearance/save-85-/", "https://www.blair.com/product/pants-set?id=0dc39000623644619ee6e41fa591afe9&amp;category=/clearance/save-85-/")</f>
        <v/>
      </c>
      <c r="B38" s="1">
        <f>HYPERLINK("https://www.blair.com/product/pants-set?id=0dc39000623644619ee6e41fa591afe9", "https://www.blair.com/product/pants-set?id=0dc39000623644619ee6e41fa591afe9")</f>
        <v/>
      </c>
      <c r="C38" t="inlineStr">
        <is>
          <t>Pants Set</t>
        </is>
      </c>
      <c r="D38" t="inlineStr">
        <is>
          <t>kaimimei Casual 2 Piece Outfit for Women - Linen Long Sleeve Button Down Shirt + Flare Pleated Wide Leg Pants Sets Streetwear</t>
        </is>
      </c>
      <c r="E38" s="1">
        <f>HYPERLINK("https://www.amazon.com/kaimimei-Pants-Women-Piece-Outfits/dp/B0BB77M4C8/ref=sr_1_3?keywords=Pants+Set&amp;qid=1695763879&amp;sr=8-3", "https://www.amazon.com/kaimimei-Pants-Women-Piece-Outfits/dp/B0BB77M4C8/ref=sr_1_3?keywords=Pants+Set&amp;qid=1695763879&amp;sr=8-3")</f>
        <v/>
      </c>
      <c r="F38" t="inlineStr">
        <is>
          <t>B0BB77M4C8</t>
        </is>
      </c>
      <c r="G38">
        <f>_xlfn.IMAGE("https://s7d9.scene7.com/is/image/orchardbrands/B12664_T459?hei=475&amp;wid=356&amp;resMode=sharp2")</f>
        <v/>
      </c>
      <c r="H38">
        <f>_xlfn.IMAGE("https://m.media-amazon.com/images/I/61erhAQKnML._AC_UL320_.jpg")</f>
        <v/>
      </c>
      <c r="K38" t="inlineStr">
        <is>
          <t>6.97</t>
        </is>
      </c>
      <c r="L38" t="n">
        <v>40.99</v>
      </c>
      <c r="M38" s="2" t="inlineStr">
        <is>
          <t>488.09%</t>
        </is>
      </c>
      <c r="N38" t="n">
        <v>4.2</v>
      </c>
      <c r="O38" t="n">
        <v>625</v>
      </c>
      <c r="Q38" t="inlineStr">
        <is>
          <t>InStock</t>
        </is>
      </c>
      <c r="R38" t="inlineStr">
        <is>
          <t>49.99</t>
        </is>
      </c>
      <c r="S38" t="inlineStr">
        <is>
          <t>B12664</t>
        </is>
      </c>
    </row>
    <row r="39" ht="75" customHeight="1">
      <c r="A39" s="1">
        <f>HYPERLINK("https://www.blair.com/product/pants-set?id=0dc39000623644619ee6e41fa591afe9&amp;category=/clearance/save-85-/", "https://www.blair.com/product/pants-set?id=0dc39000623644619ee6e41fa591afe9&amp;category=/clearance/save-85-/")</f>
        <v/>
      </c>
      <c r="B39" s="1">
        <f>HYPERLINK("https://www.blair.com/product/pants-set?id=0dc39000623644619ee6e41fa591afe9", "https://www.blair.com/product/pants-set?id=0dc39000623644619ee6e41fa591afe9")</f>
        <v/>
      </c>
      <c r="C39" t="inlineStr">
        <is>
          <t>Pants Set</t>
        </is>
      </c>
      <c r="D39" t="inlineStr">
        <is>
          <t>AUTOMET Womens 2 Piece 2023 Fall Clothes Fashion Outfits Two Piece Matching Wide Leg Palazzo Pants Sets Tracksuit Clothes</t>
        </is>
      </c>
      <c r="E39" s="1">
        <f>HYPERLINK("https://www.amazon.com/AUTOMET-Clothes-Matching-Sweatsuit-Tracksuit/dp/B0CD2HQD3K/ref=sr_1_2?keywords=Pants+Set&amp;qid=1695763879&amp;sr=8-2", "https://www.amazon.com/AUTOMET-Clothes-Matching-Sweatsuit-Tracksuit/dp/B0CD2HQD3K/ref=sr_1_2?keywords=Pants+Set&amp;qid=1695763879&amp;sr=8-2")</f>
        <v/>
      </c>
      <c r="F39" t="inlineStr">
        <is>
          <t>B0CD2HQD3K</t>
        </is>
      </c>
      <c r="G39">
        <f>_xlfn.IMAGE("https://s7d9.scene7.com/is/image/orchardbrands/B12664_T459?hei=475&amp;wid=356&amp;resMode=sharp2")</f>
        <v/>
      </c>
      <c r="H39">
        <f>_xlfn.IMAGE("https://m.media-amazon.com/images/I/71LJ8d1K3wL._AC_UL320_.jpg")</f>
        <v/>
      </c>
      <c r="K39" t="inlineStr">
        <is>
          <t>6.97</t>
        </is>
      </c>
      <c r="L39" t="n">
        <v>40.99</v>
      </c>
      <c r="M39" s="2" t="inlineStr">
        <is>
          <t>488.09%</t>
        </is>
      </c>
      <c r="N39" t="n">
        <v>4.8</v>
      </c>
      <c r="O39" t="n">
        <v>6</v>
      </c>
      <c r="Q39" t="inlineStr">
        <is>
          <t>InStock</t>
        </is>
      </c>
      <c r="R39" t="inlineStr">
        <is>
          <t>49.99</t>
        </is>
      </c>
      <c r="S39" t="inlineStr">
        <is>
          <t>B12664</t>
        </is>
      </c>
    </row>
    <row r="40" ht="75" customHeight="1">
      <c r="A40" s="1">
        <f>HYPERLINK("https://www.blair.com/product/sheath-dress?id=21b8147993b3451c934e1d41b0c913cc&amp;category=/clearance/save-85-/", "https://www.blair.com/product/sheath-dress?id=21b8147993b3451c934e1d41b0c913cc&amp;category=/clearance/save-85-/")</f>
        <v/>
      </c>
      <c r="B40" s="1">
        <f>HYPERLINK("https://www.blair.com/product/sheath-dress?id=21b8147993b3451c934e1d41b0c913cc", "https://www.blair.com/product/sheath-dress?id=21b8147993b3451c934e1d41b0c913cc")</f>
        <v/>
      </c>
      <c r="C40" t="inlineStr">
        <is>
          <t>Sheath Dress</t>
        </is>
      </c>
      <c r="D40" t="inlineStr">
        <is>
          <t>DKNY Women's Jewel Neck Dress Sleeveless Sheath Short Length</t>
        </is>
      </c>
      <c r="E40" s="1">
        <f>HYPERLINK("https://www.amazon.com/DKNY-Womens-Sleeveless-Sheath-Length/dp/B0C264X8RS/ref=sr_1_3?keywords=Sheath+Dress&amp;qid=1695763886&amp;sr=8-3", "https://www.amazon.com/DKNY-Womens-Sleeveless-Sheath-Length/dp/B0C264X8RS/ref=sr_1_3?keywords=Sheath+Dress&amp;qid=1695763886&amp;sr=8-3")</f>
        <v/>
      </c>
      <c r="F40" t="inlineStr">
        <is>
          <t>B0C264X8RS</t>
        </is>
      </c>
      <c r="G40">
        <f>_xlfn.IMAGE("https://s7d9.scene7.com/is/image/orchardbrands/B17353?hei=475&amp;wid=356&amp;resMode=sharp2")</f>
        <v/>
      </c>
      <c r="H40">
        <f>_xlfn.IMAGE("https://m.media-amazon.com/images/I/51Gj7w0GHOL._MCnd_AC_UL320_.jpg")</f>
        <v/>
      </c>
      <c r="K40" t="inlineStr">
        <is>
          <t>5.97</t>
        </is>
      </c>
      <c r="L40" t="n">
        <v>129</v>
      </c>
      <c r="M40" s="2" t="inlineStr">
        <is>
          <t>2060.80%</t>
        </is>
      </c>
      <c r="N40" t="n">
        <v>5</v>
      </c>
      <c r="O40" t="n">
        <v>2</v>
      </c>
      <c r="Q40" t="inlineStr">
        <is>
          <t>InStock</t>
        </is>
      </c>
      <c r="R40" t="inlineStr">
        <is>
          <t>44.99</t>
        </is>
      </c>
      <c r="S40" t="inlineStr">
        <is>
          <t>B17353</t>
        </is>
      </c>
    </row>
    <row r="41" ht="75" customHeight="1">
      <c r="A41" s="1">
        <f>HYPERLINK("https://www.blair.com/product/sheath-dress?id=21b8147993b3451c934e1d41b0c913cc&amp;category=/clearance/save-85-/", "https://www.blair.com/product/sheath-dress?id=21b8147993b3451c934e1d41b0c913cc&amp;category=/clearance/save-85-/")</f>
        <v/>
      </c>
      <c r="B41" s="1">
        <f>HYPERLINK("https://www.blair.com/product/sheath-dress?id=21b8147993b3451c934e1d41b0c913cc", "https://www.blair.com/product/sheath-dress?id=21b8147993b3451c934e1d41b0c913cc")</f>
        <v/>
      </c>
      <c r="C41" t="inlineStr">
        <is>
          <t>Sheath Dress</t>
        </is>
      </c>
      <c r="D41" t="inlineStr">
        <is>
          <t>Calvin Klein Short Sleeved Seamed Sheath Women’s Casual Dresses with Professional Flair</t>
        </is>
      </c>
      <c r="E41" s="1">
        <f>HYPERLINK("https://www.amazon.com/Calvin-Klein-Womens-Sleeved-Princess/dp/B07J9L7VQV/ref=sr_1_4?keywords=Sheath+Dress&amp;qid=1695763886&amp;sr=8-4", "https://www.amazon.com/Calvin-Klein-Womens-Sleeved-Princess/dp/B07J9L7VQV/ref=sr_1_4?keywords=Sheath+Dress&amp;qid=1695763886&amp;sr=8-4")</f>
        <v/>
      </c>
      <c r="F41" t="inlineStr">
        <is>
          <t>B07J9L7VQV</t>
        </is>
      </c>
      <c r="G41">
        <f>_xlfn.IMAGE("https://s7d9.scene7.com/is/image/orchardbrands/B17353?hei=475&amp;wid=356&amp;resMode=sharp2")</f>
        <v/>
      </c>
      <c r="H41">
        <f>_xlfn.IMAGE("https://m.media-amazon.com/images/I/61p8msgel+S._MCnd_AC_UL320_.jpg")</f>
        <v/>
      </c>
      <c r="K41" t="inlineStr">
        <is>
          <t>5.97</t>
        </is>
      </c>
      <c r="L41" t="n">
        <v>99.93000000000001</v>
      </c>
      <c r="M41" s="2" t="inlineStr">
        <is>
          <t>1573.87%</t>
        </is>
      </c>
      <c r="N41" t="n">
        <v>4.3</v>
      </c>
      <c r="O41" t="n">
        <v>358</v>
      </c>
      <c r="Q41" t="inlineStr">
        <is>
          <t>InStock</t>
        </is>
      </c>
      <c r="R41" t="inlineStr">
        <is>
          <t>44.99</t>
        </is>
      </c>
      <c r="S41" t="inlineStr">
        <is>
          <t>B17353</t>
        </is>
      </c>
    </row>
    <row r="42" ht="75" customHeight="1">
      <c r="A42" s="1">
        <f>HYPERLINK("https://www.blair.com/product/sheath-dress?id=21b8147993b3451c934e1d41b0c913cc&amp;category=/clearance/save-85-/", "https://www.blair.com/product/sheath-dress?id=21b8147993b3451c934e1d41b0c913cc&amp;category=/clearance/save-85-/")</f>
        <v/>
      </c>
      <c r="B42" s="1">
        <f>HYPERLINK("https://www.blair.com/product/sheath-dress?id=21b8147993b3451c934e1d41b0c913cc", "https://www.blair.com/product/sheath-dress?id=21b8147993b3451c934e1d41b0c913cc")</f>
        <v/>
      </c>
      <c r="C42" t="inlineStr">
        <is>
          <t>Sheath Dress</t>
        </is>
      </c>
      <c r="D42" t="inlineStr">
        <is>
          <t>Kasper Women's Sleeveless Sheath Dress</t>
        </is>
      </c>
      <c r="E42" s="1">
        <f>HYPERLINK("https://www.amazon.com/Kasper-Womens-Sleeveless-Sheath-Dress/dp/B087T2SPTS/ref=sr_1_9?keywords=Sheath+Dress&amp;qid=1695763886&amp;sr=8-9", "https://www.amazon.com/Kasper-Womens-Sleeveless-Sheath-Dress/dp/B087T2SPTS/ref=sr_1_9?keywords=Sheath+Dress&amp;qid=1695763886&amp;sr=8-9")</f>
        <v/>
      </c>
      <c r="F42" t="inlineStr">
        <is>
          <t>B087T2SPTS</t>
        </is>
      </c>
      <c r="G42">
        <f>_xlfn.IMAGE("https://s7d9.scene7.com/is/image/orchardbrands/B17353?hei=475&amp;wid=356&amp;resMode=sharp2")</f>
        <v/>
      </c>
      <c r="H42">
        <f>_xlfn.IMAGE("https://m.media-amazon.com/images/I/61zQYvsjnwL._MCnd_AC_UL320_.jpg")</f>
        <v/>
      </c>
      <c r="K42" t="inlineStr">
        <is>
          <t>5.97</t>
        </is>
      </c>
      <c r="L42" t="n">
        <v>58.99</v>
      </c>
      <c r="M42" s="2" t="inlineStr">
        <is>
          <t>888.11%</t>
        </is>
      </c>
      <c r="N42" t="n">
        <v>4.4</v>
      </c>
      <c r="O42" t="n">
        <v>871</v>
      </c>
      <c r="Q42" t="inlineStr">
        <is>
          <t>InStock</t>
        </is>
      </c>
      <c r="R42" t="inlineStr">
        <is>
          <t>44.99</t>
        </is>
      </c>
      <c r="S42" t="inlineStr">
        <is>
          <t>B17353</t>
        </is>
      </c>
    </row>
    <row r="43" ht="75" customHeight="1">
      <c r="A43" s="1">
        <f>HYPERLINK("https://www.blair.com/product/sheath-dress?id=21b8147993b3451c934e1d41b0c913cc&amp;category=/clearance/save-85-/", "https://www.blair.com/product/sheath-dress?id=21b8147993b3451c934e1d41b0c913cc&amp;category=/clearance/save-85-/")</f>
        <v/>
      </c>
      <c r="B43" s="1">
        <f>HYPERLINK("https://www.blair.com/product/sheath-dress?id=21b8147993b3451c934e1d41b0c913cc", "https://www.blair.com/product/sheath-dress?id=21b8147993b3451c934e1d41b0c913cc")</f>
        <v/>
      </c>
      <c r="C43" t="inlineStr">
        <is>
          <t>Sheath Dress</t>
        </is>
      </c>
      <c r="D43" t="inlineStr">
        <is>
          <t>MINTLIMIT Women Sheath Dress Puff Tulip Short Sleeve Lining Business Wear to Work Pencil Dress</t>
        </is>
      </c>
      <c r="E43" s="1">
        <f>HYPERLINK("https://www.amazon.com/Sheath-Sleeve-Lining-Business-Pencil/dp/B0BY1F5Y8D/ref=sr_1_10?keywords=Sheath+Dress&amp;qid=1695763886&amp;sr=8-10", "https://www.amazon.com/Sheath-Sleeve-Lining-Business-Pencil/dp/B0BY1F5Y8D/ref=sr_1_10?keywords=Sheath+Dress&amp;qid=1695763886&amp;sr=8-10")</f>
        <v/>
      </c>
      <c r="F43" t="inlineStr">
        <is>
          <t>B0BY1F5Y8D</t>
        </is>
      </c>
      <c r="G43">
        <f>_xlfn.IMAGE("https://s7d9.scene7.com/is/image/orchardbrands/B17353?hei=475&amp;wid=356&amp;resMode=sharp2")</f>
        <v/>
      </c>
      <c r="H43">
        <f>_xlfn.IMAGE("https://m.media-amazon.com/images/I/61vol0PcZjL._MCnd_AC_UL320_.jpg")</f>
        <v/>
      </c>
      <c r="K43" t="inlineStr">
        <is>
          <t>5.97</t>
        </is>
      </c>
      <c r="L43" t="n">
        <v>44.59</v>
      </c>
      <c r="M43" s="2" t="inlineStr">
        <is>
          <t>646.90%</t>
        </is>
      </c>
      <c r="N43" t="n">
        <v>4.4</v>
      </c>
      <c r="O43" t="n">
        <v>3</v>
      </c>
      <c r="Q43" t="inlineStr">
        <is>
          <t>InStock</t>
        </is>
      </c>
      <c r="R43" t="inlineStr">
        <is>
          <t>44.99</t>
        </is>
      </c>
      <c r="S43" t="inlineStr">
        <is>
          <t>B17353</t>
        </is>
      </c>
    </row>
    <row r="44" ht="75" customHeight="1">
      <c r="A44" s="1">
        <f>HYPERLINK("https://www.blair.com/product/sheath-dress?id=21b8147993b3451c934e1d41b0c913cc&amp;category=/clearance/save-85-/", "https://www.blair.com/product/sheath-dress?id=21b8147993b3451c934e1d41b0c913cc&amp;category=/clearance/save-85-/")</f>
        <v/>
      </c>
      <c r="B44" s="1">
        <f>HYPERLINK("https://www.blair.com/product/sheath-dress?id=21b8147993b3451c934e1d41b0c913cc", "https://www.blair.com/product/sheath-dress?id=21b8147993b3451c934e1d41b0c913cc")</f>
        <v/>
      </c>
      <c r="C44" t="inlineStr">
        <is>
          <t>Sheath Dress</t>
        </is>
      </c>
      <c r="D44" t="inlineStr">
        <is>
          <t>Allegra K Work Sheath Dress for Women's Tie Neck Knit Long Sleeve Midi Dress</t>
        </is>
      </c>
      <c r="E44" s="1" t="n"/>
      <c r="F44" t="inlineStr">
        <is>
          <t>B0CC83XTRL</t>
        </is>
      </c>
      <c r="G44">
        <f>_xlfn.IMAGE("https://s7d9.scene7.com/is/image/orchardbrands/B17353?hei=475&amp;wid=356&amp;resMode=sharp2")</f>
        <v/>
      </c>
      <c r="H44">
        <f>_xlfn.IMAGE("https://m.media-amazon.com/images/I/61-gaO2i4OL._MCnd_AC_UL320_.jpg")</f>
        <v/>
      </c>
      <c r="K44" t="inlineStr">
        <is>
          <t>5.97</t>
        </is>
      </c>
      <c r="L44" t="n">
        <v>41.88</v>
      </c>
      <c r="M44" s="2" t="inlineStr">
        <is>
          <t>601.51%</t>
        </is>
      </c>
      <c r="N44" t="n">
        <v>4.5</v>
      </c>
      <c r="O44" t="n">
        <v>12</v>
      </c>
      <c r="Q44" t="inlineStr">
        <is>
          <t>InStock</t>
        </is>
      </c>
      <c r="R44" t="inlineStr">
        <is>
          <t>44.99</t>
        </is>
      </c>
      <c r="S44" t="inlineStr">
        <is>
          <t>B17353</t>
        </is>
      </c>
    </row>
    <row r="45" ht="75" customHeight="1">
      <c r="A45" s="1">
        <f>HYPERLINK("https://www.blair.com/product/shirred-shoulder-dolman-top?id=d481428f17ab43c5b0bbe6f77dd4cb73&amp;category=/clearance/save-85-/", "https://www.blair.com/product/shirred-shoulder-dolman-top?id=d481428f17ab43c5b0bbe6f77dd4cb73&amp;category=/clearance/save-85-/")</f>
        <v/>
      </c>
      <c r="B45" s="1">
        <f>HYPERLINK("https://www.blair.com/product/shirred-shoulder-dolman-top?id=d481428f17ab43c5b0bbe6f77dd4cb73", "https://www.blair.com/product/shirred-shoulder-dolman-top?id=d481428f17ab43c5b0bbe6f77dd4cb73")</f>
        <v/>
      </c>
      <c r="C45" t="inlineStr">
        <is>
          <t>Shirred Shoulder Dolman Top</t>
        </is>
      </c>
      <c r="D45" t="inlineStr">
        <is>
          <t>Verdusa Women's One Shoulder Dolman Sleeve Longline Tunic Tee Top Blouse</t>
        </is>
      </c>
      <c r="E45" s="1">
        <f>HYPERLINK("https://www.amazon.com/Verdusa-Womens-Casual-Shoulder-Longline/dp/B0B76Q4ZR4/ref=sr_1_10?keywords=Shirred+Shoulder+Dolman+Top&amp;qid=1695763881&amp;sr=8-10", "https://www.amazon.com/Verdusa-Womens-Casual-Shoulder-Longline/dp/B0B76Q4ZR4/ref=sr_1_10?keywords=Shirred+Shoulder+Dolman+Top&amp;qid=1695763881&amp;sr=8-10")</f>
        <v/>
      </c>
      <c r="F45" t="inlineStr">
        <is>
          <t>B0B76Q4ZR4</t>
        </is>
      </c>
      <c r="G45">
        <f>_xlfn.IMAGE("https://s7d9.scene7.com/is/image/orchardbrands/B15631_L082?hei=475&amp;wid=356&amp;resMode=sharp2")</f>
        <v/>
      </c>
      <c r="H45">
        <f>_xlfn.IMAGE("https://m.media-amazon.com/images/I/81wsnTvrWXL._AC_UL320_.jpg")</f>
        <v/>
      </c>
      <c r="K45" t="inlineStr">
        <is>
          <t>5.97</t>
        </is>
      </c>
      <c r="L45" t="n">
        <v>26.99</v>
      </c>
      <c r="M45" s="2" t="inlineStr">
        <is>
          <t>352.09%</t>
        </is>
      </c>
      <c r="N45" t="n">
        <v>3.8</v>
      </c>
      <c r="O45" t="n">
        <v>108</v>
      </c>
      <c r="Q45" t="inlineStr">
        <is>
          <t>InStock</t>
        </is>
      </c>
      <c r="R45" t="inlineStr">
        <is>
          <t>39.99</t>
        </is>
      </c>
      <c r="S45" t="inlineStr">
        <is>
          <t>B15631</t>
        </is>
      </c>
    </row>
    <row r="46" ht="75" customHeight="1">
      <c r="A46" s="1">
        <f>HYPERLINK("https://www.blair.com/product/shirred-shoulder-dolman-top?id=d481428f17ab43c5b0bbe6f77dd4cb73&amp;category=/clearance/save-85-/", "https://www.blair.com/product/shirred-shoulder-dolman-top?id=d481428f17ab43c5b0bbe6f77dd4cb73&amp;category=/clearance/save-85-/")</f>
        <v/>
      </c>
      <c r="B46" s="1">
        <f>HYPERLINK("https://www.blair.com/product/shirred-shoulder-dolman-top?id=d481428f17ab43c5b0bbe6f77dd4cb73", "https://www.blair.com/product/shirred-shoulder-dolman-top?id=d481428f17ab43c5b0bbe6f77dd4cb73")</f>
        <v/>
      </c>
      <c r="C46" t="inlineStr">
        <is>
          <t>Shirred Shoulder Dolman Top</t>
        </is>
      </c>
      <c r="D46" t="inlineStr">
        <is>
          <t>Isaac Liev Women's Tunic Top – Casual 3/4 Batwing Dolman Sleeve Off Shoulder Baggy Oversized Loose Fit Flowy T Shirt Blouse</t>
        </is>
      </c>
      <c r="E46" s="1">
        <f>HYPERLINK("https://www.amazon.com/Isaac-Liev-Batwing-Shoulder-Oversized/dp/B07JPKF6DS/ref=sr_1_5?keywords=Shirred+Shoulder+Dolman+Top&amp;qid=1695763881&amp;sr=8-5", "https://www.amazon.com/Isaac-Liev-Batwing-Shoulder-Oversized/dp/B07JPKF6DS/ref=sr_1_5?keywords=Shirred+Shoulder+Dolman+Top&amp;qid=1695763881&amp;sr=8-5")</f>
        <v/>
      </c>
      <c r="F46" t="inlineStr">
        <is>
          <t>B07JPKF6DS</t>
        </is>
      </c>
      <c r="G46">
        <f>_xlfn.IMAGE("https://s7d9.scene7.com/is/image/orchardbrands/B15631_L082?hei=475&amp;wid=356&amp;resMode=sharp2")</f>
        <v/>
      </c>
      <c r="H46">
        <f>_xlfn.IMAGE("https://m.media-amazon.com/images/I/61NTMmtmj8L._AC_UL320_.jpg")</f>
        <v/>
      </c>
      <c r="K46" t="inlineStr">
        <is>
          <t>5.97</t>
        </is>
      </c>
      <c r="L46" t="n">
        <v>26.99</v>
      </c>
      <c r="M46" s="2" t="inlineStr">
        <is>
          <t>352.09%</t>
        </is>
      </c>
      <c r="N46" t="n">
        <v>4.1</v>
      </c>
      <c r="O46" t="n">
        <v>2196</v>
      </c>
      <c r="Q46" t="inlineStr">
        <is>
          <t>InStock</t>
        </is>
      </c>
      <c r="R46" t="inlineStr">
        <is>
          <t>39.99</t>
        </is>
      </c>
      <c r="S46" t="inlineStr">
        <is>
          <t>B15631</t>
        </is>
      </c>
    </row>
    <row r="47" ht="75" customHeight="1">
      <c r="A47" s="1">
        <f>HYPERLINK("https://www.blair.com/product/shirred-shoulder-dolman-top?id=d481428f17ab43c5b0bbe6f77dd4cb73&amp;category=/clearance/save-85-/", "https://www.blair.com/product/shirred-shoulder-dolman-top?id=d481428f17ab43c5b0bbe6f77dd4cb73&amp;category=/clearance/save-85-/")</f>
        <v/>
      </c>
      <c r="B47" s="1">
        <f>HYPERLINK("https://www.blair.com/product/shirred-shoulder-dolman-top?id=d481428f17ab43c5b0bbe6f77dd4cb73", "https://www.blair.com/product/shirred-shoulder-dolman-top?id=d481428f17ab43c5b0bbe6f77dd4cb73")</f>
        <v/>
      </c>
      <c r="C47" t="inlineStr">
        <is>
          <t>Shirred Shoulder Dolman Top</t>
        </is>
      </c>
      <c r="D47" t="inlineStr">
        <is>
          <t>Dokotoo Women's Off The Shoulder Tops Shirred Neck Ruffle Sleeve Flowy Cotton Blouses Shirts</t>
        </is>
      </c>
      <c r="E47" s="1">
        <f>HYPERLINK("https://www.amazon.com/Dokotoo-Womens-Shoulder-Shirred-Blouses/dp/B0C998M61X/ref=sr_1_2?keywords=Shirred+Shoulder+Dolman+Top&amp;qid=1695763881&amp;sr=8-2", "https://www.amazon.com/Dokotoo-Womens-Shoulder-Shirred-Blouses/dp/B0C998M61X/ref=sr_1_2?keywords=Shirred+Shoulder+Dolman+Top&amp;qid=1695763881&amp;sr=8-2")</f>
        <v/>
      </c>
      <c r="F47" t="inlineStr">
        <is>
          <t>B0C998M61X</t>
        </is>
      </c>
      <c r="G47">
        <f>_xlfn.IMAGE("https://s7d9.scene7.com/is/image/orchardbrands/B15631_L082?hei=475&amp;wid=356&amp;resMode=sharp2")</f>
        <v/>
      </c>
      <c r="H47">
        <f>_xlfn.IMAGE("https://m.media-amazon.com/images/I/61FI6nZgECL._AC_UL320_.jpg")</f>
        <v/>
      </c>
      <c r="K47" t="inlineStr">
        <is>
          <t>5.97</t>
        </is>
      </c>
      <c r="L47" t="n">
        <v>25.99</v>
      </c>
      <c r="M47" s="2" t="inlineStr">
        <is>
          <t>335.34%</t>
        </is>
      </c>
      <c r="N47" t="n">
        <v>3.9</v>
      </c>
      <c r="O47" t="n">
        <v>77</v>
      </c>
      <c r="Q47" t="inlineStr">
        <is>
          <t>InStock</t>
        </is>
      </c>
      <c r="R47" t="inlineStr">
        <is>
          <t>39.99</t>
        </is>
      </c>
      <c r="S47" t="inlineStr">
        <is>
          <t>B15631</t>
        </is>
      </c>
    </row>
    <row r="48" ht="75" customHeight="1">
      <c r="A48" s="1">
        <f>HYPERLINK("https://www.blair.com/product/shirred-shoulder-dolman-top?id=d481428f17ab43c5b0bbe6f77dd4cb73&amp;category=/clearance/save-85-/", "https://www.blair.com/product/shirred-shoulder-dolman-top?id=d481428f17ab43c5b0bbe6f77dd4cb73&amp;category=/clearance/save-85-/")</f>
        <v/>
      </c>
      <c r="B48" s="1">
        <f>HYPERLINK("https://www.blair.com/product/shirred-shoulder-dolman-top?id=d481428f17ab43c5b0bbe6f77dd4cb73", "https://www.blair.com/product/shirred-shoulder-dolman-top?id=d481428f17ab43c5b0bbe6f77dd4cb73")</f>
        <v/>
      </c>
      <c r="C48" t="inlineStr">
        <is>
          <t>Shirred Shoulder Dolman Top</t>
        </is>
      </c>
      <c r="D48" t="inlineStr">
        <is>
          <t>Verdusa Women's Drawstring Knot Side One Shoulder Dolman Sleeve Blouse Top</t>
        </is>
      </c>
      <c r="E48" s="1">
        <f>HYPERLINK("https://www.amazon.com/Verdusa-Womens-Drawstring-Shoulder-Dolman/dp/B0C2GQK8MP/ref=sr_1_8?keywords=Shirred+Shoulder+Dolman+Top&amp;qid=1695763881&amp;sr=8-8", "https://www.amazon.com/Verdusa-Womens-Drawstring-Shoulder-Dolman/dp/B0C2GQK8MP/ref=sr_1_8?keywords=Shirred+Shoulder+Dolman+Top&amp;qid=1695763881&amp;sr=8-8")</f>
        <v/>
      </c>
      <c r="F48" t="inlineStr">
        <is>
          <t>B0C2GQK8MP</t>
        </is>
      </c>
      <c r="G48">
        <f>_xlfn.IMAGE("https://s7d9.scene7.com/is/image/orchardbrands/B15631_L082?hei=475&amp;wid=356&amp;resMode=sharp2")</f>
        <v/>
      </c>
      <c r="H48">
        <f>_xlfn.IMAGE("https://m.media-amazon.com/images/I/81ZcRs1Jh2L._AC_UL320_.jpg")</f>
        <v/>
      </c>
      <c r="K48" t="inlineStr">
        <is>
          <t>5.97</t>
        </is>
      </c>
      <c r="L48" t="n">
        <v>21.99</v>
      </c>
      <c r="M48" s="2" t="inlineStr">
        <is>
          <t>268.34%</t>
        </is>
      </c>
      <c r="N48" t="n">
        <v>4</v>
      </c>
      <c r="O48" t="n">
        <v>2</v>
      </c>
      <c r="Q48" t="inlineStr">
        <is>
          <t>InStock</t>
        </is>
      </c>
      <c r="R48" t="inlineStr">
        <is>
          <t>39.99</t>
        </is>
      </c>
      <c r="S48" t="inlineStr">
        <is>
          <t>B15631</t>
        </is>
      </c>
    </row>
    <row r="49" ht="75" customHeight="1">
      <c r="A49" s="1">
        <f>HYPERLINK("https://www.blair.com/product/shirred-shoulder-dolman-top?id=d481428f17ab43c5b0bbe6f77dd4cb73&amp;category=/clearance/save-85-/", "https://www.blair.com/product/shirred-shoulder-dolman-top?id=d481428f17ab43c5b0bbe6f77dd4cb73&amp;category=/clearance/save-85-/")</f>
        <v/>
      </c>
      <c r="B49" s="1">
        <f>HYPERLINK("https://www.blair.com/product/shirred-shoulder-dolman-top?id=d481428f17ab43c5b0bbe6f77dd4cb73", "https://www.blair.com/product/shirred-shoulder-dolman-top?id=d481428f17ab43c5b0bbe6f77dd4cb73")</f>
        <v/>
      </c>
      <c r="C49" t="inlineStr">
        <is>
          <t>Shirred Shoulder Dolman Top</t>
        </is>
      </c>
      <c r="D49" t="inlineStr">
        <is>
          <t>Simlu Dolman Tops for Women Off The Shoulder Tops Banded Waistband Shirts 3/4 Sleeves Regular and Plus Size Tops</t>
        </is>
      </c>
      <c r="E49" s="1">
        <f>HYPERLINK("https://www.amazon.com/Dolman-Sleeve-Shoulder-Drape-Banded/dp/B07DKKYKFK/ref=sr_1_1?keywords=Shirred+Shoulder+Dolman+Top&amp;qid=1695763881&amp;sr=8-1", "https://www.amazon.com/Dolman-Sleeve-Shoulder-Drape-Banded/dp/B07DKKYKFK/ref=sr_1_1?keywords=Shirred+Shoulder+Dolman+Top&amp;qid=1695763881&amp;sr=8-1")</f>
        <v/>
      </c>
      <c r="F49" t="inlineStr">
        <is>
          <t>B07DKKYKFK</t>
        </is>
      </c>
      <c r="G49">
        <f>_xlfn.IMAGE("https://s7d9.scene7.com/is/image/orchardbrands/B15631_L082?hei=475&amp;wid=356&amp;resMode=sharp2")</f>
        <v/>
      </c>
      <c r="H49">
        <f>_xlfn.IMAGE("https://m.media-amazon.com/images/I/61S5x0mcqtL._AC_UL320_.jpg")</f>
        <v/>
      </c>
      <c r="K49" t="inlineStr">
        <is>
          <t>5.97</t>
        </is>
      </c>
      <c r="L49" t="n">
        <v>19.99</v>
      </c>
      <c r="M49" s="2" t="inlineStr">
        <is>
          <t>234.84%</t>
        </is>
      </c>
      <c r="N49" t="n">
        <v>4.3</v>
      </c>
      <c r="O49" t="n">
        <v>11788</v>
      </c>
      <c r="Q49" t="inlineStr">
        <is>
          <t>InStock</t>
        </is>
      </c>
      <c r="R49" t="inlineStr">
        <is>
          <t>39.99</t>
        </is>
      </c>
      <c r="S49" t="inlineStr">
        <is>
          <t>B15631</t>
        </is>
      </c>
    </row>
    <row r="50" ht="75" customHeight="1">
      <c r="A50" s="1">
        <f>HYPERLINK("https://www.blair.com/product/stripe-notch-neck-sweater?id=ae4b2f6f90c548189dae51b0c06149cc&amp;category=/clearance/save-85-/", "https://www.blair.com/product/stripe-notch-neck-sweater?id=ae4b2f6f90c548189dae51b0c06149cc&amp;category=/clearance/save-85-/")</f>
        <v/>
      </c>
      <c r="B50" s="1">
        <f>HYPERLINK("https://www.blair.com/product/stripe-notch-neck-sweater?id=ae4b2f6f90c548189dae51b0c06149cc", "https://www.blair.com/product/stripe-notch-neck-sweater?id=ae4b2f6f90c548189dae51b0c06149cc")</f>
        <v/>
      </c>
      <c r="C50" t="inlineStr">
        <is>
          <t>Stripe Notch-Neck Sweater</t>
        </is>
      </c>
      <c r="D50" t="inlineStr">
        <is>
          <t>ZESICA Women's 2023 Winter Striped Sweaters Lapel V Neck Long Sleeve Chunky Knit Oversized Pullover Sweater Jumper Tops</t>
        </is>
      </c>
      <c r="E50" s="1">
        <f>HYPERLINK("https://www.amazon.com/ZESICA-Striped-Sweaters-Oversized-Pullover/dp/B0CFY3GGW5/ref=sr_1_4?keywords=Stripe+Notch-Neck+Sweater&amp;qid=1695763879&amp;sr=8-4", "https://www.amazon.com/ZESICA-Striped-Sweaters-Oversized-Pullover/dp/B0CFY3GGW5/ref=sr_1_4?keywords=Stripe+Notch-Neck+Sweater&amp;qid=1695763879&amp;sr=8-4")</f>
        <v/>
      </c>
      <c r="F50" t="inlineStr">
        <is>
          <t>B0CFY3GGW5</t>
        </is>
      </c>
      <c r="G50">
        <f>_xlfn.IMAGE("https://s7d9.scene7.com/is/image/orchardbrands/B16304?hei=475&amp;wid=356&amp;resMode=sharp2")</f>
        <v/>
      </c>
      <c r="H50">
        <f>_xlfn.IMAGE("https://m.media-amazon.com/images/I/71R4x1YBYJL._AC_UF264,320_.jpg")</f>
        <v/>
      </c>
      <c r="K50" t="inlineStr">
        <is>
          <t>5.97</t>
        </is>
      </c>
      <c r="L50" t="n">
        <v>40.99</v>
      </c>
      <c r="M50" s="2" t="inlineStr">
        <is>
          <t>586.60%</t>
        </is>
      </c>
      <c r="N50" t="n">
        <v>4.6</v>
      </c>
      <c r="O50" t="n">
        <v>13</v>
      </c>
      <c r="Q50" t="inlineStr">
        <is>
          <t>InStock</t>
        </is>
      </c>
      <c r="R50" t="inlineStr">
        <is>
          <t>39.99</t>
        </is>
      </c>
      <c r="S50" t="inlineStr">
        <is>
          <t>B16304</t>
        </is>
      </c>
    </row>
    <row r="51" ht="75" customHeight="1">
      <c r="A51" s="1">
        <f>HYPERLINK("https://www.blair.com/product/stripe-notch-neck-sweater?id=ae4b2f6f90c548189dae51b0c06149cc&amp;category=/clearance/save-85-/", "https://www.blair.com/product/stripe-notch-neck-sweater?id=ae4b2f6f90c548189dae51b0c06149cc&amp;category=/clearance/save-85-/")</f>
        <v/>
      </c>
      <c r="B51" s="1">
        <f>HYPERLINK("https://www.blair.com/product/stripe-notch-neck-sweater?id=ae4b2f6f90c548189dae51b0c06149cc", "https://www.blair.com/product/stripe-notch-neck-sweater?id=ae4b2f6f90c548189dae51b0c06149cc")</f>
        <v/>
      </c>
      <c r="C51" t="inlineStr">
        <is>
          <t>Stripe Notch-Neck Sweater</t>
        </is>
      </c>
      <c r="D51" t="inlineStr">
        <is>
          <t>Fisoew Womens Striped Pullover Sweater Crew Neck Long Sleeve Knitted Color Block Casual Loose Lightweight Sweaters for Women</t>
        </is>
      </c>
      <c r="E51" s="1">
        <f>HYPERLINK("https://www.amazon.com/Fisoew-Striped-Pullover-Lightweight-Sweaters/dp/B0C3CX8HS6/ref=sr_1_8?keywords=Stripe+Notch-Neck+Sweater&amp;qid=1695763879&amp;sr=8-8", "https://www.amazon.com/Fisoew-Striped-Pullover-Lightweight-Sweaters/dp/B0C3CX8HS6/ref=sr_1_8?keywords=Stripe+Notch-Neck+Sweater&amp;qid=1695763879&amp;sr=8-8")</f>
        <v/>
      </c>
      <c r="F51" t="inlineStr">
        <is>
          <t>B0C3CX8HS6</t>
        </is>
      </c>
      <c r="G51">
        <f>_xlfn.IMAGE("https://s7d9.scene7.com/is/image/orchardbrands/B16304?hei=475&amp;wid=356&amp;resMode=sharp2")</f>
        <v/>
      </c>
      <c r="H51">
        <f>_xlfn.IMAGE("https://m.media-amazon.com/images/I/71cNDToRyvL._AC_UF264,320_.jpg")</f>
        <v/>
      </c>
      <c r="K51" t="inlineStr">
        <is>
          <t>5.97</t>
        </is>
      </c>
      <c r="L51" t="n">
        <v>39.99</v>
      </c>
      <c r="M51" s="2" t="inlineStr">
        <is>
          <t>569.85%</t>
        </is>
      </c>
      <c r="N51" t="n">
        <v>4.6</v>
      </c>
      <c r="O51" t="n">
        <v>46</v>
      </c>
      <c r="Q51" t="inlineStr">
        <is>
          <t>InStock</t>
        </is>
      </c>
      <c r="R51" t="inlineStr">
        <is>
          <t>39.99</t>
        </is>
      </c>
      <c r="S51" t="inlineStr">
        <is>
          <t>B16304</t>
        </is>
      </c>
    </row>
    <row r="52" ht="75" customHeight="1">
      <c r="A52" s="1">
        <f>HYPERLINK("https://www.blair.com/product/stripe-notch-neck-sweater?id=ae4b2f6f90c548189dae51b0c06149cc&amp;category=/clearance/save-85-/", "https://www.blair.com/product/stripe-notch-neck-sweater?id=ae4b2f6f90c548189dae51b0c06149cc&amp;category=/clearance/save-85-/")</f>
        <v/>
      </c>
      <c r="B52" s="1">
        <f>HYPERLINK("https://www.blair.com/product/stripe-notch-neck-sweater?id=ae4b2f6f90c548189dae51b0c06149cc", "https://www.blair.com/product/stripe-notch-neck-sweater?id=ae4b2f6f90c548189dae51b0c06149cc")</f>
        <v/>
      </c>
      <c r="C52" t="inlineStr">
        <is>
          <t>Stripe Notch-Neck Sweater</t>
        </is>
      </c>
      <c r="D52" t="inlineStr">
        <is>
          <t>PRETTYGARDEN Women's Fashion Long Sleeve Striped Color Block Knitted Sweater Crew Neck Loose Pullover Jumper Tops</t>
        </is>
      </c>
      <c r="E52" s="1">
        <f>HYPERLINK("https://www.amazon.com/Fashion-Striped-Knitted-Sweater-Pullover/dp/B08DCSZLZK/ref=sr_1_2?keywords=Stripe+Notch-Neck+Sweater&amp;qid=1695763879&amp;sr=8-2", "https://www.amazon.com/Fashion-Striped-Knitted-Sweater-Pullover/dp/B08DCSZLZK/ref=sr_1_2?keywords=Stripe+Notch-Neck+Sweater&amp;qid=1695763879&amp;sr=8-2")</f>
        <v/>
      </c>
      <c r="F52" t="inlineStr">
        <is>
          <t>B08DCSZLZK</t>
        </is>
      </c>
      <c r="G52">
        <f>_xlfn.IMAGE("https://s7d9.scene7.com/is/image/orchardbrands/B16304?hei=475&amp;wid=356&amp;resMode=sharp2")</f>
        <v/>
      </c>
      <c r="H52">
        <f>_xlfn.IMAGE("https://m.media-amazon.com/images/I/71dYNuvGGwL._AC_UF264,320_.jpg")</f>
        <v/>
      </c>
      <c r="K52" t="inlineStr">
        <is>
          <t>5.97</t>
        </is>
      </c>
      <c r="L52" t="n">
        <v>38.99</v>
      </c>
      <c r="M52" s="2" t="inlineStr">
        <is>
          <t>553.10%</t>
        </is>
      </c>
      <c r="N52" t="n">
        <v>4</v>
      </c>
      <c r="O52" t="n">
        <v>5803</v>
      </c>
      <c r="Q52" t="inlineStr">
        <is>
          <t>InStock</t>
        </is>
      </c>
      <c r="R52" t="inlineStr">
        <is>
          <t>39.99</t>
        </is>
      </c>
      <c r="S52" t="inlineStr">
        <is>
          <t>B16304</t>
        </is>
      </c>
    </row>
    <row r="53" ht="75" customHeight="1">
      <c r="A53" s="1">
        <f>HYPERLINK("https://www.blair.com/product/stripe-notch-neck-sweater?id=ae4b2f6f90c548189dae51b0c06149cc&amp;category=/clearance/save-85-/", "https://www.blair.com/product/stripe-notch-neck-sweater?id=ae4b2f6f90c548189dae51b0c06149cc&amp;category=/clearance/save-85-/")</f>
        <v/>
      </c>
      <c r="B53" s="1">
        <f>HYPERLINK("https://www.blair.com/product/stripe-notch-neck-sweater?id=ae4b2f6f90c548189dae51b0c06149cc", "https://www.blair.com/product/stripe-notch-neck-sweater?id=ae4b2f6f90c548189dae51b0c06149cc")</f>
        <v/>
      </c>
      <c r="C53" t="inlineStr">
        <is>
          <t>Stripe Notch-Neck Sweater</t>
        </is>
      </c>
      <c r="D53" t="inlineStr">
        <is>
          <t>GUNEST Women’s Striped Sweater Long Sleeve Crew Neck Ribbed Knit 2023 Fall Winter Pullover Sweater Tops</t>
        </is>
      </c>
      <c r="E53" s="1">
        <f>HYPERLINK("https://www.amazon.com/GUNEST-Womens-Striped-Sweater-Pullover/dp/B0C9HM833W/ref=sr_1_6?keywords=Stripe+Notch-Neck+Sweater&amp;qid=1695763879&amp;sr=8-6", "https://www.amazon.com/GUNEST-Womens-Striped-Sweater-Pullover/dp/B0C9HM833W/ref=sr_1_6?keywords=Stripe+Notch-Neck+Sweater&amp;qid=1695763879&amp;sr=8-6")</f>
        <v/>
      </c>
      <c r="F53" t="inlineStr">
        <is>
          <t>B0C9HM833W</t>
        </is>
      </c>
      <c r="G53">
        <f>_xlfn.IMAGE("https://s7d9.scene7.com/is/image/orchardbrands/B16304?hei=475&amp;wid=356&amp;resMode=sharp2")</f>
        <v/>
      </c>
      <c r="H53">
        <f>_xlfn.IMAGE("https://m.media-amazon.com/images/I/61ho9eGZ6kL._AC_UF264,320_.jpg")</f>
        <v/>
      </c>
      <c r="K53" t="inlineStr">
        <is>
          <t>5.97</t>
        </is>
      </c>
      <c r="L53" t="n">
        <v>36.99</v>
      </c>
      <c r="M53" s="2" t="inlineStr">
        <is>
          <t>519.60%</t>
        </is>
      </c>
      <c r="N53" t="n">
        <v>4.7</v>
      </c>
      <c r="O53" t="n">
        <v>22</v>
      </c>
      <c r="Q53" t="inlineStr">
        <is>
          <t>InStock</t>
        </is>
      </c>
      <c r="R53" t="inlineStr">
        <is>
          <t>39.99</t>
        </is>
      </c>
      <c r="S53" t="inlineStr">
        <is>
          <t>B16304</t>
        </is>
      </c>
    </row>
    <row r="54" ht="75" customHeight="1">
      <c r="A54" s="1">
        <f>HYPERLINK("https://www.blair.com/product/stripe-notch-neck-sweater?id=ae4b2f6f90c548189dae51b0c06149cc&amp;category=/clearance/save-85-/", "https://www.blair.com/product/stripe-notch-neck-sweater?id=ae4b2f6f90c548189dae51b0c06149cc&amp;category=/clearance/save-85-/")</f>
        <v/>
      </c>
      <c r="B54" s="1">
        <f>HYPERLINK("https://www.blair.com/product/stripe-notch-neck-sweater?id=ae4b2f6f90c548189dae51b0c06149cc", "https://www.blair.com/product/stripe-notch-neck-sweater?id=ae4b2f6f90c548189dae51b0c06149cc")</f>
        <v/>
      </c>
      <c r="C54" t="inlineStr">
        <is>
          <t>Stripe Notch-Neck Sweater</t>
        </is>
      </c>
      <c r="D54" t="inlineStr">
        <is>
          <t>MEROKEETY Women's Long Sleeve Crew Neck Striped Crop Sweater Ribbed Knit Pullover Jumper Tops</t>
        </is>
      </c>
      <c r="E54" s="1">
        <f>HYPERLINK("https://www.amazon.com/MEROKEETY-Lightweight-Striped-Pullover-Sweater/dp/B0CB39TFP6/ref=sr_1_9?keywords=Stripe+Notch-Neck+Sweater&amp;qid=1695763879&amp;sr=8-9", "https://www.amazon.com/MEROKEETY-Lightweight-Striped-Pullover-Sweater/dp/B0CB39TFP6/ref=sr_1_9?keywords=Stripe+Notch-Neck+Sweater&amp;qid=1695763879&amp;sr=8-9")</f>
        <v/>
      </c>
      <c r="F54" t="inlineStr">
        <is>
          <t>B0CB39TFP6</t>
        </is>
      </c>
      <c r="G54">
        <f>_xlfn.IMAGE("https://s7d9.scene7.com/is/image/orchardbrands/B16304?hei=475&amp;wid=356&amp;resMode=sharp2")</f>
        <v/>
      </c>
      <c r="H54">
        <f>_xlfn.IMAGE("https://m.media-amazon.com/images/I/81iWl6cF1wL._AC_UF264,320_.jpg")</f>
        <v/>
      </c>
      <c r="K54" t="inlineStr">
        <is>
          <t>5.97</t>
        </is>
      </c>
      <c r="L54" t="n">
        <v>33.99</v>
      </c>
      <c r="M54" s="2" t="inlineStr">
        <is>
          <t>469.35%</t>
        </is>
      </c>
      <c r="N54" t="n">
        <v>4.4</v>
      </c>
      <c r="O54" t="n">
        <v>22</v>
      </c>
      <c r="Q54" t="inlineStr">
        <is>
          <t>InStock</t>
        </is>
      </c>
      <c r="R54" t="inlineStr">
        <is>
          <t>39.99</t>
        </is>
      </c>
      <c r="S54" t="inlineStr">
        <is>
          <t>B16304</t>
        </is>
      </c>
    </row>
    <row r="55" ht="75" customHeight="1">
      <c r="A55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55" s="1">
        <f>HYPERLINK("https://www.blair.com/product/tie-front-cardigan?id=867213b4f36047bca448edefeecbae06", "https://www.blair.com/product/tie-front-cardigan?id=867213b4f36047bca448edefeecbae06")</f>
        <v/>
      </c>
      <c r="C55" t="inlineStr">
        <is>
          <t>Tie Front Cardigan</t>
        </is>
      </c>
      <c r="D55" t="inlineStr">
        <is>
          <t>SOLY HUX Women's Tie Front Tops Bell Long Sleeve Knit Crochet Cardigan Crop Top</t>
        </is>
      </c>
      <c r="E55" s="1">
        <f>HYPERLINK("https://www.amazon.com/SOLY-HUX-Crochet-Cardigan-Apricot/dp/B0BWY967VG/ref=sr_1_4?keywords=Tie+Front+Cardigan&amp;qid=1695763884&amp;sr=8-4", "https://www.amazon.com/SOLY-HUX-Crochet-Cardigan-Apricot/dp/B0BWY967VG/ref=sr_1_4?keywords=Tie+Front+Cardigan&amp;qid=1695763884&amp;sr=8-4")</f>
        <v/>
      </c>
      <c r="F55" t="inlineStr">
        <is>
          <t>B0BWY967VG</t>
        </is>
      </c>
      <c r="G55">
        <f>_xlfn.IMAGE("https://s7d9.scene7.com/is/image/orchardbrands/B16308_S592?hei=475&amp;wid=356&amp;resMode=sharp2")</f>
        <v/>
      </c>
      <c r="H55">
        <f>_xlfn.IMAGE("https://m.media-amazon.com/images/I/81RnQBf0M6L._AC_UL320_.jpg")</f>
        <v/>
      </c>
      <c r="K55" t="inlineStr">
        <is>
          <t>5.97</t>
        </is>
      </c>
      <c r="L55" t="n">
        <v>30.99</v>
      </c>
      <c r="M55" s="2" t="inlineStr">
        <is>
          <t>419.10%</t>
        </is>
      </c>
      <c r="N55" t="n">
        <v>4.5</v>
      </c>
      <c r="O55" t="n">
        <v>45</v>
      </c>
      <c r="Q55" t="inlineStr">
        <is>
          <t>InStock</t>
        </is>
      </c>
      <c r="R55" t="inlineStr">
        <is>
          <t>59.99</t>
        </is>
      </c>
      <c r="S55" t="inlineStr">
        <is>
          <t>B16308</t>
        </is>
      </c>
    </row>
    <row r="56" ht="75" customHeight="1">
      <c r="A56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56" s="1">
        <f>HYPERLINK("https://www.blair.com/product/tie-front-cardigan?id=867213b4f36047bca448edefeecbae06", "https://www.blair.com/product/tie-front-cardigan?id=867213b4f36047bca448edefeecbae06")</f>
        <v/>
      </c>
      <c r="C56" t="inlineStr">
        <is>
          <t>Tie Front Cardigan</t>
        </is>
      </c>
      <c r="D56" t="inlineStr">
        <is>
          <t>Floerns Women's Tie Front Long Sleeve Rib Knit Shrug Sweaters Cardigan Crop Top</t>
        </is>
      </c>
      <c r="E56" s="1">
        <f>HYPERLINK("https://www.amazon.com/Floerns-Womens-Front-Sleeve-Cardigan/dp/B08JQ1PLX2/ref=sr_1_1?keywords=Tie+Front+Cardigan&amp;qid=1695763884&amp;sr=8-1", "https://www.amazon.com/Floerns-Womens-Front-Sleeve-Cardigan/dp/B08JQ1PLX2/ref=sr_1_1?keywords=Tie+Front+Cardigan&amp;qid=1695763884&amp;sr=8-1")</f>
        <v/>
      </c>
      <c r="F56" t="inlineStr">
        <is>
          <t>B08JQ1PLX2</t>
        </is>
      </c>
      <c r="G56">
        <f>_xlfn.IMAGE("https://s7d9.scene7.com/is/image/orchardbrands/B16308_S592?hei=475&amp;wid=356&amp;resMode=sharp2")</f>
        <v/>
      </c>
      <c r="H56">
        <f>_xlfn.IMAGE("https://m.media-amazon.com/images/I/71sYhVlPGOL._AC_UL320_.jpg")</f>
        <v/>
      </c>
      <c r="K56" t="inlineStr">
        <is>
          <t>5.97</t>
        </is>
      </c>
      <c r="L56" t="n">
        <v>27.99</v>
      </c>
      <c r="M56" s="2" t="inlineStr">
        <is>
          <t>368.84%</t>
        </is>
      </c>
      <c r="N56" t="n">
        <v>4.1</v>
      </c>
      <c r="O56" t="n">
        <v>1050</v>
      </c>
      <c r="Q56" t="inlineStr">
        <is>
          <t>InStock</t>
        </is>
      </c>
      <c r="R56" t="inlineStr">
        <is>
          <t>59.99</t>
        </is>
      </c>
      <c r="S56" t="inlineStr">
        <is>
          <t>B16308</t>
        </is>
      </c>
    </row>
    <row r="57" ht="75" customHeight="1">
      <c r="A57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57" s="1">
        <f>HYPERLINK("https://www.blair.com/product/tie-front-cardigan?id=867213b4f36047bca448edefeecbae06", "https://www.blair.com/product/tie-front-cardigan?id=867213b4f36047bca448edefeecbae06")</f>
        <v/>
      </c>
      <c r="C57" t="inlineStr">
        <is>
          <t>Tie Front Cardigan</t>
        </is>
      </c>
      <c r="D57" t="inlineStr">
        <is>
          <t>SOLY HUX Women's V-Neck Tie Front Long Sleeve Rib-Knit Cardigan Sweater Crop Top</t>
        </is>
      </c>
      <c r="E57" s="1">
        <f>HYPERLINK("https://www.amazon.com/SOLY-HUX-Rib-Knit-Cardigan-Sweater/dp/B09ZV5RNTG/ref=sr_1_3?keywords=Tie+Front+Cardigan&amp;qid=1695763884&amp;sr=8-3", "https://www.amazon.com/SOLY-HUX-Rib-Knit-Cardigan-Sweater/dp/B09ZV5RNTG/ref=sr_1_3?keywords=Tie+Front+Cardigan&amp;qid=1695763884&amp;sr=8-3")</f>
        <v/>
      </c>
      <c r="F57" t="inlineStr">
        <is>
          <t>B09ZV5RNTG</t>
        </is>
      </c>
      <c r="G57">
        <f>_xlfn.IMAGE("https://s7d9.scene7.com/is/image/orchardbrands/B16308_S592?hei=475&amp;wid=356&amp;resMode=sharp2")</f>
        <v/>
      </c>
      <c r="H57">
        <f>_xlfn.IMAGE("https://m.media-amazon.com/images/I/71jIgM8TGFL._AC_UL320_.jpg")</f>
        <v/>
      </c>
      <c r="K57" t="inlineStr">
        <is>
          <t>5.97</t>
        </is>
      </c>
      <c r="L57" t="n">
        <v>26.99</v>
      </c>
      <c r="M57" s="2" t="inlineStr">
        <is>
          <t>352.09%</t>
        </is>
      </c>
      <c r="N57" t="n">
        <v>4.3</v>
      </c>
      <c r="O57" t="n">
        <v>35</v>
      </c>
      <c r="Q57" t="inlineStr">
        <is>
          <t>InStock</t>
        </is>
      </c>
      <c r="R57" t="inlineStr">
        <is>
          <t>59.99</t>
        </is>
      </c>
      <c r="S57" t="inlineStr">
        <is>
          <t>B16308</t>
        </is>
      </c>
    </row>
    <row r="58" ht="75" customHeight="1">
      <c r="A58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58" s="1">
        <f>HYPERLINK("https://www.blair.com/product/tie-front-cardigan?id=867213b4f36047bca448edefeecbae06", "https://www.blair.com/product/tie-front-cardigan?id=867213b4f36047bca448edefeecbae06")</f>
        <v/>
      </c>
      <c r="C58" t="inlineStr">
        <is>
          <t>Tie Front Cardigan</t>
        </is>
      </c>
      <c r="D58" t="inlineStr">
        <is>
          <t>Verdusa Women's 90s Top Bell Long Sleeve Tie Front Textured Sheer T-Shirt Cardigan</t>
        </is>
      </c>
      <c r="E58" s="1">
        <f>HYPERLINK("https://www.amazon.com/Verdusa-Womens-Textured-T-Shirt-Cardigan/dp/B0B6BW2CQL/ref=sr_1_8?keywords=Tie+Front+Cardigan&amp;qid=1695763884&amp;sr=8-8", "https://www.amazon.com/Verdusa-Womens-Textured-T-Shirt-Cardigan/dp/B0B6BW2CQL/ref=sr_1_8?keywords=Tie+Front+Cardigan&amp;qid=1695763884&amp;sr=8-8")</f>
        <v/>
      </c>
      <c r="F58" t="inlineStr">
        <is>
          <t>B0B6BW2CQL</t>
        </is>
      </c>
      <c r="G58">
        <f>_xlfn.IMAGE("https://s7d9.scene7.com/is/image/orchardbrands/B16308_S592?hei=475&amp;wid=356&amp;resMode=sharp2")</f>
        <v/>
      </c>
      <c r="H58">
        <f>_xlfn.IMAGE("https://m.media-amazon.com/images/I/61WaZ+XtLcL._AC_UL320_.jpg")</f>
        <v/>
      </c>
      <c r="K58" t="inlineStr">
        <is>
          <t>5.97</t>
        </is>
      </c>
      <c r="L58" t="n">
        <v>25.99</v>
      </c>
      <c r="M58" s="2" t="inlineStr">
        <is>
          <t>335.34%</t>
        </is>
      </c>
      <c r="N58" t="n">
        <v>4.3</v>
      </c>
      <c r="O58" t="n">
        <v>165</v>
      </c>
      <c r="Q58" t="inlineStr">
        <is>
          <t>InStock</t>
        </is>
      </c>
      <c r="R58" t="inlineStr">
        <is>
          <t>59.99</t>
        </is>
      </c>
      <c r="S58" t="inlineStr">
        <is>
          <t>B16308</t>
        </is>
      </c>
    </row>
    <row r="59" ht="75" customHeight="1">
      <c r="A59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59" s="1">
        <f>HYPERLINK("https://www.blair.com/product/tie-front-cardigan?id=867213b4f36047bca448edefeecbae06", "https://www.blair.com/product/tie-front-cardigan?id=867213b4f36047bca448edefeecbae06")</f>
        <v/>
      </c>
      <c r="C59" t="inlineStr">
        <is>
          <t>Tie Front Cardigan</t>
        </is>
      </c>
      <c r="D59" t="inlineStr">
        <is>
          <t>SOLY HUX Women's Tie Up Long Sleeve Lettuce Trim Crop Top Open Front Cardigan Sweaters</t>
        </is>
      </c>
      <c r="E59" s="1">
        <f>HYPERLINK("https://www.amazon.com/SOLY-HUX-Lettuce-Cardigan-Sweaters/dp/B08FHSMBXL/ref=sr_1_7?keywords=Tie+Front+Cardigan&amp;qid=1695763884&amp;sr=8-7", "https://www.amazon.com/SOLY-HUX-Lettuce-Cardigan-Sweaters/dp/B08FHSMBXL/ref=sr_1_7?keywords=Tie+Front+Cardigan&amp;qid=1695763884&amp;sr=8-7")</f>
        <v/>
      </c>
      <c r="F59" t="inlineStr">
        <is>
          <t>B08FHSMBXL</t>
        </is>
      </c>
      <c r="G59">
        <f>_xlfn.IMAGE("https://s7d9.scene7.com/is/image/orchardbrands/B16308_S592?hei=475&amp;wid=356&amp;resMode=sharp2")</f>
        <v/>
      </c>
      <c r="H59">
        <f>_xlfn.IMAGE("https://m.media-amazon.com/images/I/71CyGasTAML._AC_UL320_.jpg")</f>
        <v/>
      </c>
      <c r="K59" t="inlineStr">
        <is>
          <t>5.97</t>
        </is>
      </c>
      <c r="L59" t="n">
        <v>25.99</v>
      </c>
      <c r="M59" s="2" t="inlineStr">
        <is>
          <t>335.34%</t>
        </is>
      </c>
      <c r="N59" t="n">
        <v>4.3</v>
      </c>
      <c r="O59" t="n">
        <v>125</v>
      </c>
      <c r="Q59" t="inlineStr">
        <is>
          <t>InStock</t>
        </is>
      </c>
      <c r="R59" t="inlineStr">
        <is>
          <t>59.99</t>
        </is>
      </c>
      <c r="S59" t="inlineStr">
        <is>
          <t>B16308</t>
        </is>
      </c>
    </row>
    <row r="60" ht="75" customHeight="1">
      <c r="A60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60" s="1">
        <f>HYPERLINK("https://www.blair.com/product/tie-front-cardigan?id=867213b4f36047bca448edefeecbae06", "https://www.blair.com/product/tie-front-cardigan?id=867213b4f36047bca448edefeecbae06")</f>
        <v/>
      </c>
      <c r="C60" t="inlineStr">
        <is>
          <t>Tie Front Cardigan</t>
        </is>
      </c>
      <c r="D60" t="inlineStr">
        <is>
          <t>Verdusa Women's Tie Front Drop Shoulder Long Sleeve Ribbed Knit Cardigan Crop Top</t>
        </is>
      </c>
      <c r="E60" s="1">
        <f>HYPERLINK("https://www.amazon.com/Verdusa-Womens-Shoulder-Cardigan-Apricot/dp/B0BS12HW6S/ref=sr_1_5?keywords=Tie+Front+Cardigan&amp;qid=1695763884&amp;sr=8-5", "https://www.amazon.com/Verdusa-Womens-Shoulder-Cardigan-Apricot/dp/B0BS12HW6S/ref=sr_1_5?keywords=Tie+Front+Cardigan&amp;qid=1695763884&amp;sr=8-5")</f>
        <v/>
      </c>
      <c r="F60" t="inlineStr">
        <is>
          <t>B0BS12HW6S</t>
        </is>
      </c>
      <c r="G60">
        <f>_xlfn.IMAGE("https://s7d9.scene7.com/is/image/orchardbrands/B16308_S592?hei=475&amp;wid=356&amp;resMode=sharp2")</f>
        <v/>
      </c>
      <c r="H60">
        <f>_xlfn.IMAGE("https://m.media-amazon.com/images/I/81+eTrhdk0L._AC_UL320_.jpg")</f>
        <v/>
      </c>
      <c r="K60" t="inlineStr">
        <is>
          <t>5.97</t>
        </is>
      </c>
      <c r="L60" t="n">
        <v>25.99</v>
      </c>
      <c r="M60" s="2" t="inlineStr">
        <is>
          <t>335.34%</t>
        </is>
      </c>
      <c r="N60" t="n">
        <v>4.4</v>
      </c>
      <c r="O60" t="n">
        <v>14</v>
      </c>
      <c r="Q60" t="inlineStr">
        <is>
          <t>InStock</t>
        </is>
      </c>
      <c r="R60" t="inlineStr">
        <is>
          <t>59.99</t>
        </is>
      </c>
      <c r="S60" t="inlineStr">
        <is>
          <t>B16308</t>
        </is>
      </c>
    </row>
    <row r="61" ht="75" customHeight="1">
      <c r="A61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61" s="1">
        <f>HYPERLINK("https://www.blair.com/product/tie-front-cardigan?id=867213b4f36047bca448edefeecbae06", "https://www.blair.com/product/tie-front-cardigan?id=867213b4f36047bca448edefeecbae06")</f>
        <v/>
      </c>
      <c r="C61" t="inlineStr">
        <is>
          <t>Tie Front Cardigan</t>
        </is>
      </c>
      <c r="D61" t="inlineStr">
        <is>
          <t>Floerns Women's Plus Size Long Sleeve Rib Knit Tie Front Cropped Cardigan</t>
        </is>
      </c>
      <c r="E61" s="1">
        <f>HYPERLINK("https://www.amazon.com/Floerns-Womens-Sleeve-Lettuce-Cardigan/dp/B09GTMDX9F/ref=sr_1_10?keywords=Tie+Front+Cardigan&amp;qid=1695763884&amp;sr=8-10", "https://www.amazon.com/Floerns-Womens-Sleeve-Lettuce-Cardigan/dp/B09GTMDX9F/ref=sr_1_10?keywords=Tie+Front+Cardigan&amp;qid=1695763884&amp;sr=8-10")</f>
        <v/>
      </c>
      <c r="F61" t="inlineStr">
        <is>
          <t>B09GTMDX9F</t>
        </is>
      </c>
      <c r="G61">
        <f>_xlfn.IMAGE("https://s7d9.scene7.com/is/image/orchardbrands/B16308_S592?hei=475&amp;wid=356&amp;resMode=sharp2")</f>
        <v/>
      </c>
      <c r="H61">
        <f>_xlfn.IMAGE("https://m.media-amazon.com/images/I/515EO9kEOIL._AC_UL320_.jpg")</f>
        <v/>
      </c>
      <c r="K61" t="inlineStr">
        <is>
          <t>5.97</t>
        </is>
      </c>
      <c r="L61" t="n">
        <v>23.99</v>
      </c>
      <c r="M61" s="2" t="inlineStr">
        <is>
          <t>301.84%</t>
        </is>
      </c>
      <c r="N61" t="n">
        <v>4</v>
      </c>
      <c r="O61" t="n">
        <v>108</v>
      </c>
      <c r="Q61" t="inlineStr">
        <is>
          <t>InStock</t>
        </is>
      </c>
      <c r="R61" t="inlineStr">
        <is>
          <t>59.99</t>
        </is>
      </c>
      <c r="S61" t="inlineStr">
        <is>
          <t>B16308</t>
        </is>
      </c>
    </row>
    <row r="62" ht="75" customHeight="1">
      <c r="A62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62" s="1">
        <f>HYPERLINK("https://www.blair.com/product/tie-front-cardigan?id=867213b4f36047bca448edefeecbae06", "https://www.blair.com/product/tie-front-cardigan?id=867213b4f36047bca448edefeecbae06")</f>
        <v/>
      </c>
      <c r="C62" t="inlineStr">
        <is>
          <t>Tie Front Cardigan</t>
        </is>
      </c>
      <c r="D62" t="inlineStr">
        <is>
          <t>Verdusa Women's Sheer Shrug Crop Top Long Sleeve Tie Front Lettuce Trim Mesh Open Cardigan Top</t>
        </is>
      </c>
      <c r="E62" s="1">
        <f>HYPERLINK("https://www.amazon.com/Verdusa-Womens-Sleeve-Lettuce-Cardigan/dp/B0BNJGR86W/ref=sr_1_2?keywords=Tie+Front+Cardigan&amp;qid=1695763884&amp;sr=8-2", "https://www.amazon.com/Verdusa-Womens-Sleeve-Lettuce-Cardigan/dp/B0BNJGR86W/ref=sr_1_2?keywords=Tie+Front+Cardigan&amp;qid=1695763884&amp;sr=8-2")</f>
        <v/>
      </c>
      <c r="F62" t="inlineStr">
        <is>
          <t>B0BNJGR86W</t>
        </is>
      </c>
      <c r="G62">
        <f>_xlfn.IMAGE("https://s7d9.scene7.com/is/image/orchardbrands/B16308_S592?hei=475&amp;wid=356&amp;resMode=sharp2")</f>
        <v/>
      </c>
      <c r="H62">
        <f>_xlfn.IMAGE("https://m.media-amazon.com/images/I/616kRN9eweL._AC_UL320_.jpg")</f>
        <v/>
      </c>
      <c r="K62" t="inlineStr">
        <is>
          <t>5.97</t>
        </is>
      </c>
      <c r="L62" t="n">
        <v>23.99</v>
      </c>
      <c r="M62" s="2" t="inlineStr">
        <is>
          <t>301.84%</t>
        </is>
      </c>
      <c r="N62" t="n">
        <v>4</v>
      </c>
      <c r="O62" t="n">
        <v>12</v>
      </c>
      <c r="Q62" t="inlineStr">
        <is>
          <t>InStock</t>
        </is>
      </c>
      <c r="R62" t="inlineStr">
        <is>
          <t>59.99</t>
        </is>
      </c>
      <c r="S62" t="inlineStr">
        <is>
          <t>B16308</t>
        </is>
      </c>
    </row>
    <row r="63" ht="75" customHeight="1">
      <c r="A63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63" s="1">
        <f>HYPERLINK("https://www.blair.com/product/tie-front-cardigan?id=867213b4f36047bca448edefeecbae06", "https://www.blair.com/product/tie-front-cardigan?id=867213b4f36047bca448edefeecbae06")</f>
        <v/>
      </c>
      <c r="C63" t="inlineStr">
        <is>
          <t>Tie Front Cardigan</t>
        </is>
      </c>
      <c r="D63" t="inlineStr">
        <is>
          <t>VOIANLIMO Women's Tie Front Casual 3/4 Sleeve Cropped Bolero Lightweight Sheer Shrug Cardigans S-XL</t>
        </is>
      </c>
      <c r="E63" s="1">
        <f>HYPERLINK("https://www.amazon.com/VOIANLIMO-Womens-Cropped-Lightweight-Cardigans/dp/B0BVTGBSSB/ref=sr_1_6?keywords=Tie+Front+Cardigan&amp;qid=1695763884&amp;sr=8-6", "https://www.amazon.com/VOIANLIMO-Womens-Cropped-Lightweight-Cardigans/dp/B0BVTGBSSB/ref=sr_1_6?keywords=Tie+Front+Cardigan&amp;qid=1695763884&amp;sr=8-6")</f>
        <v/>
      </c>
      <c r="F63" t="inlineStr">
        <is>
          <t>B0BVTGBSSB</t>
        </is>
      </c>
      <c r="G63">
        <f>_xlfn.IMAGE("https://s7d9.scene7.com/is/image/orchardbrands/B16308_S592?hei=475&amp;wid=356&amp;resMode=sharp2")</f>
        <v/>
      </c>
      <c r="H63">
        <f>_xlfn.IMAGE("https://m.media-amazon.com/images/I/911jOw-doXL._AC_UL320_.jpg")</f>
        <v/>
      </c>
      <c r="K63" t="inlineStr">
        <is>
          <t>5.97</t>
        </is>
      </c>
      <c r="L63" t="n">
        <v>21.99</v>
      </c>
      <c r="M63" s="2" t="inlineStr">
        <is>
          <t>268.34%</t>
        </is>
      </c>
      <c r="N63" t="n">
        <v>4.3</v>
      </c>
      <c r="O63" t="n">
        <v>105</v>
      </c>
      <c r="Q63" t="inlineStr">
        <is>
          <t>InStock</t>
        </is>
      </c>
      <c r="R63" t="inlineStr">
        <is>
          <t>59.99</t>
        </is>
      </c>
      <c r="S63" t="inlineStr">
        <is>
          <t>B16308</t>
        </is>
      </c>
    </row>
    <row r="64" ht="75" customHeight="1">
      <c r="A64" s="1">
        <f>HYPERLINK("https://www.blair.com/product/tie-front-cardigan?id=867213b4f36047bca448edefeecbae06&amp;category=/clearance/save-85-/", "https://www.blair.com/product/tie-front-cardigan?id=867213b4f36047bca448edefeecbae06&amp;category=/clearance/save-85-/")</f>
        <v/>
      </c>
      <c r="B64" s="1">
        <f>HYPERLINK("https://www.blair.com/product/tie-front-cardigan?id=867213b4f36047bca448edefeecbae06", "https://www.blair.com/product/tie-front-cardigan?id=867213b4f36047bca448edefeecbae06")</f>
        <v/>
      </c>
      <c r="C64" t="inlineStr">
        <is>
          <t>Tie Front Cardigan</t>
        </is>
      </c>
      <c r="D64" t="inlineStr">
        <is>
          <t>Verdusa Women's Tie Front Bell Long Sleeve Crop Cardigan Shrug Top</t>
        </is>
      </c>
      <c r="E64" s="1">
        <f>HYPERLINK("https://www.amazon.com/Verdusa-Womens-Sleeve-Cardigan-Apricot/dp/B0B9S647RD/ref=sr_1_9?keywords=Tie+Front+Cardigan&amp;qid=1695763884&amp;sr=8-9", "https://www.amazon.com/Verdusa-Womens-Sleeve-Cardigan-Apricot/dp/B0B9S647RD/ref=sr_1_9?keywords=Tie+Front+Cardigan&amp;qid=1695763884&amp;sr=8-9")</f>
        <v/>
      </c>
      <c r="F64" t="inlineStr">
        <is>
          <t>B0B9S647RD</t>
        </is>
      </c>
      <c r="G64">
        <f>_xlfn.IMAGE("https://s7d9.scene7.com/is/image/orchardbrands/B16308_S592?hei=475&amp;wid=356&amp;resMode=sharp2")</f>
        <v/>
      </c>
      <c r="H64">
        <f>_xlfn.IMAGE("https://m.media-amazon.com/images/I/61hRLx22vtL._AC_UL320_.jpg")</f>
        <v/>
      </c>
      <c r="K64" t="inlineStr">
        <is>
          <t>5.97</t>
        </is>
      </c>
      <c r="L64" t="n">
        <v>19.99</v>
      </c>
      <c r="M64" s="2" t="inlineStr">
        <is>
          <t>234.84%</t>
        </is>
      </c>
      <c r="N64" t="n">
        <v>4.1</v>
      </c>
      <c r="O64" t="n">
        <v>58</v>
      </c>
      <c r="Q64" t="inlineStr">
        <is>
          <t>InStock</t>
        </is>
      </c>
      <c r="R64" t="inlineStr">
        <is>
          <t>59.99</t>
        </is>
      </c>
      <c r="S64" t="inlineStr">
        <is>
          <t>B16308</t>
        </is>
      </c>
    </row>
    <row r="65" ht="75" customHeight="1">
      <c r="A65" s="1">
        <f>HYPERLINK("https://www.cutleryandmore.com/all-clad-copper-core/saucepan-p1123", "https://www.cutleryandmore.com/all-clad-copper-core/saucepan-p1123")</f>
        <v/>
      </c>
      <c r="B65" s="1">
        <f>HYPERLINK("https://www.cutleryandmore.com/all-clad-copper-core/saucepan-p1123", "https://www.cutleryandmore.com/all-clad-copper-core/saucepan-p1123")</f>
        <v/>
      </c>
      <c r="C65" t="inlineStr">
        <is>
          <t>All-Clad Copper Core Saucepans</t>
        </is>
      </c>
      <c r="D65" t="inlineStr">
        <is>
          <t>All-Clad Copper Core 5-Ply Stainless Steel Cookware Set 10 Piece Induction Oven Broil Safe 600F Pots and Pans</t>
        </is>
      </c>
      <c r="E65" s="1">
        <f>HYPERLINK("https://www.amazon.com/All-Clad-600822-Dishwasher-Cookware-10-Piece/dp/B000MI3BD8/ref=sr_1_3?keywords=All-Clad+Copper+Core+Saucepans&amp;qid=1695763936&amp;sr=8-3", "https://www.amazon.com/All-Clad-600822-Dishwasher-Cookware-10-Piece/dp/B000MI3BD8/ref=sr_1_3?keywords=All-Clad+Copper+Core+Saucepans&amp;qid=1695763936&amp;sr=8-3")</f>
        <v/>
      </c>
      <c r="F65" t="inlineStr">
        <is>
          <t>B000MI3BD8</t>
        </is>
      </c>
      <c r="G65">
        <f>_xlfn.IMAGE("https://cdn.cutleryandmore.com/assets/product/main/123.jpg")</f>
        <v/>
      </c>
      <c r="H65">
        <f>_xlfn.IMAGE("https://m.media-amazon.com/images/I/61M+tkRQIuL._AC_UL320_.jpg")</f>
        <v/>
      </c>
      <c r="K65" t="inlineStr">
        <is>
          <t>199.95</t>
        </is>
      </c>
      <c r="L65" t="n">
        <v>1169.95</v>
      </c>
      <c r="M65" s="2" t="inlineStr">
        <is>
          <t>485.12%</t>
        </is>
      </c>
      <c r="N65" t="n">
        <v>4.6</v>
      </c>
      <c r="O65" t="n">
        <v>516</v>
      </c>
      <c r="Q65" t="inlineStr">
        <is>
          <t>InStock</t>
        </is>
      </c>
      <c r="R65" t="inlineStr">
        <is>
          <t>329.95</t>
        </is>
      </c>
      <c r="S65" t="inlineStr">
        <is>
          <t>8700800028</t>
        </is>
      </c>
    </row>
    <row r="66" ht="75" customHeight="1">
      <c r="A66" s="1">
        <f>HYPERLINK("https://www.cutleryandmore.com/all-clad-stainless/fry-pan-lid-p131818", "https://www.cutleryandmore.com/all-clad-stainless/fry-pan-lid-p131818")</f>
        <v/>
      </c>
      <c r="B66" s="1">
        <f>HYPERLINK("https://www.cutleryandmore.com/all-clad-stainless/fry-pan-lid-p131818", "https://www.cutleryandmore.com/all-clad-stainless/fry-pan-lid-p131818")</f>
        <v/>
      </c>
      <c r="C66" t="inlineStr">
        <is>
          <t>All-Clad d3 Stainless Steel Fry Pans</t>
        </is>
      </c>
      <c r="D66" t="inlineStr">
        <is>
          <t>All-Clad D3 3-Ply Stainless Steel Sauté Pan with Lid 6 Quart Induction Oven Broil Safe 600F Pots and Pans, Cookware</t>
        </is>
      </c>
      <c r="E66" s="1">
        <f>HYPERLINK("https://www.amazon.com/All-Clad-Stainless-Dishwasher-Cookware-6-Quart/dp/B004T6J6BA/ref=sr_1_10?keywords=All-Clad+d3+Stainless+Steel+Fry+Pans&amp;qid=1695763935&amp;sr=8-10", "https://www.amazon.com/All-Clad-Stainless-Dishwasher-Cookware-6-Quart/dp/B004T6J6BA/ref=sr_1_10?keywords=All-Clad+d3+Stainless+Steel+Fry+Pans&amp;qid=1695763935&amp;sr=8-10")</f>
        <v/>
      </c>
      <c r="F66" t="inlineStr">
        <is>
          <t>B004T6J6BA</t>
        </is>
      </c>
      <c r="G66">
        <f>_xlfn.IMAGE("https://cdn.cutleryandmore.com/assets/product/main/31818.jpg")</f>
        <v/>
      </c>
      <c r="H66">
        <f>_xlfn.IMAGE("https://m.media-amazon.com/images/I/61SXYYewgaL._AC_UL320_.jpg")</f>
        <v/>
      </c>
      <c r="K66" t="inlineStr">
        <is>
          <t>129.95</t>
        </is>
      </c>
      <c r="L66" t="n">
        <v>249.95</v>
      </c>
      <c r="M66" s="2" t="inlineStr">
        <is>
          <t>92.34%</t>
        </is>
      </c>
      <c r="N66" t="n">
        <v>4.7</v>
      </c>
      <c r="O66" t="n">
        <v>143</v>
      </c>
      <c r="Q66" t="inlineStr">
        <is>
          <t>InStock</t>
        </is>
      </c>
      <c r="R66" t="inlineStr">
        <is>
          <t>239.95</t>
        </is>
      </c>
      <c r="S66" t="inlineStr">
        <is>
          <t>8701005165</t>
        </is>
      </c>
    </row>
    <row r="67" ht="75" customHeight="1">
      <c r="A67" s="1">
        <f>HYPERLINK("https://www.cutleryandmore.com/all-clad-stainless/fry-pan-lid-p131818", "https://www.cutleryandmore.com/all-clad-stainless/fry-pan-lid-p131818")</f>
        <v/>
      </c>
      <c r="B67" s="1">
        <f>HYPERLINK("https://www.cutleryandmore.com/all-clad-stainless/fry-pan-lid-p131818", "https://www.cutleryandmore.com/all-clad-stainless/fry-pan-lid-p131818")</f>
        <v/>
      </c>
      <c r="C67" t="inlineStr">
        <is>
          <t>All-Clad d3 Stainless Steel Fry Pans</t>
        </is>
      </c>
      <c r="D67" t="inlineStr">
        <is>
          <t>All-Clad D3 3-Ply Stainless Steel 2 Piece Fry Pan Set 10, 12 Inch Induction Oven Broil Safe 600F Pots and Pans, Cookware</t>
        </is>
      </c>
      <c r="E67" s="1">
        <f>HYPERLINK("https://www.amazon.com/All-Clad-Stainless-Steel-Frying-Silver/dp/B07HSKFGYQ/ref=sr_1_5?keywords=All-Clad+d3+Stainless+Steel+Fry+Pans&amp;qid=1695763935&amp;sr=8-5", "https://www.amazon.com/All-Clad-Stainless-Steel-Frying-Silver/dp/B07HSKFGYQ/ref=sr_1_5?keywords=All-Clad+d3+Stainless+Steel+Fry+Pans&amp;qid=1695763935&amp;sr=8-5")</f>
        <v/>
      </c>
      <c r="F67" t="inlineStr">
        <is>
          <t>B07HSKFGYQ</t>
        </is>
      </c>
      <c r="G67">
        <f>_xlfn.IMAGE("https://cdn.cutleryandmore.com/assets/product/main/31818.jpg")</f>
        <v/>
      </c>
      <c r="H67">
        <f>_xlfn.IMAGE("https://m.media-amazon.com/images/I/71B42va+PqL._AC_UL320_.jpg")</f>
        <v/>
      </c>
      <c r="K67" t="inlineStr">
        <is>
          <t>129.95</t>
        </is>
      </c>
      <c r="L67" t="n">
        <v>229.99</v>
      </c>
      <c r="M67" s="2" t="inlineStr">
        <is>
          <t>76.98%</t>
        </is>
      </c>
      <c r="N67" t="n">
        <v>4.6</v>
      </c>
      <c r="O67" t="n">
        <v>362</v>
      </c>
      <c r="Q67" t="inlineStr">
        <is>
          <t>InStock</t>
        </is>
      </c>
      <c r="R67" t="inlineStr">
        <is>
          <t>239.95</t>
        </is>
      </c>
      <c r="S67" t="inlineStr">
        <is>
          <t>8701005165</t>
        </is>
      </c>
    </row>
    <row r="68" ht="75" customHeight="1">
      <c r="A68" s="1">
        <f>HYPERLINK("https://www.cutleryandmore.com/all-clad-stainless/fry-pan-lid-p131818", "https://www.cutleryandmore.com/all-clad-stainless/fry-pan-lid-p131818")</f>
        <v/>
      </c>
      <c r="B68" s="1">
        <f>HYPERLINK("https://www.cutleryandmore.com/all-clad-stainless/fry-pan-lid-p131818", "https://www.cutleryandmore.com/all-clad-stainless/fry-pan-lid-p131818")</f>
        <v/>
      </c>
      <c r="C68" t="inlineStr">
        <is>
          <t>All-Clad d3 Stainless Steel Fry Pans</t>
        </is>
      </c>
      <c r="D68" t="inlineStr">
        <is>
          <t>All-Clad D3 3-Ply Stainless Steel and Nonstick Surface Fry Pan 12 Inch Induction Oven Broil Safe 500F Pots and Pans, Cookware</t>
        </is>
      </c>
      <c r="E68" s="1">
        <f>HYPERLINK("https://www.amazon.com/All-Clad-Stainless-Dishwasher-PFOA-free-Non-Stick/dp/B004T6PS2G/ref=sr_1_3?keywords=All-Clad+d3+Stainless+Steel+Fry+Pans&amp;qid=1695763935&amp;sr=8-3", "https://www.amazon.com/All-Clad-Stainless-Dishwasher-PFOA-free-Non-Stick/dp/B004T6PS2G/ref=sr_1_3?keywords=All-Clad+d3+Stainless+Steel+Fry+Pans&amp;qid=1695763935&amp;sr=8-3")</f>
        <v/>
      </c>
      <c r="F68" t="inlineStr">
        <is>
          <t>B004T6PS2G</t>
        </is>
      </c>
      <c r="G68">
        <f>_xlfn.IMAGE("https://cdn.cutleryandmore.com/assets/product/main/31818.jpg")</f>
        <v/>
      </c>
      <c r="H68">
        <f>_xlfn.IMAGE("https://m.media-amazon.com/images/I/61sD9VU+FXL._AC_UL320_.jpg")</f>
        <v/>
      </c>
      <c r="K68" t="inlineStr">
        <is>
          <t>129.95</t>
        </is>
      </c>
      <c r="L68" t="n">
        <v>229.95</v>
      </c>
      <c r="M68" s="2" t="inlineStr">
        <is>
          <t>76.95%</t>
        </is>
      </c>
      <c r="N68" t="n">
        <v>4.6</v>
      </c>
      <c r="O68" t="n">
        <v>1095</v>
      </c>
      <c r="Q68" t="inlineStr">
        <is>
          <t>InStock</t>
        </is>
      </c>
      <c r="R68" t="inlineStr">
        <is>
          <t>239.95</t>
        </is>
      </c>
      <c r="S68" t="inlineStr">
        <is>
          <t>8701005165</t>
        </is>
      </c>
    </row>
    <row r="69" ht="75" customHeight="1">
      <c r="A69" s="1">
        <f>HYPERLINK("https://www.cutleryandmore.com/all-clad-stainless/fry-pan-lid-p131819", "https://www.cutleryandmore.com/all-clad-stainless/fry-pan-lid-p131819")</f>
        <v/>
      </c>
      <c r="B69" s="1">
        <f>HYPERLINK("https://www.cutleryandmore.com/all-clad-stainless/fry-pan-lid-p131819", "https://www.cutleryandmore.com/all-clad-stainless/fry-pan-lid-p131819")</f>
        <v/>
      </c>
      <c r="C69" t="inlineStr">
        <is>
          <t>All-Clad d3 Stainless Steel Fry Pans</t>
        </is>
      </c>
      <c r="D69" t="inlineStr">
        <is>
          <t>All-Clad D3 3-Ply Stainless Steel Sauté Pan with Lid 6 Quart Induction Oven Broil Safe 600F Pots and Pans, Cookware</t>
        </is>
      </c>
      <c r="E69" s="1">
        <f>HYPERLINK("https://www.amazon.com/All-Clad-Stainless-Dishwasher-Cookware-6-Quart/dp/B004T6J6BA/ref=sr_1_10?keywords=All-Clad+d3+Stainless+Steel+Fry+Pans&amp;qid=1695763937&amp;sr=8-10", "https://www.amazon.com/All-Clad-Stainless-Dishwasher-Cookware-6-Quart/dp/B004T6J6BA/ref=sr_1_10?keywords=All-Clad+d3+Stainless+Steel+Fry+Pans&amp;qid=1695763937&amp;sr=8-10")</f>
        <v/>
      </c>
      <c r="F69" t="inlineStr">
        <is>
          <t>B004T6J6BA</t>
        </is>
      </c>
      <c r="G69">
        <f>_xlfn.IMAGE("https://cdn.cutleryandmore.com/assets/product/main/31819.jpg")</f>
        <v/>
      </c>
      <c r="H69">
        <f>_xlfn.IMAGE("https://m.media-amazon.com/images/I/61SXYYewgaL._AC_UL320_.jpg")</f>
        <v/>
      </c>
      <c r="K69" t="inlineStr">
        <is>
          <t>99.95</t>
        </is>
      </c>
      <c r="L69" t="n">
        <v>249.95</v>
      </c>
      <c r="M69" s="2" t="inlineStr">
        <is>
          <t>150.08%</t>
        </is>
      </c>
      <c r="N69" t="n">
        <v>4.7</v>
      </c>
      <c r="O69" t="n">
        <v>143</v>
      </c>
      <c r="Q69" t="inlineStr">
        <is>
          <t>InStock</t>
        </is>
      </c>
      <c r="R69" t="inlineStr">
        <is>
          <t>189.95</t>
        </is>
      </c>
      <c r="S69" t="inlineStr">
        <is>
          <t>8701005167</t>
        </is>
      </c>
    </row>
    <row r="70" ht="75" customHeight="1">
      <c r="A70" s="1">
        <f>HYPERLINK("https://www.cutleryandmore.com/all-clad-stainless/fry-pan-lid-p131819", "https://www.cutleryandmore.com/all-clad-stainless/fry-pan-lid-p131819")</f>
        <v/>
      </c>
      <c r="B70" s="1">
        <f>HYPERLINK("https://www.cutleryandmore.com/all-clad-stainless/fry-pan-lid-p131819", "https://www.cutleryandmore.com/all-clad-stainless/fry-pan-lid-p131819")</f>
        <v/>
      </c>
      <c r="C70" t="inlineStr">
        <is>
          <t>All-Clad d3 Stainless Steel Fry Pans</t>
        </is>
      </c>
      <c r="D70" t="inlineStr">
        <is>
          <t>All-Clad D3 3-Ply Stainless Steel 2 Piece Fry Pan Set 10, 12 Inch Induction Oven Broil Safe 600F Pots and Pans, Cookware</t>
        </is>
      </c>
      <c r="E70" s="1">
        <f>HYPERLINK("https://www.amazon.com/All-Clad-Stainless-Steel-Frying-Silver/dp/B07HSKFGYQ/ref=sr_1_5?keywords=All-Clad+d3+Stainless+Steel+Fry+Pans&amp;qid=1695763937&amp;sr=8-5", "https://www.amazon.com/All-Clad-Stainless-Steel-Frying-Silver/dp/B07HSKFGYQ/ref=sr_1_5?keywords=All-Clad+d3+Stainless+Steel+Fry+Pans&amp;qid=1695763937&amp;sr=8-5")</f>
        <v/>
      </c>
      <c r="F70" t="inlineStr">
        <is>
          <t>B07HSKFGYQ</t>
        </is>
      </c>
      <c r="G70">
        <f>_xlfn.IMAGE("https://cdn.cutleryandmore.com/assets/product/main/31819.jpg")</f>
        <v/>
      </c>
      <c r="H70">
        <f>_xlfn.IMAGE("https://m.media-amazon.com/images/I/71B42va+PqL._AC_UL320_.jpg")</f>
        <v/>
      </c>
      <c r="K70" t="inlineStr">
        <is>
          <t>99.95</t>
        </is>
      </c>
      <c r="L70" t="n">
        <v>229.99</v>
      </c>
      <c r="M70" s="2" t="inlineStr">
        <is>
          <t>130.11%</t>
        </is>
      </c>
      <c r="N70" t="n">
        <v>4.6</v>
      </c>
      <c r="O70" t="n">
        <v>362</v>
      </c>
      <c r="Q70" t="inlineStr">
        <is>
          <t>InStock</t>
        </is>
      </c>
      <c r="R70" t="inlineStr">
        <is>
          <t>189.95</t>
        </is>
      </c>
      <c r="S70" t="inlineStr">
        <is>
          <t>8701005167</t>
        </is>
      </c>
    </row>
    <row r="71" ht="75" customHeight="1">
      <c r="A71" s="1">
        <f>HYPERLINK("https://www.cutleryandmore.com/all-clad-stainless/fry-pan-lid-p131819", "https://www.cutleryandmore.com/all-clad-stainless/fry-pan-lid-p131819")</f>
        <v/>
      </c>
      <c r="B71" s="1">
        <f>HYPERLINK("https://www.cutleryandmore.com/all-clad-stainless/fry-pan-lid-p131819", "https://www.cutleryandmore.com/all-clad-stainless/fry-pan-lid-p131819")</f>
        <v/>
      </c>
      <c r="C71" t="inlineStr">
        <is>
          <t>All-Clad d3 Stainless Steel Fry Pans</t>
        </is>
      </c>
      <c r="D71" t="inlineStr">
        <is>
          <t>All-Clad D3 3-Ply Stainless Steel and Nonstick Surface Fry Pan 12 Inch Induction Oven Broil Safe 500F Pots and Pans, Cookware</t>
        </is>
      </c>
      <c r="E71" s="1">
        <f>HYPERLINK("https://www.amazon.com/All-Clad-Stainless-Dishwasher-PFOA-free-Non-Stick/dp/B004T6PS2G/ref=sr_1_3?keywords=All-Clad+d3+Stainless+Steel+Fry+Pans&amp;qid=1695763937&amp;sr=8-3", "https://www.amazon.com/All-Clad-Stainless-Dishwasher-PFOA-free-Non-Stick/dp/B004T6PS2G/ref=sr_1_3?keywords=All-Clad+d3+Stainless+Steel+Fry+Pans&amp;qid=1695763937&amp;sr=8-3")</f>
        <v/>
      </c>
      <c r="F71" t="inlineStr">
        <is>
          <t>B004T6PS2G</t>
        </is>
      </c>
      <c r="G71">
        <f>_xlfn.IMAGE("https://cdn.cutleryandmore.com/assets/product/main/31819.jpg")</f>
        <v/>
      </c>
      <c r="H71">
        <f>_xlfn.IMAGE("https://m.media-amazon.com/images/I/61sD9VU+FXL._AC_UL320_.jpg")</f>
        <v/>
      </c>
      <c r="K71" t="inlineStr">
        <is>
          <t>99.95</t>
        </is>
      </c>
      <c r="L71" t="n">
        <v>229.95</v>
      </c>
      <c r="M71" s="2" t="inlineStr">
        <is>
          <t>130.07%</t>
        </is>
      </c>
      <c r="N71" t="n">
        <v>4.6</v>
      </c>
      <c r="O71" t="n">
        <v>1095</v>
      </c>
      <c r="Q71" t="inlineStr">
        <is>
          <t>InStock</t>
        </is>
      </c>
      <c r="R71" t="inlineStr">
        <is>
          <t>189.95</t>
        </is>
      </c>
      <c r="S71" t="inlineStr">
        <is>
          <t>8701005167</t>
        </is>
      </c>
    </row>
    <row r="72" ht="75" customHeight="1">
      <c r="A72" s="1">
        <f>HYPERLINK("https://www.cutleryandmore.com/all-clad-stainless/fry-pan-lid-p131819", "https://www.cutleryandmore.com/all-clad-stainless/fry-pan-lid-p131819")</f>
        <v/>
      </c>
      <c r="B72" s="1">
        <f>HYPERLINK("https://www.cutleryandmore.com/all-clad-stainless/fry-pan-lid-p131819", "https://www.cutleryandmore.com/all-clad-stainless/fry-pan-lid-p131819")</f>
        <v/>
      </c>
      <c r="C72" t="inlineStr">
        <is>
          <t>All-Clad d3 Stainless Steel Fry Pans</t>
        </is>
      </c>
      <c r="D72" t="inlineStr">
        <is>
          <t>All-Clad D3 Stainless Steel Frying Pan 8 and 10 Inch Cookware Set, 2, Silver</t>
        </is>
      </c>
      <c r="E72" s="1">
        <f>HYPERLINK("https://www.amazon.com/All-Clad-410810Q17-Stainless-Frying-Cookware/dp/B079RJMQ47/ref=sr_1_7?keywords=All-Clad+d3+Stainless+Steel+Fry+Pans&amp;qid=1695763937&amp;sr=8-7", "https://www.amazon.com/All-Clad-410810Q17-Stainless-Frying-Cookware/dp/B079RJMQ47/ref=sr_1_7?keywords=All-Clad+d3+Stainless+Steel+Fry+Pans&amp;qid=1695763937&amp;sr=8-7")</f>
        <v/>
      </c>
      <c r="F72" t="inlineStr">
        <is>
          <t>B079RJMQ47</t>
        </is>
      </c>
      <c r="G72">
        <f>_xlfn.IMAGE("https://cdn.cutleryandmore.com/assets/product/main/31819.jpg")</f>
        <v/>
      </c>
      <c r="H72">
        <f>_xlfn.IMAGE("https://m.media-amazon.com/images/I/71Hy-AjWjUL._AC_UL320_.jpg")</f>
        <v/>
      </c>
      <c r="K72" t="inlineStr">
        <is>
          <t>99.95</t>
        </is>
      </c>
      <c r="L72" t="n">
        <v>204.27</v>
      </c>
      <c r="M72" s="2" t="inlineStr">
        <is>
          <t>104.37%</t>
        </is>
      </c>
      <c r="N72" t="n">
        <v>4.5</v>
      </c>
      <c r="O72" t="n">
        <v>295</v>
      </c>
      <c r="Q72" t="inlineStr">
        <is>
          <t>InStock</t>
        </is>
      </c>
      <c r="R72" t="inlineStr">
        <is>
          <t>189.95</t>
        </is>
      </c>
      <c r="S72" t="inlineStr">
        <is>
          <t>8701005167</t>
        </is>
      </c>
    </row>
    <row r="73" ht="75" customHeight="1">
      <c r="A73" s="1">
        <f>HYPERLINK("https://www.cutleryandmore.com/all-clad-stainless/fry-pan-lid-p131819", "https://www.cutleryandmore.com/all-clad-stainless/fry-pan-lid-p131819")</f>
        <v/>
      </c>
      <c r="B73" s="1">
        <f>HYPERLINK("https://www.cutleryandmore.com/all-clad-stainless/fry-pan-lid-p131819", "https://www.cutleryandmore.com/all-clad-stainless/fry-pan-lid-p131819")</f>
        <v/>
      </c>
      <c r="C73" t="inlineStr">
        <is>
          <t>All-Clad d3 Stainless Steel Fry Pans</t>
        </is>
      </c>
      <c r="D73" t="inlineStr">
        <is>
          <t>All-Clad D3 3-Ply Stainless Steel Sauté Pan with Lid 3 Quart Induction Oven Broil Safe 600F Pots and Pans, Cookware</t>
        </is>
      </c>
      <c r="E73" s="1">
        <f>HYPERLINK("https://www.amazon.com/All-Clad-Stainless-Tri-Ply-Dishwasher-3-Quart/dp/B004T6J5XY/ref=sr_1_8?keywords=All-Clad+d3+Stainless+Steel+Fry+Pans&amp;qid=1695763937&amp;sr=8-8", "https://www.amazon.com/All-Clad-Stainless-Tri-Ply-Dishwasher-3-Quart/dp/B004T6J5XY/ref=sr_1_8?keywords=All-Clad+d3+Stainless+Steel+Fry+Pans&amp;qid=1695763937&amp;sr=8-8")</f>
        <v/>
      </c>
      <c r="F73" t="inlineStr">
        <is>
          <t>B004T6J5XY</t>
        </is>
      </c>
      <c r="G73">
        <f>_xlfn.IMAGE("https://cdn.cutleryandmore.com/assets/product/main/31819.jpg")</f>
        <v/>
      </c>
      <c r="H73">
        <f>_xlfn.IMAGE("https://m.media-amazon.com/images/I/61ED2zdqHvL._AC_UL320_.jpg")</f>
        <v/>
      </c>
      <c r="K73" t="inlineStr">
        <is>
          <t>99.95</t>
        </is>
      </c>
      <c r="L73" t="n">
        <v>179.99</v>
      </c>
      <c r="M73" s="2" t="inlineStr">
        <is>
          <t>80.08%</t>
        </is>
      </c>
      <c r="N73" t="n">
        <v>4.7</v>
      </c>
      <c r="O73" t="n">
        <v>634</v>
      </c>
      <c r="Q73" t="inlineStr">
        <is>
          <t>InStock</t>
        </is>
      </c>
      <c r="R73" t="inlineStr">
        <is>
          <t>189.95</t>
        </is>
      </c>
      <c r="S73" t="inlineStr">
        <is>
          <t>8701005167</t>
        </is>
      </c>
    </row>
    <row r="74" ht="75" customHeight="1">
      <c r="A74" s="1">
        <f>HYPERLINK("https://www.cutleryandmore.com/all-clad-stainless/fry-pan-lid-p131819", "https://www.cutleryandmore.com/all-clad-stainless/fry-pan-lid-p131819")</f>
        <v/>
      </c>
      <c r="B74" s="1">
        <f>HYPERLINK("https://www.cutleryandmore.com/all-clad-stainless/fry-pan-lid-p131819", "https://www.cutleryandmore.com/all-clad-stainless/fry-pan-lid-p131819")</f>
        <v/>
      </c>
      <c r="C74" t="inlineStr">
        <is>
          <t>All-Clad d3 Stainless Steel Fry Pans</t>
        </is>
      </c>
      <c r="D74" t="inlineStr">
        <is>
          <t>All-Clad D3 3-Ply Stainless Steel Large Weeknight Frying Pan 4 Quart Induction Oven Broil Safe 600F Pots and Pans, Cookware,Silver</t>
        </is>
      </c>
      <c r="E74" s="1">
        <f>HYPERLINK("https://www.amazon.com/All-Clad-440465-Stainless-Cookware-4-Quart/dp/B00BLA4Z4K/ref=sr_1_9?keywords=All-Clad+d3+Stainless+Steel+Fry+Pans&amp;qid=1695763937&amp;sr=8-9", "https://www.amazon.com/All-Clad-440465-Stainless-Cookware-4-Quart/dp/B00BLA4Z4K/ref=sr_1_9?keywords=All-Clad+d3+Stainless+Steel+Fry+Pans&amp;qid=1695763937&amp;sr=8-9")</f>
        <v/>
      </c>
      <c r="F74" t="inlineStr">
        <is>
          <t>B00BLA4Z4K</t>
        </is>
      </c>
      <c r="G74">
        <f>_xlfn.IMAGE("https://cdn.cutleryandmore.com/assets/product/main/31819.jpg")</f>
        <v/>
      </c>
      <c r="H74">
        <f>_xlfn.IMAGE("https://m.media-amazon.com/images/I/615zQdxUI9L._AC_UL320_.jpg")</f>
        <v/>
      </c>
      <c r="K74" t="inlineStr">
        <is>
          <t>99.95</t>
        </is>
      </c>
      <c r="L74" t="n">
        <v>179.95</v>
      </c>
      <c r="M74" s="2" t="inlineStr">
        <is>
          <t>80.04%</t>
        </is>
      </c>
      <c r="N74" t="n">
        <v>4.6</v>
      </c>
      <c r="O74" t="n">
        <v>466</v>
      </c>
      <c r="Q74" t="inlineStr">
        <is>
          <t>InStock</t>
        </is>
      </c>
      <c r="R74" t="inlineStr">
        <is>
          <t>189.95</t>
        </is>
      </c>
      <c r="S74" t="inlineStr">
        <is>
          <t>8701005167</t>
        </is>
      </c>
    </row>
    <row r="75" ht="75" customHeight="1">
      <c r="A75" s="1">
        <f>HYPERLINK("https://www.cutleryandmore.com/demeyere-5-ply-plus/stainless-steel-saucepan-p134951", "https://www.cutleryandmore.com/demeyere-5-ply-plus/stainless-steel-saucepan-p134951")</f>
        <v/>
      </c>
      <c r="B75" s="1">
        <f>HYPERLINK("https://www.cutleryandmore.com/demeyere-5-ply-plus/stainless-steel-saucepan-p134951", "https://www.cutleryandmore.com/demeyere-5-ply-plus/stainless-steel-saucepan-p134951")</f>
        <v/>
      </c>
      <c r="C75" t="inlineStr">
        <is>
          <t>Demeyere 5-Plus Stainless Steel Saucepans</t>
        </is>
      </c>
      <c r="D75" t="inlineStr">
        <is>
          <t>Demeyere 5-Plus Stainless Steel 8-qt Stock Pot</t>
        </is>
      </c>
      <c r="E75" s="1">
        <f>HYPERLINK("https://www.amazon.com/Demeyere-5-Plus-Stainless-Steel-Stock/dp/B0153NZW1U/ref=sr_1_9?keywords=Demeyere+5-Plus+Stainless+Steel+Saucepans&amp;qid=1695763946&amp;sr=8-9", "https://www.amazon.com/Demeyere-5-Plus-Stainless-Steel-Stock/dp/B0153NZW1U/ref=sr_1_9?keywords=Demeyere+5-Plus+Stainless+Steel+Saucepans&amp;qid=1695763946&amp;sr=8-9")</f>
        <v/>
      </c>
      <c r="F75" t="inlineStr">
        <is>
          <t>B0153NZW1U</t>
        </is>
      </c>
      <c r="G75">
        <f>_xlfn.IMAGE("https://cdn.cutleryandmore.com/assets/product/main/34951.jpg")</f>
        <v/>
      </c>
      <c r="H75">
        <f>_xlfn.IMAGE("https://m.media-amazon.com/images/I/51LrdtqCFiL._AC_UL320_.jpg")</f>
        <v/>
      </c>
      <c r="K75" t="inlineStr">
        <is>
          <t>149.95</t>
        </is>
      </c>
      <c r="L75" t="n">
        <v>299.95</v>
      </c>
      <c r="M75" s="2" t="inlineStr">
        <is>
          <t>100.03%</t>
        </is>
      </c>
      <c r="N75" t="n">
        <v>4.6</v>
      </c>
      <c r="O75" t="n">
        <v>5</v>
      </c>
      <c r="Q75" t="inlineStr">
        <is>
          <t>InStock</t>
        </is>
      </c>
      <c r="R75" t="inlineStr">
        <is>
          <t>209.95</t>
        </is>
      </c>
      <c r="S75" t="inlineStr">
        <is>
          <t>18420-18520</t>
        </is>
      </c>
    </row>
    <row r="76" ht="75" customHeight="1">
      <c r="A76" s="1">
        <f>HYPERLINK("https://www.cutleryandmore.com/demeyere-5-ply-plus/stainless-steel-saucepan-p134951", "https://www.cutleryandmore.com/demeyere-5-ply-plus/stainless-steel-saucepan-p134951")</f>
        <v/>
      </c>
      <c r="B76" s="1">
        <f>HYPERLINK("https://www.cutleryandmore.com/demeyere-5-ply-plus/stainless-steel-saucepan-p134951", "https://www.cutleryandmore.com/demeyere-5-ply-plus/stainless-steel-saucepan-p134951")</f>
        <v/>
      </c>
      <c r="C76" t="inlineStr">
        <is>
          <t>Demeyere 5-Plus Stainless Steel Saucepans</t>
        </is>
      </c>
      <c r="D76" t="inlineStr">
        <is>
          <t>Demeyere 5-Plus Stainless Steel 6.5-qt Saute Pan with Helper Handle</t>
        </is>
      </c>
      <c r="E76" s="1">
        <f>HYPERLINK("https://www.amazon.com/Demeyere-5-Plus-Stainless-6-5-qt-Helper/dp/B0153NZSXC/ref=sr_1_5?keywords=Demeyere+5-Plus+Stainless+Steel+Saucepans&amp;qid=1695763946&amp;sr=8-5", "https://www.amazon.com/Demeyere-5-Plus-Stainless-6-5-qt-Helper/dp/B0153NZSXC/ref=sr_1_5?keywords=Demeyere+5-Plus+Stainless+Steel+Saucepans&amp;qid=1695763946&amp;sr=8-5")</f>
        <v/>
      </c>
      <c r="F76" t="inlineStr">
        <is>
          <t>B0153NZSXC</t>
        </is>
      </c>
      <c r="G76">
        <f>_xlfn.IMAGE("https://cdn.cutleryandmore.com/assets/product/main/34951.jpg")</f>
        <v/>
      </c>
      <c r="H76">
        <f>_xlfn.IMAGE("https://m.media-amazon.com/images/I/51yqH+zvXWL._AC_UL320_.jpg")</f>
        <v/>
      </c>
      <c r="K76" t="inlineStr">
        <is>
          <t>149.95</t>
        </is>
      </c>
      <c r="L76" t="n">
        <v>259.95</v>
      </c>
      <c r="M76" s="2" t="inlineStr">
        <is>
          <t>73.36%</t>
        </is>
      </c>
      <c r="N76" t="n">
        <v>5</v>
      </c>
      <c r="O76" t="n">
        <v>7</v>
      </c>
      <c r="Q76" t="inlineStr">
        <is>
          <t>InStock</t>
        </is>
      </c>
      <c r="R76" t="inlineStr">
        <is>
          <t>209.95</t>
        </is>
      </c>
      <c r="S76" t="inlineStr">
        <is>
          <t>18420-18520</t>
        </is>
      </c>
    </row>
    <row r="77" ht="75" customHeight="1">
      <c r="A77" s="1">
        <f>HYPERLINK("https://www.cutleryandmore.com/demeyere-5-ply-plus/stainless-steel-saute-pan-p134953", "https://www.cutleryandmore.com/demeyere-5-ply-plus/stainless-steel-saute-pan-p134953")</f>
        <v/>
      </c>
      <c r="B77" s="1">
        <f>HYPERLINK("https://www.cutleryandmore.com/demeyere-5-ply-plus/stainless-steel-saute-pan-p134953", "https://www.cutleryandmore.com/demeyere-5-ply-plus/stainless-steel-saute-pan-p134953")</f>
        <v/>
      </c>
      <c r="C77" t="inlineStr">
        <is>
          <t>Demeyere 5-Plus Stainless Steel Saute Pans</t>
        </is>
      </c>
      <c r="D77" t="inlineStr">
        <is>
          <t>Demeyere Atlantis, 11-INCH, 5.1-qt SAUTÉ Stainless Steel Saute Pan with Helper Handle, 4.2 quarts, Silver</t>
        </is>
      </c>
      <c r="E77" s="1">
        <f>HYPERLINK("https://www.amazon.com/Demeyere-Atlantis-4-2-Quart-Saut%C3%A9-Pan/dp/B000GT6BO4/ref=sr_1_10?keywords=Demeyere+5-Plus+Stainless+Steel+Saute+Pans&amp;qid=1695763964&amp;sr=8-10", "https://www.amazon.com/Demeyere-Atlantis-4-2-Quart-Saut%C3%A9-Pan/dp/B000GT6BO4/ref=sr_1_10?keywords=Demeyere+5-Plus+Stainless+Steel+Saute+Pans&amp;qid=1695763964&amp;sr=8-10")</f>
        <v/>
      </c>
      <c r="F77" t="inlineStr">
        <is>
          <t>B000GT6BO4</t>
        </is>
      </c>
      <c r="G77">
        <f>_xlfn.IMAGE("https://cdn.cutleryandmore.com/assets/product/main/34953.jpg")</f>
        <v/>
      </c>
      <c r="H77">
        <f>_xlfn.IMAGE("https://m.media-amazon.com/images/I/61rs88Kg1hL._AC_UL320_.jpg")</f>
        <v/>
      </c>
      <c r="K77" t="inlineStr">
        <is>
          <t>169.95</t>
        </is>
      </c>
      <c r="L77" t="n">
        <v>369.95</v>
      </c>
      <c r="M77" s="2" t="inlineStr">
        <is>
          <t>117.68%</t>
        </is>
      </c>
      <c r="N77" t="n">
        <v>4.5</v>
      </c>
      <c r="O77" t="n">
        <v>29</v>
      </c>
      <c r="Q77" t="inlineStr">
        <is>
          <t>InStock</t>
        </is>
      </c>
      <c r="R77" t="inlineStr">
        <is>
          <t>249.95</t>
        </is>
      </c>
      <c r="S77" t="inlineStr">
        <is>
          <t>18424A-18524</t>
        </is>
      </c>
    </row>
    <row r="78" ht="75" customHeight="1">
      <c r="A78" s="1">
        <f>HYPERLINK("https://www.cutleryandmore.com/demeyere-atlantis/stainless-steel-saucepan-p116455", "https://www.cutleryandmore.com/demeyere-atlantis/stainless-steel-saucepan-p116455")</f>
        <v/>
      </c>
      <c r="B78" s="1">
        <f>HYPERLINK("https://www.cutleryandmore.com/demeyere-atlantis/stainless-steel-saucepan-p116455", "https://www.cutleryandmore.com/demeyere-atlantis/stainless-steel-saucepan-p116455")</f>
        <v/>
      </c>
      <c r="C78" t="inlineStr">
        <is>
          <t>Demeyere Atlantis Stainless Steel Saucepans</t>
        </is>
      </c>
      <c r="D78" t="inlineStr">
        <is>
          <t>Demeyere Atlantis, 11-INCH, 5.1-qt SAUTÉ Stainless Steel Saute Pan with Helper Handle, 4.2 quarts, Silver</t>
        </is>
      </c>
      <c r="E78" s="1">
        <f>HYPERLINK("https://www.amazon.com/Demeyere-Atlantis-4-2-Quart-Saut%C3%A9-Pan/dp/B000GT6BO4/ref=sr_1_3?keywords=Demeyere+Atlantis+Stainless+Steel+Saucepans&amp;qid=1695763937&amp;sr=8-3", "https://www.amazon.com/Demeyere-Atlantis-4-2-Quart-Saut%C3%A9-Pan/dp/B000GT6BO4/ref=sr_1_3?keywords=Demeyere+Atlantis+Stainless+Steel+Saucepans&amp;qid=1695763937&amp;sr=8-3")</f>
        <v/>
      </c>
      <c r="F78" t="inlineStr">
        <is>
          <t>B000GT6BO4</t>
        </is>
      </c>
      <c r="G78">
        <f>_xlfn.IMAGE("https://cdn.cutleryandmore.com/assets/product/main/16455.jpg")</f>
        <v/>
      </c>
      <c r="H78">
        <f>_xlfn.IMAGE("https://m.media-amazon.com/images/I/61rs88Kg1hL._AC_UL320_.jpg")</f>
        <v/>
      </c>
      <c r="K78" t="inlineStr">
        <is>
          <t>199.95</t>
        </is>
      </c>
      <c r="L78" t="n">
        <v>369.95</v>
      </c>
      <c r="M78" s="2" t="inlineStr">
        <is>
          <t>85.02%</t>
        </is>
      </c>
      <c r="N78" t="n">
        <v>4.5</v>
      </c>
      <c r="O78" t="n">
        <v>29</v>
      </c>
      <c r="Q78" t="inlineStr">
        <is>
          <t>InStock</t>
        </is>
      </c>
      <c r="R78" t="inlineStr">
        <is>
          <t>259.95</t>
        </is>
      </c>
      <c r="S78" t="inlineStr">
        <is>
          <t>41418-41518</t>
        </is>
      </c>
    </row>
    <row r="79" ht="75" customHeight="1">
      <c r="A79" s="1">
        <f>HYPERLINK("https://www.cutleryandmore.com/demeyere-atlantis/stainless-steel-saucepan-p116455", "https://www.cutleryandmore.com/demeyere-atlantis/stainless-steel-saucepan-p116455")</f>
        <v/>
      </c>
      <c r="B79" s="1">
        <f>HYPERLINK("https://www.cutleryandmore.com/demeyere-atlantis/stainless-steel-saucepan-p116455", "https://www.cutleryandmore.com/demeyere-atlantis/stainless-steel-saucepan-p116455")</f>
        <v/>
      </c>
      <c r="C79" t="inlineStr">
        <is>
          <t>Demeyere Atlantis Stainless Steel Saucepans</t>
        </is>
      </c>
      <c r="D79" t="inlineStr">
        <is>
          <t>Demeyere Atlantis 7-Ply Stainless Steel Stock Pot, 8.5 quarts, Silver</t>
        </is>
      </c>
      <c r="E79" s="1">
        <f>HYPERLINK("https://www.amazon.com/Demeyere-Atlantis-Quart-Deep-Stockpot/dp/B000GT88WC/ref=sr_1_7?keywords=Demeyere+Atlantis+Stainless+Steel+Saucepans&amp;qid=1695763937&amp;sr=8-7", "https://www.amazon.com/Demeyere-Atlantis-Quart-Deep-Stockpot/dp/B000GT88WC/ref=sr_1_7?keywords=Demeyere+Atlantis+Stainless+Steel+Saucepans&amp;qid=1695763937&amp;sr=8-7")</f>
        <v/>
      </c>
      <c r="F79" t="inlineStr">
        <is>
          <t>B000GT88WC</t>
        </is>
      </c>
      <c r="G79">
        <f>_xlfn.IMAGE("https://cdn.cutleryandmore.com/assets/product/main/16455.jpg")</f>
        <v/>
      </c>
      <c r="H79">
        <f>_xlfn.IMAGE("https://m.media-amazon.com/images/I/71ATC4tEpyL._AC_UL320_.jpg")</f>
        <v/>
      </c>
      <c r="K79" t="inlineStr">
        <is>
          <t>199.95</t>
        </is>
      </c>
      <c r="L79" t="n">
        <v>359.95</v>
      </c>
      <c r="M79" s="2" t="inlineStr">
        <is>
          <t>80.02%</t>
        </is>
      </c>
      <c r="N79" t="n">
        <v>4.9</v>
      </c>
      <c r="O79" t="n">
        <v>19</v>
      </c>
      <c r="Q79" t="inlineStr">
        <is>
          <t>InStock</t>
        </is>
      </c>
      <c r="R79" t="inlineStr">
        <is>
          <t>259.95</t>
        </is>
      </c>
      <c r="S79" t="inlineStr">
        <is>
          <t>41418-41518</t>
        </is>
      </c>
    </row>
    <row r="80" ht="75" customHeight="1">
      <c r="A80" s="1">
        <f>HYPERLINK("https://www.cutleryandmore.com/enso-hd/chefs-knife-magnetic-sheath-p140206", "https://www.cutleryandmore.com/enso-hd/chefs-knife-magnetic-sheath-p140206")</f>
        <v/>
      </c>
      <c r="B80" s="1">
        <f>HYPERLINK("https://www.cutleryandmore.com/enso-hd/chefs-knife-magnetic-sheath-p140206", "https://www.cutleryandmore.com/enso-hd/chefs-knife-magnetic-sheath-p140206")</f>
        <v/>
      </c>
      <c r="C80" t="inlineStr">
        <is>
          <t>Enso HD Chef's Knives</t>
        </is>
      </c>
      <c r="D80" t="inlineStr">
        <is>
          <t>Enso HD Knife Set - Made in Japan - VG10 Hammered Damscus Japanese Stainless Steel - Cutlery Set with Chef's, Utility &amp; Paring Knives</t>
        </is>
      </c>
      <c r="E80" s="1">
        <f>HYPERLINK("https://www.amazon.com/Enso-HD-Knife-Set-Stainless/dp/B014TU6IU2/ref=sr_1_8?keywords=Enso+HD+Chef%27s+Knives&amp;qid=1695763950&amp;sr=8-8", "https://www.amazon.com/Enso-HD-Knife-Set-Stainless/dp/B014TU6IU2/ref=sr_1_8?keywords=Enso+HD+Chef%27s+Knives&amp;qid=1695763950&amp;sr=8-8")</f>
        <v/>
      </c>
      <c r="F80" t="inlineStr">
        <is>
          <t>B014TU6IU2</t>
        </is>
      </c>
      <c r="G80">
        <f>_xlfn.IMAGE("https://cdn.cutleryandmore.com/assets/product/main/40206.jpg")</f>
        <v/>
      </c>
      <c r="H80">
        <f>_xlfn.IMAGE("https://m.media-amazon.com/images/I/81K6QSjnHrL._AC_UL320_.jpg")</f>
        <v/>
      </c>
      <c r="K80" t="inlineStr">
        <is>
          <t>129.95</t>
        </is>
      </c>
      <c r="L80" t="n">
        <v>299.95</v>
      </c>
      <c r="M80" s="2" t="inlineStr">
        <is>
          <t>130.82%</t>
        </is>
      </c>
      <c r="N80" t="n">
        <v>4.5</v>
      </c>
      <c r="O80" t="n">
        <v>37</v>
      </c>
      <c r="Q80" t="inlineStr">
        <is>
          <t>InStock</t>
        </is>
      </c>
      <c r="R80" t="inlineStr">
        <is>
          <t>149.95</t>
        </is>
      </c>
      <c r="S80" t="inlineStr">
        <is>
          <t>35628WS</t>
        </is>
      </c>
    </row>
    <row r="81" ht="75" customHeight="1">
      <c r="A81" s="1">
        <f>HYPERLINK("https://www.cutleryandmore.com/enso-hd/knife-block-set-p140638", "https://www.cutleryandmore.com/enso-hd/knife-block-set-p140638")</f>
        <v/>
      </c>
      <c r="B81" s="1">
        <f>HYPERLINK("https://www.cutleryandmore.com/enso-hd/knife-block-set-p140638", "https://www.cutleryandmore.com/enso-hd/knife-block-set-p140638")</f>
        <v/>
      </c>
      <c r="C81" t="inlineStr">
        <is>
          <t>Enso HD 7 Piece Knife Block Set</t>
        </is>
      </c>
      <c r="D81" t="inlineStr">
        <is>
          <t>Enso SG2 7 Piece Dark Ash Slim Knife Block Set - Made in Japan - 101 Layer Stainless Damascus</t>
        </is>
      </c>
      <c r="E81" s="1">
        <f>HYPERLINK("https://www.amazon.com/Enso-Piece-Dark-Knife-Block/dp/B0821TLWD7/ref=sr_1_2?keywords=Enso+HD+7+Piece+Knife+Block+Set&amp;qid=1695763931&amp;sr=8-2", "https://www.amazon.com/Enso-Piece-Dark-Knife-Block/dp/B0821TLWD7/ref=sr_1_2?keywords=Enso+HD+7+Piece+Knife+Block+Set&amp;qid=1695763931&amp;sr=8-2")</f>
        <v/>
      </c>
      <c r="F81" t="inlineStr">
        <is>
          <t>B0821TLWD7</t>
        </is>
      </c>
      <c r="G81">
        <f>_xlfn.IMAGE("https://cdn.cutleryandmore.com/assets/product/main/40638.jpg")</f>
        <v/>
      </c>
      <c r="H81">
        <f>_xlfn.IMAGE("https://m.media-amazon.com/images/I/812dxzeQLQL._AC_UL320_.jpg")</f>
        <v/>
      </c>
      <c r="K81" t="inlineStr">
        <is>
          <t>399.95</t>
        </is>
      </c>
      <c r="L81" t="n">
        <v>1199.95</v>
      </c>
      <c r="M81" s="2" t="inlineStr">
        <is>
          <t>200.03%</t>
        </is>
      </c>
      <c r="N81" t="n">
        <v>5</v>
      </c>
      <c r="O81" t="n">
        <v>7</v>
      </c>
      <c r="Q81" t="inlineStr">
        <is>
          <t>InStock</t>
        </is>
      </c>
      <c r="R81" t="inlineStr">
        <is>
          <t>499.95</t>
        </is>
      </c>
      <c r="S81" t="inlineStr">
        <is>
          <t>35699-074AC</t>
        </is>
      </c>
    </row>
    <row r="82" ht="75" customHeight="1">
      <c r="A82" s="1">
        <f>HYPERLINK("https://www.cutleryandmore.com/enso-hd/knife-set-p137167", "https://www.cutleryandmore.com/enso-hd/knife-set-p137167")</f>
        <v/>
      </c>
      <c r="B82" s="1">
        <f>HYPERLINK("https://www.cutleryandmore.com/enso-hd/knife-set-p137167", "https://www.cutleryandmore.com/enso-hd/knife-set-p137167")</f>
        <v/>
      </c>
      <c r="C82" t="inlineStr">
        <is>
          <t>Enso HD 2 Piece Utility &amp; Chef's Knife Set</t>
        </is>
      </c>
      <c r="D82" t="inlineStr">
        <is>
          <t>Enso HD Knife Set - Made in Japan - VG10 Hammered Damscus Japanese Stainless Steel - Cutlery Set with Chef's, Utility &amp; Paring Knives</t>
        </is>
      </c>
      <c r="E82" s="1">
        <f>HYPERLINK("https://www.amazon.com/Enso-HD-Knife-Set-Stainless/dp/B014TU6IU2/ref=sr_1_1?keywords=Enso+HD+2+Piece+Utility+%26+Chef%27s+Knife+Set&amp;qid=1695763937&amp;sr=8-1", "https://www.amazon.com/Enso-HD-Knife-Set-Stainless/dp/B014TU6IU2/ref=sr_1_1?keywords=Enso+HD+2+Piece+Utility+%26+Chef%27s+Knife+Set&amp;qid=1695763937&amp;sr=8-1")</f>
        <v/>
      </c>
      <c r="F82" t="inlineStr">
        <is>
          <t>B014TU6IU2</t>
        </is>
      </c>
      <c r="G82">
        <f>_xlfn.IMAGE("https://cdn.cutleryandmore.com/assets/product/main/37167.jpg")</f>
        <v/>
      </c>
      <c r="H82">
        <f>_xlfn.IMAGE("https://m.media-amazon.com/images/I/81K6QSjnHrL._AC_UL320_.jpg")</f>
        <v/>
      </c>
      <c r="K82" t="inlineStr">
        <is>
          <t>149.95</t>
        </is>
      </c>
      <c r="L82" t="n">
        <v>299.95</v>
      </c>
      <c r="M82" s="2" t="inlineStr">
        <is>
          <t>100.03%</t>
        </is>
      </c>
      <c r="N82" t="n">
        <v>4.5</v>
      </c>
      <c r="O82" t="n">
        <v>37</v>
      </c>
      <c r="Q82" t="inlineStr">
        <is>
          <t>InStock</t>
        </is>
      </c>
      <c r="R82" t="inlineStr">
        <is>
          <t>199.95</t>
        </is>
      </c>
      <c r="S82" t="inlineStr">
        <is>
          <t>35600-4</t>
        </is>
      </c>
    </row>
    <row r="83" ht="75" customHeight="1">
      <c r="A83" s="1">
        <f>HYPERLINK("https://www.cutleryandmore.com/enso-hizashi/bread-knife-p140182", "https://www.cutleryandmore.com/enso-hizashi/bread-knife-p140182")</f>
        <v/>
      </c>
      <c r="B83" s="1">
        <f>HYPERLINK("https://www.cutleryandmore.com/enso-hizashi/bread-knife-p140182", "https://www.cutleryandmore.com/enso-hizashi/bread-knife-p140182")</f>
        <v/>
      </c>
      <c r="C83" t="inlineStr">
        <is>
          <t>Enso Hizashi 9" Bread Knife</t>
        </is>
      </c>
      <c r="D83" t="inlineStr">
        <is>
          <t>Enso SG2 Bread Knife - Made in Japan - 101 Layer Stainless Damascus, 9"</t>
        </is>
      </c>
      <c r="E83" s="1">
        <f>HYPERLINK("https://www.amazon.com/Enso-SG2-Bread-Knife-Stainless/dp/B07KFMSNV8/ref=sr_1_6?keywords=Enso+Hizashi+9%22+Bread+Knife&amp;qid=1695763964&amp;sr=8-6", "https://www.amazon.com/Enso-SG2-Bread-Knife-Stainless/dp/B07KFMSNV8/ref=sr_1_6?keywords=Enso+Hizashi+9%22+Bread+Knife&amp;qid=1695763964&amp;sr=8-6")</f>
        <v/>
      </c>
      <c r="F83" t="inlineStr">
        <is>
          <t>B07KFMSNV8</t>
        </is>
      </c>
      <c r="G83">
        <f>_xlfn.IMAGE("https://cdn.cutleryandmore.com/assets/product/main/40182.jpg")</f>
        <v/>
      </c>
      <c r="H83">
        <f>_xlfn.IMAGE("https://m.media-amazon.com/images/I/716f2Pcnc2L._AC_UL320_.jpg")</f>
        <v/>
      </c>
      <c r="K83" t="inlineStr">
        <is>
          <t>129.95</t>
        </is>
      </c>
      <c r="L83" t="n">
        <v>299.95</v>
      </c>
      <c r="M83" s="2" t="inlineStr">
        <is>
          <t>130.82%</t>
        </is>
      </c>
      <c r="N83" t="n">
        <v>4.5</v>
      </c>
      <c r="O83" t="n">
        <v>2</v>
      </c>
      <c r="Q83" t="inlineStr">
        <is>
          <t>InStock</t>
        </is>
      </c>
      <c r="R83" t="inlineStr">
        <is>
          <t>159.95</t>
        </is>
      </c>
      <c r="S83" t="inlineStr">
        <is>
          <t>35308</t>
        </is>
      </c>
    </row>
    <row r="84" ht="75" customHeight="1">
      <c r="A84" s="1">
        <f>HYPERLINK("https://www.cutleryandmore.com/enso-hizashi/bunka-knife-p140184", "https://www.cutleryandmore.com/enso-hizashi/bunka-knife-p140184")</f>
        <v/>
      </c>
      <c r="B84" s="1">
        <f>HYPERLINK("https://www.cutleryandmore.com/enso-hizashi/bunka-knife-p140184", "https://www.cutleryandmore.com/enso-hizashi/bunka-knife-p140184")</f>
        <v/>
      </c>
      <c r="C84" t="inlineStr">
        <is>
          <t>Enso Hizashi 7" Bunka Knife</t>
        </is>
      </c>
      <c r="D84" t="inlineStr">
        <is>
          <t>Enso SG2 Bunka Knife - Made in Japan - 101 Layer Stainless Damascus, 7"</t>
        </is>
      </c>
      <c r="E84" s="1">
        <f>HYPERLINK("https://www.amazon.com/Enso-SG2-Bunka-Knife-Stainless/dp/B07KFQKNGJ/ref=sr_1_2?keywords=Enso+Hizashi+7%22+Bunka+Knife&amp;qid=1695763961&amp;sr=8-2", "https://www.amazon.com/Enso-SG2-Bunka-Knife-Stainless/dp/B07KFQKNGJ/ref=sr_1_2?keywords=Enso+Hizashi+7%22+Bunka+Knife&amp;qid=1695763961&amp;sr=8-2")</f>
        <v/>
      </c>
      <c r="F84" t="inlineStr">
        <is>
          <t>B07KFQKNGJ</t>
        </is>
      </c>
      <c r="G84">
        <f>_xlfn.IMAGE("https://cdn.cutleryandmore.com/assets/product/main/40184.jpg")</f>
        <v/>
      </c>
      <c r="H84">
        <f>_xlfn.IMAGE("https://m.media-amazon.com/images/I/71vRmaJ+yuL._AC_UL320_.jpg")</f>
        <v/>
      </c>
      <c r="K84" t="inlineStr">
        <is>
          <t>119.95</t>
        </is>
      </c>
      <c r="L84" t="n">
        <v>299.95</v>
      </c>
      <c r="M84" s="2" t="inlineStr">
        <is>
          <t>150.06%</t>
        </is>
      </c>
      <c r="N84" t="n">
        <v>4.9</v>
      </c>
      <c r="O84" t="n">
        <v>16</v>
      </c>
      <c r="Q84" t="inlineStr">
        <is>
          <t>InStock</t>
        </is>
      </c>
      <c r="R84" t="inlineStr">
        <is>
          <t>149.95</t>
        </is>
      </c>
      <c r="S84" t="inlineStr">
        <is>
          <t>35331</t>
        </is>
      </c>
    </row>
    <row r="85" ht="75" customHeight="1">
      <c r="A85" s="1">
        <f>HYPERLINK("https://www.cutleryandmore.com/enso-hizashi/chefs-knife-p140181", "https://www.cutleryandmore.com/enso-hizashi/chefs-knife-p140181")</f>
        <v/>
      </c>
      <c r="B85" s="1">
        <f>HYPERLINK("https://www.cutleryandmore.com/enso-hizashi/chefs-knife-p140181", "https://www.cutleryandmore.com/enso-hizashi/chefs-knife-p140181")</f>
        <v/>
      </c>
      <c r="C85" t="inlineStr">
        <is>
          <t>Enso Hizashi 8" Chef's Knife</t>
        </is>
      </c>
      <c r="D85" t="inlineStr">
        <is>
          <t>Enso SG2 Chef's Knife - Made in Japan - 101 Layer Stainless Damascus Gyuto, 8"</t>
        </is>
      </c>
      <c r="E85" s="1">
        <f>HYPERLINK("https://www.amazon.com/Enso-SG2-Chefs-Knife-Stainless/dp/B07K8YJCZ7/ref=sr_1_6?keywords=Enso+Hizashi+8%22+Chef%27s+Knife&amp;qid=1695763957&amp;sr=8-6", "https://www.amazon.com/Enso-SG2-Chefs-Knife-Stainless/dp/B07K8YJCZ7/ref=sr_1_6?keywords=Enso+Hizashi+8%22+Chef%27s+Knife&amp;qid=1695763957&amp;sr=8-6")</f>
        <v/>
      </c>
      <c r="F85" t="inlineStr">
        <is>
          <t>B07K8YJCZ7</t>
        </is>
      </c>
      <c r="G85">
        <f>_xlfn.IMAGE("https://cdn.cutleryandmore.com/assets/product/main/40181.jpg")</f>
        <v/>
      </c>
      <c r="H85">
        <f>_xlfn.IMAGE("https://m.media-amazon.com/images/I/71ESPQ2JWmL._AC_UL320_.jpg")</f>
        <v/>
      </c>
      <c r="K85" t="inlineStr">
        <is>
          <t>129.95</t>
        </is>
      </c>
      <c r="L85" t="n">
        <v>299.95</v>
      </c>
      <c r="M85" s="2" t="inlineStr">
        <is>
          <t>130.82%</t>
        </is>
      </c>
      <c r="N85" t="n">
        <v>4.4</v>
      </c>
      <c r="O85" t="n">
        <v>36</v>
      </c>
      <c r="Q85" t="inlineStr">
        <is>
          <t>InStock</t>
        </is>
      </c>
      <c r="R85" t="inlineStr">
        <is>
          <t>159.95</t>
        </is>
      </c>
      <c r="S85" t="inlineStr">
        <is>
          <t>35300</t>
        </is>
      </c>
    </row>
    <row r="86" ht="75" customHeight="1">
      <c r="A86" s="1">
        <f>HYPERLINK("https://www.cutleryandmore.com/enso-hizashi/nakiri-knife-p140186", "https://www.cutleryandmore.com/enso-hizashi/nakiri-knife-p140186")</f>
        <v/>
      </c>
      <c r="B86" s="1">
        <f>HYPERLINK("https://www.cutleryandmore.com/enso-hizashi/nakiri-knife-p140186", "https://www.cutleryandmore.com/enso-hizashi/nakiri-knife-p140186")</f>
        <v/>
      </c>
      <c r="C86" t="inlineStr">
        <is>
          <t>Enso Hizashi 6.5" Nakiri Knife</t>
        </is>
      </c>
      <c r="D86" t="inlineStr">
        <is>
          <t>Enso SG2 Nakiri Knife - Made in Japan - 101 Layer Stainless Damascus, 6.5"</t>
        </is>
      </c>
      <c r="E86" s="1">
        <f>HYPERLINK("https://www.amazon.com/Enso-SG2-Nakiri-Knife-Stainless/dp/B07KFMT1R5/ref=sr_1_4?keywords=Enso+Hizashi+6.5%22+Nakiri+Knife&amp;qid=1695763949&amp;sr=8-4", "https://www.amazon.com/Enso-SG2-Nakiri-Knife-Stainless/dp/B07KFMT1R5/ref=sr_1_4?keywords=Enso+Hizashi+6.5%22+Nakiri+Knife&amp;qid=1695763949&amp;sr=8-4")</f>
        <v/>
      </c>
      <c r="F86" t="inlineStr">
        <is>
          <t>B07KFMT1R5</t>
        </is>
      </c>
      <c r="G86">
        <f>_xlfn.IMAGE("https://cdn.cutleryandmore.com/assets/product/main/40186.jpg")</f>
        <v/>
      </c>
      <c r="H86">
        <f>_xlfn.IMAGE("https://m.media-amazon.com/images/I/71tzvUZqSuL._AC_UL320_.jpg")</f>
        <v/>
      </c>
      <c r="K86" t="inlineStr">
        <is>
          <t>119.95</t>
        </is>
      </c>
      <c r="L86" t="n">
        <v>299.95</v>
      </c>
      <c r="M86" s="2" t="inlineStr">
        <is>
          <t>150.06%</t>
        </is>
      </c>
      <c r="N86" t="n">
        <v>4.4</v>
      </c>
      <c r="O86" t="n">
        <v>19</v>
      </c>
      <c r="Q86" t="inlineStr">
        <is>
          <t>InStock</t>
        </is>
      </c>
      <c r="R86" t="inlineStr">
        <is>
          <t>149.95</t>
        </is>
      </c>
      <c r="S86" t="inlineStr">
        <is>
          <t>35344</t>
        </is>
      </c>
    </row>
    <row r="87" ht="75" customHeight="1">
      <c r="A87" s="1">
        <f>HYPERLINK("https://www.cutleryandmore.com/enso-hizashi/paring-knife-p140185", "https://www.cutleryandmore.com/enso-hizashi/paring-knife-p140185")</f>
        <v/>
      </c>
      <c r="B87" s="1">
        <f>HYPERLINK("https://www.cutleryandmore.com/enso-hizashi/paring-knife-p140185", "https://www.cutleryandmore.com/enso-hizashi/paring-knife-p140185")</f>
        <v/>
      </c>
      <c r="C87" t="inlineStr">
        <is>
          <t>Enso Hizashi 4" Paring Knife</t>
        </is>
      </c>
      <c r="D87" t="inlineStr">
        <is>
          <t>Enso SG2 Paring Knife - Made in Japan - 101 Layer Stainless Damascus, 4"</t>
        </is>
      </c>
      <c r="E87" s="1">
        <f>HYPERLINK("https://www.amazon.com/Enso-SG2-Paring-Knife-Stainless/dp/B07YM47T7T/ref=sr_1_2?keywords=Enso+Hizashi+4%22+Paring+Knife&amp;qid=1695763957&amp;sr=8-2", "https://www.amazon.com/Enso-SG2-Paring-Knife-Stainless/dp/B07YM47T7T/ref=sr_1_2?keywords=Enso+Hizashi+4%22+Paring+Knife&amp;qid=1695763957&amp;sr=8-2")</f>
        <v/>
      </c>
      <c r="F87" t="inlineStr">
        <is>
          <t>B07YM47T7T</t>
        </is>
      </c>
      <c r="G87">
        <f>_xlfn.IMAGE("https://cdn.cutleryandmore.com/assets/product/main/40185.jpg")</f>
        <v/>
      </c>
      <c r="H87">
        <f>_xlfn.IMAGE("https://m.media-amazon.com/images/I/81UF6E84EOL._AC_UL320_.jpg")</f>
        <v/>
      </c>
      <c r="K87" t="inlineStr">
        <is>
          <t>79.95</t>
        </is>
      </c>
      <c r="L87" t="n">
        <v>189.95</v>
      </c>
      <c r="M87" s="2" t="inlineStr">
        <is>
          <t>137.59%</t>
        </is>
      </c>
      <c r="N87" t="n">
        <v>5</v>
      </c>
      <c r="O87" t="n">
        <v>3</v>
      </c>
      <c r="Q87" t="inlineStr">
        <is>
          <t>InStock</t>
        </is>
      </c>
      <c r="R87" t="inlineStr">
        <is>
          <t>99.95</t>
        </is>
      </c>
      <c r="S87" t="inlineStr">
        <is>
          <t>35335</t>
        </is>
      </c>
    </row>
    <row r="88" ht="75" customHeight="1">
      <c r="A88" s="1">
        <f>HYPERLINK("https://www.cutleryandmore.com/enso-hizashi/prep-knife-p140183", "https://www.cutleryandmore.com/enso-hizashi/prep-knife-p140183")</f>
        <v/>
      </c>
      <c r="B88" s="1">
        <f>HYPERLINK("https://www.cutleryandmore.com/enso-hizashi/prep-knife-p140183", "https://www.cutleryandmore.com/enso-hizashi/prep-knife-p140183")</f>
        <v/>
      </c>
      <c r="C88" t="inlineStr">
        <is>
          <t>Enso Hizashi 5.5" Prep Knife</t>
        </is>
      </c>
      <c r="D88" t="inlineStr">
        <is>
          <t>Enso SG2 Prep Knife - Made in Japan - 101 Layer Stainless Damascus Utility Knife, 5.5"</t>
        </is>
      </c>
      <c r="E88" s="1">
        <f>HYPERLINK("https://www.amazon.com/Enso-SG2-Prep-Knife-Stainless/dp/B07KFNNZPQ/ref=sr_1_2?keywords=Enso+Hizashi+5.5%22+Prep+Knife&amp;qid=1695763949&amp;sr=8-2", "https://www.amazon.com/Enso-SG2-Prep-Knife-Stainless/dp/B07KFNNZPQ/ref=sr_1_2?keywords=Enso+Hizashi+5.5%22+Prep+Knife&amp;qid=1695763949&amp;sr=8-2")</f>
        <v/>
      </c>
      <c r="F88" t="inlineStr">
        <is>
          <t>B07KFNNZPQ</t>
        </is>
      </c>
      <c r="G88">
        <f>_xlfn.IMAGE("https://cdn.cutleryandmore.com/assets/product/main/40183.jpg")</f>
        <v/>
      </c>
      <c r="H88">
        <f>_xlfn.IMAGE("https://m.media-amazon.com/images/I/71My6J5rsDL._AC_UL320_.jpg")</f>
        <v/>
      </c>
      <c r="K88" t="inlineStr">
        <is>
          <t>99.95</t>
        </is>
      </c>
      <c r="L88" t="n">
        <v>199.95</v>
      </c>
      <c r="M88" s="2" t="inlineStr">
        <is>
          <t>100.05%</t>
        </is>
      </c>
      <c r="N88" t="n">
        <v>4.7</v>
      </c>
      <c r="O88" t="n">
        <v>31</v>
      </c>
      <c r="Q88" t="inlineStr">
        <is>
          <t>InStock</t>
        </is>
      </c>
      <c r="R88" t="inlineStr">
        <is>
          <t>129.95</t>
        </is>
      </c>
      <c r="S88" t="inlineStr">
        <is>
          <t>35321</t>
        </is>
      </c>
    </row>
    <row r="89" ht="75" customHeight="1">
      <c r="A89" s="1">
        <f>HYPERLINK("https://www.cutleryandmore.com/enso-hizashi/slim-knife-block-set-p140574", "https://www.cutleryandmore.com/enso-hizashi/slim-knife-block-set-p140574")</f>
        <v/>
      </c>
      <c r="B89" s="1">
        <f>HYPERLINK("https://www.cutleryandmore.com/enso-hizashi/slim-knife-block-set-p140574", "https://www.cutleryandmore.com/enso-hizashi/slim-knife-block-set-p140574")</f>
        <v/>
      </c>
      <c r="C89" t="inlineStr">
        <is>
          <t>Enso Hizashi 7 Piece Slim Knife Block Set</t>
        </is>
      </c>
      <c r="D89" t="inlineStr">
        <is>
          <t>Enso SG2 7 Piece Acacia Slim Knife Block Set - Made in Japan - 101 Layer Stainless Damascus</t>
        </is>
      </c>
      <c r="E89" s="1">
        <f>HYPERLINK("https://www.amazon.com/Enso-Piece-Acacia-Knife-Block/dp/B0821TZSDG/ref=sr_1_1?keywords=Enso+Hizashi+7+Piece+Slim+Knife+Block+Set&amp;qid=1695763956&amp;sr=8-1", "https://www.amazon.com/Enso-Piece-Acacia-Knife-Block/dp/B0821TZSDG/ref=sr_1_1?keywords=Enso+Hizashi+7+Piece+Slim+Knife+Block+Set&amp;qid=1695763956&amp;sr=8-1")</f>
        <v/>
      </c>
      <c r="F89" t="inlineStr">
        <is>
          <t>B0821TZSDG</t>
        </is>
      </c>
      <c r="G89">
        <f>_xlfn.IMAGE("https://cdn.cutleryandmore.com/assets/product/main/40574.jpg")</f>
        <v/>
      </c>
      <c r="H89">
        <f>_xlfn.IMAGE("https://m.media-amazon.com/images/I/81o+K2+XhPL._AC_UL320_.jpg")</f>
        <v/>
      </c>
      <c r="K89" t="inlineStr">
        <is>
          <t>499.95</t>
        </is>
      </c>
      <c r="L89" t="n">
        <v>1199.95</v>
      </c>
      <c r="M89" s="2" t="inlineStr">
        <is>
          <t>140.01%</t>
        </is>
      </c>
      <c r="N89" t="n">
        <v>5</v>
      </c>
      <c r="O89" t="n">
        <v>7</v>
      </c>
      <c r="Q89" t="inlineStr">
        <is>
          <t>InStock</t>
        </is>
      </c>
      <c r="R89" t="inlineStr">
        <is>
          <t>599.95</t>
        </is>
      </c>
      <c r="S89" t="inlineStr">
        <is>
          <t>35399-071AA</t>
        </is>
      </c>
    </row>
    <row r="90" ht="75" customHeight="1">
      <c r="A90" s="1">
        <f>HYPERLINK("https://www.cutleryandmore.com/enso-sg2/knife-set-p140173", "https://www.cutleryandmore.com/enso-sg2/knife-set-p140173")</f>
        <v/>
      </c>
      <c r="B90" s="1">
        <f>HYPERLINK("https://www.cutleryandmore.com/enso-sg2/knife-set-p140173", "https://www.cutleryandmore.com/enso-sg2/knife-set-p140173")</f>
        <v/>
      </c>
      <c r="C90" t="inlineStr">
        <is>
          <t>Enso SG2 3 Piece Knife Set</t>
        </is>
      </c>
      <c r="D90" t="inlineStr">
        <is>
          <t>Enso SG2 18 Piece Knife Set - Made in Japan - 101 Layer Stainless Damascus with Walnut Knife Block</t>
        </is>
      </c>
      <c r="E90" s="1">
        <f>HYPERLINK("https://www.amazon.com/Enso-SG2-Piece-Knife-Set/dp/B0BPDYNJSR/ref=sr_1_3?keywords=Enso+SG2+3+Piece+Knife+Set&amp;qid=1695763959&amp;sr=8-3", "https://www.amazon.com/Enso-SG2-Piece-Knife-Set/dp/B0BPDYNJSR/ref=sr_1_3?keywords=Enso+SG2+3+Piece+Knife+Set&amp;qid=1695763959&amp;sr=8-3")</f>
        <v/>
      </c>
      <c r="F90" t="inlineStr">
        <is>
          <t>B0BPDYNJSR</t>
        </is>
      </c>
      <c r="G90">
        <f>_xlfn.IMAGE("https://cdn.cutleryandmore.com/assets/product/main/40173.jpg")</f>
        <v/>
      </c>
      <c r="H90">
        <f>_xlfn.IMAGE("https://m.media-amazon.com/images/I/81Qq8jvdQtL._AC_UL320_.jpg")</f>
        <v/>
      </c>
      <c r="K90" t="inlineStr">
        <is>
          <t>499.95</t>
        </is>
      </c>
      <c r="L90" t="n">
        <v>2999.95</v>
      </c>
      <c r="M90" s="2" t="inlineStr">
        <is>
          <t>500.05%</t>
        </is>
      </c>
      <c r="N90" t="n">
        <v>5</v>
      </c>
      <c r="O90" t="n">
        <v>1</v>
      </c>
      <c r="Q90" t="inlineStr">
        <is>
          <t>InStock</t>
        </is>
      </c>
      <c r="R90" t="inlineStr">
        <is>
          <t>599.95</t>
        </is>
      </c>
      <c r="S90" t="inlineStr">
        <is>
          <t>35799-032</t>
        </is>
      </c>
    </row>
    <row r="91" ht="75" customHeight="1">
      <c r="A91" s="1">
        <f>HYPERLINK("https://www.cutleryandmore.com/enso-sg2/knife-set-p140173", "https://www.cutleryandmore.com/enso-sg2/knife-set-p140173")</f>
        <v/>
      </c>
      <c r="B91" s="1">
        <f>HYPERLINK("https://www.cutleryandmore.com/enso-sg2/knife-set-p140173", "https://www.cutleryandmore.com/enso-sg2/knife-set-p140173")</f>
        <v/>
      </c>
      <c r="C91" t="inlineStr">
        <is>
          <t>Enso SG2 3 Piece Knife Set</t>
        </is>
      </c>
      <c r="D91" t="inlineStr">
        <is>
          <t>Enso SG2 7 Piece Dark Ash Slim Knife Block Set - Made in Japan - 101 Layer Stainless Damascus</t>
        </is>
      </c>
      <c r="E91" s="1">
        <f>HYPERLINK("https://www.amazon.com/Enso-Piece-Dark-Knife-Block/dp/B0821TLWD7/ref=sr_1_1?keywords=Enso+SG2+3+Piece+Knife+Set&amp;qid=1695763959&amp;sr=8-1", "https://www.amazon.com/Enso-Piece-Dark-Knife-Block/dp/B0821TLWD7/ref=sr_1_1?keywords=Enso+SG2+3+Piece+Knife+Set&amp;qid=1695763959&amp;sr=8-1")</f>
        <v/>
      </c>
      <c r="F91" t="inlineStr">
        <is>
          <t>B0821TLWD7</t>
        </is>
      </c>
      <c r="G91">
        <f>_xlfn.IMAGE("https://cdn.cutleryandmore.com/assets/product/main/40173.jpg")</f>
        <v/>
      </c>
      <c r="H91">
        <f>_xlfn.IMAGE("https://m.media-amazon.com/images/I/812dxzeQLQL._AC_UL320_.jpg")</f>
        <v/>
      </c>
      <c r="K91" t="inlineStr">
        <is>
          <t>499.95</t>
        </is>
      </c>
      <c r="L91" t="n">
        <v>1199.95</v>
      </c>
      <c r="M91" s="2" t="inlineStr">
        <is>
          <t>140.01%</t>
        </is>
      </c>
      <c r="N91" t="n">
        <v>5</v>
      </c>
      <c r="O91" t="n">
        <v>7</v>
      </c>
      <c r="Q91" t="inlineStr">
        <is>
          <t>InStock</t>
        </is>
      </c>
      <c r="R91" t="inlineStr">
        <is>
          <t>599.95</t>
        </is>
      </c>
      <c r="S91" t="inlineStr">
        <is>
          <t>35799-032</t>
        </is>
      </c>
    </row>
    <row r="92" ht="75" customHeight="1">
      <c r="A92" s="1">
        <f>HYPERLINK("https://www.cutleryandmore.com/global/bread-knife-p11092", "https://www.cutleryandmore.com/global/bread-knife-p11092")</f>
        <v/>
      </c>
      <c r="B92" s="1">
        <f>HYPERLINK("https://www.cutleryandmore.com/global/bread-knife-p11092", "https://www.cutleryandmore.com/global/bread-knife-p11092")</f>
        <v/>
      </c>
      <c r="C92" t="inlineStr">
        <is>
          <t>Global 8.5" Bread Knife</t>
        </is>
      </c>
      <c r="D92" t="inlineStr">
        <is>
          <t>Global SAI-05, SAI Bread Knife, 9", Stainless Steel</t>
        </is>
      </c>
      <c r="E92" s="1">
        <f>HYPERLINK("https://www.amazon.com/Global-SAI-05-Bread-Knife-Silver/dp/B009VXD0ZE/ref=sr_1_5?keywords=Global+8.5%22+Bread+Knife&amp;qid=1695763934&amp;sr=8-5", "https://www.amazon.com/Global-SAI-05-Bread-Knife-Silver/dp/B009VXD0ZE/ref=sr_1_5?keywords=Global+8.5%22+Bread+Knife&amp;qid=1695763934&amp;sr=8-5")</f>
        <v/>
      </c>
      <c r="F92" t="inlineStr">
        <is>
          <t>B009VXD0ZE</t>
        </is>
      </c>
      <c r="G92">
        <f>_xlfn.IMAGE("https://cdn.cutleryandmore.com/assets/product/main/1092.jpg")</f>
        <v/>
      </c>
      <c r="H92">
        <f>_xlfn.IMAGE("https://m.media-amazon.com/images/I/61sKyz1lrTL._AC_UL320_.jpg")</f>
        <v/>
      </c>
      <c r="K92" t="inlineStr">
        <is>
          <t>79.95</t>
        </is>
      </c>
      <c r="L92" t="n">
        <v>189.95</v>
      </c>
      <c r="M92" s="2" t="inlineStr">
        <is>
          <t>137.59%</t>
        </is>
      </c>
      <c r="N92" t="n">
        <v>4.7</v>
      </c>
      <c r="O92" t="n">
        <v>11</v>
      </c>
      <c r="Q92" t="inlineStr">
        <is>
          <t>InStock</t>
        </is>
      </c>
      <c r="R92" t="inlineStr">
        <is>
          <t>114.95</t>
        </is>
      </c>
      <c r="S92" t="inlineStr">
        <is>
          <t>G-9</t>
        </is>
      </c>
    </row>
    <row r="93" ht="75" customHeight="1">
      <c r="A93" s="1">
        <f>HYPERLINK("https://www.cutleryandmore.com/global/bread-knife-p11092", "https://www.cutleryandmore.com/global/bread-knife-p11092")</f>
        <v/>
      </c>
      <c r="B93" s="1">
        <f>HYPERLINK("https://www.cutleryandmore.com/global/bread-knife-p11092", "https://www.cutleryandmore.com/global/bread-knife-p11092")</f>
        <v/>
      </c>
      <c r="C93" t="inlineStr">
        <is>
          <t>Global 8.5" Bread Knife</t>
        </is>
      </c>
      <c r="D93" t="inlineStr">
        <is>
          <t>Global G-23-10 inch, 24cm Bread Knife, 10", Stainles Steel</t>
        </is>
      </c>
      <c r="E93" s="1">
        <f>HYPERLINK("https://www.amazon.com/Global-G23-G-23-10-Bread-Stainles/dp/B0000A33KY/ref=sr_1_7?keywords=Global+8.5%22+Bread+Knife&amp;qid=1695763934&amp;sr=8-7", "https://www.amazon.com/Global-G23-G-23-10-Bread-Stainles/dp/B0000A33KY/ref=sr_1_7?keywords=Global+8.5%22+Bread+Knife&amp;qid=1695763934&amp;sr=8-7")</f>
        <v/>
      </c>
      <c r="F93" t="inlineStr">
        <is>
          <t>B0000A33KY</t>
        </is>
      </c>
      <c r="G93">
        <f>_xlfn.IMAGE("https://cdn.cutleryandmore.com/assets/product/main/1092.jpg")</f>
        <v/>
      </c>
      <c r="H93">
        <f>_xlfn.IMAGE("https://m.media-amazon.com/images/I/61dkFNSxjuL._AC_UL320_.jpg")</f>
        <v/>
      </c>
      <c r="K93" t="inlineStr">
        <is>
          <t>79.95</t>
        </is>
      </c>
      <c r="L93" t="n">
        <v>139.95</v>
      </c>
      <c r="M93" s="2" t="inlineStr">
        <is>
          <t>75.05%</t>
        </is>
      </c>
      <c r="N93" t="n">
        <v>4.7</v>
      </c>
      <c r="O93" t="n">
        <v>23</v>
      </c>
      <c r="Q93" t="inlineStr">
        <is>
          <t>InStock</t>
        </is>
      </c>
      <c r="R93" t="inlineStr">
        <is>
          <t>114.95</t>
        </is>
      </c>
      <c r="S93" t="inlineStr">
        <is>
          <t>G-9</t>
        </is>
      </c>
    </row>
    <row r="94" ht="75" customHeight="1">
      <c r="A94" s="1">
        <f>HYPERLINK("https://www.cutleryandmore.com/global/chefs-knife-p125474", "https://www.cutleryandmore.com/global/chefs-knife-p125474")</f>
        <v/>
      </c>
      <c r="B94" s="1">
        <f>HYPERLINK("https://www.cutleryandmore.com/global/chefs-knife-p125474", "https://www.cutleryandmore.com/global/chefs-knife-p125474")</f>
        <v/>
      </c>
      <c r="C94" t="inlineStr">
        <is>
          <t>Global Chef's Knives</t>
        </is>
      </c>
      <c r="D94" t="inlineStr">
        <is>
          <t>Global Knives 11-Inch Chef's Knife, Stainless Steel</t>
        </is>
      </c>
      <c r="E94" s="1">
        <f>HYPERLINK("https://www.amazon.com/Global-G-17-Knives-11-Inch-Stainless/dp/B00012F0O8/ref=sr_1_10?keywords=Global+Chefs+Knives&amp;qid=1695763921&amp;sr=8-10", "https://www.amazon.com/Global-G-17-Knives-11-Inch-Stainless/dp/B00012F0O8/ref=sr_1_10?keywords=Global+Chefs+Knives&amp;qid=1695763921&amp;sr=8-10")</f>
        <v/>
      </c>
      <c r="F94" t="inlineStr">
        <is>
          <t>B00012F0O8</t>
        </is>
      </c>
      <c r="G94">
        <f>_xlfn.IMAGE("https://cdn.cutleryandmore.com/assets/product/main/25474.jpg")</f>
        <v/>
      </c>
      <c r="H94">
        <f>_xlfn.IMAGE("https://m.media-amazon.com/images/I/51pp-MFvveL._AC_UL320_.jpg")</f>
        <v/>
      </c>
      <c r="K94" t="inlineStr">
        <is>
          <t>69.95</t>
        </is>
      </c>
      <c r="L94" t="n">
        <v>189.95</v>
      </c>
      <c r="M94" s="2" t="inlineStr">
        <is>
          <t>171.55%</t>
        </is>
      </c>
      <c r="N94" t="n">
        <v>4.9</v>
      </c>
      <c r="O94" t="n">
        <v>11</v>
      </c>
      <c r="Q94" t="inlineStr">
        <is>
          <t>InStock</t>
        </is>
      </c>
      <c r="R94" t="inlineStr">
        <is>
          <t>114.95</t>
        </is>
      </c>
      <c r="S94" t="inlineStr">
        <is>
          <t>G-55</t>
        </is>
      </c>
    </row>
    <row r="95" ht="75" customHeight="1">
      <c r="A95" s="1">
        <f>HYPERLINK("https://www.cutleryandmore.com/global/kabuto-knife-block-set-p136761", "https://www.cutleryandmore.com/global/kabuto-knife-block-set-p136761")</f>
        <v/>
      </c>
      <c r="B95" s="1">
        <f>HYPERLINK("https://www.cutleryandmore.com/global/kabuto-knife-block-set-p136761", "https://www.cutleryandmore.com/global/kabuto-knife-block-set-p136761")</f>
        <v/>
      </c>
      <c r="C95" t="inlineStr">
        <is>
          <t>Global 7 Piece Kabuto Knife Block Set</t>
        </is>
      </c>
      <c r="D95" t="inlineStr">
        <is>
          <t>Global 20 Piece Knife Block Set</t>
        </is>
      </c>
      <c r="E95" s="1">
        <f>HYPERLINK("https://www.amazon.com/Global-Piece-Knife-Block-Set/dp/B0C42H3PWY/ref=sr_1_4?keywords=Global+7+Piece+Kabuto+Knife+Block+Set&amp;qid=1695763921&amp;sr=8-4", "https://www.amazon.com/Global-Piece-Knife-Block-Set/dp/B0C42H3PWY/ref=sr_1_4?keywords=Global+7+Piece+Kabuto+Knife+Block+Set&amp;qid=1695763921&amp;sr=8-4")</f>
        <v/>
      </c>
      <c r="F95" t="inlineStr">
        <is>
          <t>B0C42H3PWY</t>
        </is>
      </c>
      <c r="G95">
        <f>_xlfn.IMAGE("https://cdn.cutleryandmore.com/assets/product/main/36761.jpg")</f>
        <v/>
      </c>
      <c r="H95">
        <f>_xlfn.IMAGE("https://m.media-amazon.com/images/I/81b0eYH+KyL._AC_UL320_.jpg")</f>
        <v/>
      </c>
      <c r="K95" t="inlineStr">
        <is>
          <t>299.99</t>
        </is>
      </c>
      <c r="L95" t="n">
        <v>1199.95</v>
      </c>
      <c r="M95" s="2" t="inlineStr">
        <is>
          <t>300.00%</t>
        </is>
      </c>
      <c r="N95" t="n">
        <v>5</v>
      </c>
      <c r="O95" t="n">
        <v>5</v>
      </c>
      <c r="Q95" t="inlineStr">
        <is>
          <t>InStock</t>
        </is>
      </c>
      <c r="R95" t="inlineStr">
        <is>
          <t>undefined</t>
        </is>
      </c>
      <c r="S95" t="inlineStr">
        <is>
          <t>G-79620</t>
        </is>
      </c>
    </row>
    <row r="96" ht="75" customHeight="1">
      <c r="A96" s="1">
        <f>HYPERLINK("https://www.cutleryandmore.com/global/kabuto-knife-block-set-p136761", "https://www.cutleryandmore.com/global/kabuto-knife-block-set-p136761")</f>
        <v/>
      </c>
      <c r="B96" s="1">
        <f>HYPERLINK("https://www.cutleryandmore.com/global/kabuto-knife-block-set-p136761", "https://www.cutleryandmore.com/global/kabuto-knife-block-set-p136761")</f>
        <v/>
      </c>
      <c r="C96" t="inlineStr">
        <is>
          <t>Global 7 Piece Kabuto Knife Block Set</t>
        </is>
      </c>
      <c r="D96" t="inlineStr">
        <is>
          <t>Global G-79589AU block-knife-sets</t>
        </is>
      </c>
      <c r="E96" s="1">
        <f>HYPERLINK("https://www.amazon.com/Global-G-79589AU-Block-Knife-Sets/dp/B00UVN5ZCO/ref=sr_1_7?keywords=Global+7+Piece+Kabuto+Knife+Block+Set&amp;qid=1695763921&amp;sr=8-7", "https://www.amazon.com/Global-G-79589AU-Block-Knife-Sets/dp/B00UVN5ZCO/ref=sr_1_7?keywords=Global+7+Piece+Kabuto+Knife+Block+Set&amp;qid=1695763921&amp;sr=8-7")</f>
        <v/>
      </c>
      <c r="F96" t="inlineStr">
        <is>
          <t>B00UVN5ZCO</t>
        </is>
      </c>
      <c r="G96">
        <f>_xlfn.IMAGE("https://cdn.cutleryandmore.com/assets/product/main/36761.jpg")</f>
        <v/>
      </c>
      <c r="H96">
        <f>_xlfn.IMAGE("https://m.media-amazon.com/images/I/91aA11OOqQL._AC_UL320_.jpg")</f>
        <v/>
      </c>
      <c r="K96" t="inlineStr">
        <is>
          <t>299.99</t>
        </is>
      </c>
      <c r="L96" t="n">
        <v>599.95</v>
      </c>
      <c r="M96" s="2" t="inlineStr">
        <is>
          <t>99.99%</t>
        </is>
      </c>
      <c r="N96" t="n">
        <v>4.4</v>
      </c>
      <c r="O96" t="n">
        <v>50</v>
      </c>
      <c r="Q96" t="inlineStr">
        <is>
          <t>InStock</t>
        </is>
      </c>
      <c r="R96" t="inlineStr">
        <is>
          <t>undefined</t>
        </is>
      </c>
      <c r="S96" t="inlineStr">
        <is>
          <t>G-79620</t>
        </is>
      </c>
    </row>
    <row r="97" ht="75" customHeight="1">
      <c r="A97" s="1">
        <f>HYPERLINK("https://www.cutleryandmore.com/global/knife-set-p140588", "https://www.cutleryandmore.com/global/knife-set-p140588")</f>
        <v/>
      </c>
      <c r="B97" s="1">
        <f>HYPERLINK("https://www.cutleryandmore.com/global/knife-set-p140588", "https://www.cutleryandmore.com/global/knife-set-p140588")</f>
        <v/>
      </c>
      <c r="C97" t="inlineStr">
        <is>
          <t>Global 3 Piece Knife Set</t>
        </is>
      </c>
      <c r="D97" t="inlineStr">
        <is>
          <t>Global Knife 6-Piece Block Set G-79586AU, Stainless Steel</t>
        </is>
      </c>
      <c r="E97" s="1">
        <f>HYPERLINK("https://www.amazon.com/Global-Knife-6-Piece-G-79586AU-Stainless/dp/B00AEFK6IC/ref=sr_1_10?keywords=Global+3+Piece+Knife+Set&amp;qid=1695763930&amp;sr=8-10", "https://www.amazon.com/Global-Knife-6-Piece-G-79586AU-Stainless/dp/B00AEFK6IC/ref=sr_1_10?keywords=Global+3+Piece+Knife+Set&amp;qid=1695763930&amp;sr=8-10")</f>
        <v/>
      </c>
      <c r="F97" t="inlineStr">
        <is>
          <t>B00AEFK6IC</t>
        </is>
      </c>
      <c r="G97">
        <f>_xlfn.IMAGE("https://cdn.cutleryandmore.com/assets/product/main/40588.jpg")</f>
        <v/>
      </c>
      <c r="H97">
        <f>_xlfn.IMAGE("https://m.media-amazon.com/images/I/51Vdb8kOU8L._AC_UL320_.jpg")</f>
        <v/>
      </c>
      <c r="K97" t="inlineStr">
        <is>
          <t>149.95</t>
        </is>
      </c>
      <c r="L97" t="n">
        <v>399.96</v>
      </c>
      <c r="M97" s="2" t="inlineStr">
        <is>
          <t>166.73%</t>
        </is>
      </c>
      <c r="N97" t="n">
        <v>4.1</v>
      </c>
      <c r="O97" t="n">
        <v>16</v>
      </c>
      <c r="Q97" t="inlineStr">
        <is>
          <t>InStock</t>
        </is>
      </c>
      <c r="R97" t="inlineStr">
        <is>
          <t>229.95</t>
        </is>
      </c>
      <c r="S97" t="inlineStr">
        <is>
          <t>G-784689</t>
        </is>
      </c>
    </row>
    <row r="98" ht="75" customHeight="1">
      <c r="A98" s="1">
        <f>HYPERLINK("https://www.cutleryandmore.com/global/knife-set-p140588", "https://www.cutleryandmore.com/global/knife-set-p140588")</f>
        <v/>
      </c>
      <c r="B98" s="1">
        <f>HYPERLINK("https://www.cutleryandmore.com/global/knife-set-p140588", "https://www.cutleryandmore.com/global/knife-set-p140588")</f>
        <v/>
      </c>
      <c r="C98" t="inlineStr">
        <is>
          <t>Global 3 Piece Knife Set</t>
        </is>
      </c>
      <c r="D98" t="inlineStr">
        <is>
          <t>Global 7-piece Ikasu Knife Block Set</t>
        </is>
      </c>
      <c r="E98" s="1">
        <f>HYPERLINK("https://www.amazon.com/Global-7-piece-Ikasu-Knife-Block/dp/B00AEFK5ZG/ref=sr_1_8?keywords=Global+3+Piece+Knife+Set&amp;qid=1695763930&amp;sr=8-8", "https://www.amazon.com/Global-7-piece-Ikasu-Knife-Block/dp/B00AEFK5ZG/ref=sr_1_8?keywords=Global+3+Piece+Knife+Set&amp;qid=1695763930&amp;sr=8-8")</f>
        <v/>
      </c>
      <c r="F98" t="inlineStr">
        <is>
          <t>B00AEFK5ZG</t>
        </is>
      </c>
      <c r="G98">
        <f>_xlfn.IMAGE("https://cdn.cutleryandmore.com/assets/product/main/40588.jpg")</f>
        <v/>
      </c>
      <c r="H98">
        <f>_xlfn.IMAGE("https://m.media-amazon.com/images/I/61FEAAf-xOL._AC_UL320_.jpg")</f>
        <v/>
      </c>
      <c r="K98" t="inlineStr">
        <is>
          <t>149.95</t>
        </is>
      </c>
      <c r="L98" t="n">
        <v>359.97</v>
      </c>
      <c r="M98" s="2" t="inlineStr">
        <is>
          <t>140.06%</t>
        </is>
      </c>
      <c r="N98" t="n">
        <v>4.8</v>
      </c>
      <c r="O98" t="n">
        <v>265</v>
      </c>
      <c r="Q98" t="inlineStr">
        <is>
          <t>InStock</t>
        </is>
      </c>
      <c r="R98" t="inlineStr">
        <is>
          <t>229.95</t>
        </is>
      </c>
      <c r="S98" t="inlineStr">
        <is>
          <t>G-784689</t>
        </is>
      </c>
    </row>
    <row r="99" ht="75" customHeight="1">
      <c r="A99" s="1">
        <f>HYPERLINK("https://www.cutleryandmore.com/global/serrated-utility-knife-p11060", "https://www.cutleryandmore.com/global/serrated-utility-knife-p11060")</f>
        <v/>
      </c>
      <c r="B99" s="1">
        <f>HYPERLINK("https://www.cutleryandmore.com/global/serrated-utility-knife-p11060", "https://www.cutleryandmore.com/global/serrated-utility-knife-p11060")</f>
        <v/>
      </c>
      <c r="C99" t="inlineStr">
        <is>
          <t>Global 6" Serrated Utility Knife</t>
        </is>
      </c>
      <c r="D99" t="inlineStr">
        <is>
          <t>Shun Cutlery Classic Serrated Utility Knife 6", Narrow, Straight-Bladed Kitchen Knife Perfect for Precise Cuts, Ideal for Preparing Sandwiches or Trimming Small Vegetables, Handcrafted Japanese Knife</t>
        </is>
      </c>
      <c r="E99" s="1">
        <f>HYPERLINK("https://www.amazon.com/Shun-Straight-Bladed-Sandwiches-Vegetables-Handcrafted/dp/B00022YEWG/ref=sr_1_4?keywords=Global+6%22+Serrated+Utility+Knife&amp;qid=1695763929&amp;sr=8-4", "https://www.amazon.com/Shun-Straight-Bladed-Sandwiches-Vegetables-Handcrafted/dp/B00022YEWG/ref=sr_1_4?keywords=Global+6%22+Serrated+Utility+Knife&amp;qid=1695763929&amp;sr=8-4")</f>
        <v/>
      </c>
      <c r="F99" t="inlineStr">
        <is>
          <t>B00022YEWG</t>
        </is>
      </c>
      <c r="G99">
        <f>_xlfn.IMAGE("https://cdn.cutleryandmore.com/assets/product/main/1060.jpg")</f>
        <v/>
      </c>
      <c r="H99">
        <f>_xlfn.IMAGE("https://m.media-amazon.com/images/I/61YcUaTi4-L._AC_UF264,320_.jpg")</f>
        <v/>
      </c>
      <c r="K99" t="inlineStr">
        <is>
          <t>49.95</t>
        </is>
      </c>
      <c r="L99" t="n">
        <v>95.95</v>
      </c>
      <c r="M99" s="2" t="inlineStr">
        <is>
          <t>92.09%</t>
        </is>
      </c>
      <c r="N99" t="n">
        <v>4.9</v>
      </c>
      <c r="O99" t="n">
        <v>181</v>
      </c>
      <c r="Q99" t="inlineStr">
        <is>
          <t>InStock</t>
        </is>
      </c>
      <c r="R99" t="inlineStr">
        <is>
          <t>84.95</t>
        </is>
      </c>
      <c r="S99" t="inlineStr">
        <is>
          <t>GS-14</t>
        </is>
      </c>
    </row>
    <row r="100" ht="75" customHeight="1">
      <c r="A100" s="1">
        <f>HYPERLINK("https://www.cutleryandmore.com/global/serrated-utility-knife-p11060", "https://www.cutleryandmore.com/global/serrated-utility-knife-p11060")</f>
        <v/>
      </c>
      <c r="B100" s="1">
        <f>HYPERLINK("https://www.cutleryandmore.com/global/serrated-utility-knife-p11060", "https://www.cutleryandmore.com/global/serrated-utility-knife-p11060")</f>
        <v/>
      </c>
      <c r="C100" t="inlineStr">
        <is>
          <t>Global 6" Serrated Utility Knife</t>
        </is>
      </c>
      <c r="D100" t="inlineStr">
        <is>
          <t>Global GS-11-6 inch, 15cm Flexible Knife 6" Flex. Utility, 6", Stainless Steel</t>
        </is>
      </c>
      <c r="E100" s="1">
        <f>HYPERLINK("https://www.amazon.com/Global-GS-11-6-Flexible-Utility-Knife/dp/B00005OL3T/ref=sr_1_2?keywords=Global+6%22+Serrated+Utility+Knife&amp;qid=1695763929&amp;sr=8-2", "https://www.amazon.com/Global-GS-11-6-Flexible-Utility-Knife/dp/B00005OL3T/ref=sr_1_2?keywords=Global+6%22+Serrated+Utility+Knife&amp;qid=1695763929&amp;sr=8-2")</f>
        <v/>
      </c>
      <c r="F100" t="inlineStr">
        <is>
          <t>B00005OL3T</t>
        </is>
      </c>
      <c r="G100">
        <f>_xlfn.IMAGE("https://cdn.cutleryandmore.com/assets/product/main/1060.jpg")</f>
        <v/>
      </c>
      <c r="H100">
        <f>_xlfn.IMAGE("https://m.media-amazon.com/images/I/61kvjx57uXL._AC_UF264,320_.jpg")</f>
        <v/>
      </c>
      <c r="K100" t="inlineStr">
        <is>
          <t>49.95</t>
        </is>
      </c>
      <c r="L100" t="n">
        <v>84.95</v>
      </c>
      <c r="M100" s="2" t="inlineStr">
        <is>
          <t>70.07%</t>
        </is>
      </c>
      <c r="N100" t="n">
        <v>4.4</v>
      </c>
      <c r="O100" t="n">
        <v>91</v>
      </c>
      <c r="Q100" t="inlineStr">
        <is>
          <t>InStock</t>
        </is>
      </c>
      <c r="R100" t="inlineStr">
        <is>
          <t>84.95</t>
        </is>
      </c>
      <c r="S100" t="inlineStr">
        <is>
          <t>GS-14</t>
        </is>
      </c>
    </row>
    <row r="101" ht="75" customHeight="1">
      <c r="A101" s="1">
        <f>HYPERLINK("https://www.cutleryandmore.com/global/starter-knife-set-p114152", "https://www.cutleryandmore.com/global/starter-knife-set-p114152")</f>
        <v/>
      </c>
      <c r="B101" s="1">
        <f>HYPERLINK("https://www.cutleryandmore.com/global/starter-knife-set-p114152", "https://www.cutleryandmore.com/global/starter-knife-set-p114152")</f>
        <v/>
      </c>
      <c r="C101" t="inlineStr">
        <is>
          <t>Global 3 Piece Knife Set</t>
        </is>
      </c>
      <c r="D101" t="inlineStr">
        <is>
          <t>Global Knife 6-Piece Block Set G-79586AU, Stainless Steel</t>
        </is>
      </c>
      <c r="E101" s="1">
        <f>HYPERLINK("https://www.amazon.com/Global-Knife-6-Piece-G-79586AU-Stainless/dp/B00AEFK6IC/ref=sr_1_10?keywords=Global+3+Piece+Knife+Set&amp;qid=1695763964&amp;sr=8-10", "https://www.amazon.com/Global-Knife-6-Piece-G-79586AU-Stainless/dp/B00AEFK6IC/ref=sr_1_10?keywords=Global+3+Piece+Knife+Set&amp;qid=1695763964&amp;sr=8-10")</f>
        <v/>
      </c>
      <c r="F101" t="inlineStr">
        <is>
          <t>B00AEFK6IC</t>
        </is>
      </c>
      <c r="G101">
        <f>_xlfn.IMAGE("https://cdn.cutleryandmore.com/assets/product/main/14152.jpg")</f>
        <v/>
      </c>
      <c r="H101">
        <f>_xlfn.IMAGE("https://m.media-amazon.com/images/I/51Vdb8kOU8L._AC_UL320_.jpg")</f>
        <v/>
      </c>
      <c r="K101" t="inlineStr">
        <is>
          <t>179.95</t>
        </is>
      </c>
      <c r="L101" t="n">
        <v>399.96</v>
      </c>
      <c r="M101" s="2" t="inlineStr">
        <is>
          <t>122.26%</t>
        </is>
      </c>
      <c r="N101" t="n">
        <v>4.1</v>
      </c>
      <c r="O101" t="n">
        <v>16</v>
      </c>
      <c r="Q101" t="inlineStr">
        <is>
          <t>InStock</t>
        </is>
      </c>
      <c r="R101" t="inlineStr">
        <is>
          <t>244.95</t>
        </is>
      </c>
      <c r="S101" t="inlineStr">
        <is>
          <t>G-2538</t>
        </is>
      </c>
    </row>
    <row r="102" ht="75" customHeight="1">
      <c r="A102" s="1">
        <f>HYPERLINK("https://www.cutleryandmore.com/global/starter-knife-set-p114152", "https://www.cutleryandmore.com/global/starter-knife-set-p114152")</f>
        <v/>
      </c>
      <c r="B102" s="1">
        <f>HYPERLINK("https://www.cutleryandmore.com/global/starter-knife-set-p114152", "https://www.cutleryandmore.com/global/starter-knife-set-p114152")</f>
        <v/>
      </c>
      <c r="C102" t="inlineStr">
        <is>
          <t>Global 3 Piece Knife Set</t>
        </is>
      </c>
      <c r="D102" t="inlineStr">
        <is>
          <t>Global 7-piece Ikasu Knife Block Set</t>
        </is>
      </c>
      <c r="E102" s="1">
        <f>HYPERLINK("https://www.amazon.com/Global-7-piece-Ikasu-Knife-Block/dp/B00AEFK5ZG/ref=sr_1_8?keywords=Global+3+Piece+Knife+Set&amp;qid=1695763964&amp;sr=8-8", "https://www.amazon.com/Global-7-piece-Ikasu-Knife-Block/dp/B00AEFK5ZG/ref=sr_1_8?keywords=Global+3+Piece+Knife+Set&amp;qid=1695763964&amp;sr=8-8")</f>
        <v/>
      </c>
      <c r="F102" t="inlineStr">
        <is>
          <t>B00AEFK5ZG</t>
        </is>
      </c>
      <c r="G102">
        <f>_xlfn.IMAGE("https://cdn.cutleryandmore.com/assets/product/main/14152.jpg")</f>
        <v/>
      </c>
      <c r="H102">
        <f>_xlfn.IMAGE("https://m.media-amazon.com/images/I/61FEAAf-xOL._AC_UL320_.jpg")</f>
        <v/>
      </c>
      <c r="K102" t="inlineStr">
        <is>
          <t>179.95</t>
        </is>
      </c>
      <c r="L102" t="n">
        <v>359.97</v>
      </c>
      <c r="M102" s="2" t="inlineStr">
        <is>
          <t>100.04%</t>
        </is>
      </c>
      <c r="N102" t="n">
        <v>4.8</v>
      </c>
      <c r="O102" t="n">
        <v>265</v>
      </c>
      <c r="Q102" t="inlineStr">
        <is>
          <t>InStock</t>
        </is>
      </c>
      <c r="R102" t="inlineStr">
        <is>
          <t>244.95</t>
        </is>
      </c>
      <c r="S102" t="inlineStr">
        <is>
          <t>G-2538</t>
        </is>
      </c>
    </row>
    <row r="103" ht="75" customHeight="1">
      <c r="A103" s="1">
        <f>HYPERLINK("https://www.cutleryandmore.com/global-ukon/steak-knife-set-p137759", "https://www.cutleryandmore.com/global-ukon/steak-knife-set-p137759")</f>
        <v/>
      </c>
      <c r="B103" s="1">
        <f>HYPERLINK("https://www.cutleryandmore.com/global-ukon/steak-knife-set-p137759", "https://www.cutleryandmore.com/global-ukon/steak-knife-set-p137759")</f>
        <v/>
      </c>
      <c r="C103" t="inlineStr">
        <is>
          <t>Global Ukon 4 Piece Steak Knife Set</t>
        </is>
      </c>
      <c r="D103" t="inlineStr">
        <is>
          <t>Global UKON 6 Piece Knife Block Set</t>
        </is>
      </c>
      <c r="E103" s="1">
        <f>HYPERLINK("https://www.amazon.com/Global-Piece-Ukon-Knife-Block/dp/B06WVH1SG2/ref=sr_1_6?keywords=Global+Ukon+4+Piece+Steak+Knife+Set&amp;qid=1695763982&amp;sr=8-6", "https://www.amazon.com/Global-Piece-Ukon-Knife-Block/dp/B06WVH1SG2/ref=sr_1_6?keywords=Global+Ukon+4+Piece+Steak+Knife+Set&amp;qid=1695763982&amp;sr=8-6")</f>
        <v/>
      </c>
      <c r="F103" t="inlineStr">
        <is>
          <t>B06WVH1SG2</t>
        </is>
      </c>
      <c r="G103">
        <f>_xlfn.IMAGE("https://cdn.cutleryandmore.com/assets/product/main/37759.jpg")</f>
        <v/>
      </c>
      <c r="H103">
        <f>_xlfn.IMAGE("https://m.media-amazon.com/images/I/61UMdGi7QdL._AC_UL320_.jpg")</f>
        <v/>
      </c>
      <c r="K103" t="inlineStr">
        <is>
          <t>199.95</t>
        </is>
      </c>
      <c r="L103" t="n">
        <v>392</v>
      </c>
      <c r="M103" s="2" t="inlineStr">
        <is>
          <t>96.05%</t>
        </is>
      </c>
      <c r="N103" t="n">
        <v>4.2</v>
      </c>
      <c r="O103" t="n">
        <v>20</v>
      </c>
      <c r="Q103" t="inlineStr">
        <is>
          <t>InStock</t>
        </is>
      </c>
      <c r="R103" t="inlineStr">
        <is>
          <t>249.95</t>
        </is>
      </c>
      <c r="S103" t="inlineStr">
        <is>
          <t>GUF-31/4</t>
        </is>
      </c>
    </row>
    <row r="104" ht="75" customHeight="1">
      <c r="A104" s="1">
        <f>HYPERLINK("https://www.cutleryandmore.com/henckels-four-star/steak-knife-set-p19780", "https://www.cutleryandmore.com/henckels-four-star/steak-knife-set-p19780")</f>
        <v/>
      </c>
      <c r="B104" s="1">
        <f>HYPERLINK("https://www.cutleryandmore.com/henckels-four-star/steak-knife-set-p19780", "https://www.cutleryandmore.com/henckels-four-star/steak-knife-set-p19780")</f>
        <v/>
      </c>
      <c r="C104" t="inlineStr">
        <is>
          <t>Zwilling J.A. Henckels Four Star Steak Knife Sets</t>
        </is>
      </c>
      <c r="D104" t="inlineStr">
        <is>
          <t>Zwilling J.A. Henckels Twin Four Star II 7-Piece Knife Set with Block</t>
        </is>
      </c>
      <c r="E104" s="1">
        <f>HYPERLINK("https://www.amazon.com/ZWILLING-TWIN-Four-Knife-Block/dp/B000FN002K/ref=sr_1_6?keywords=Zwilling+J.A.+Henckels+Four+Star+Steak+Knife+Sets&amp;qid=1695763947&amp;sr=8-6", "https://www.amazon.com/ZWILLING-TWIN-Four-Knife-Block/dp/B000FN002K/ref=sr_1_6?keywords=Zwilling+J.A.+Henckels+Four+Star+Steak+Knife+Sets&amp;qid=1695763947&amp;sr=8-6")</f>
        <v/>
      </c>
      <c r="F104" t="inlineStr">
        <is>
          <t>B000FN002K</t>
        </is>
      </c>
      <c r="G104">
        <f>_xlfn.IMAGE("https://cdn.cutleryandmore.com/assets/product/main/9780.jpg")</f>
        <v/>
      </c>
      <c r="H104">
        <f>_xlfn.IMAGE("https://m.media-amazon.com/images/I/61h5dveVK3L._AC_UL320_.jpg")</f>
        <v/>
      </c>
      <c r="K104" t="inlineStr">
        <is>
          <t>239.95</t>
        </is>
      </c>
      <c r="L104" t="n">
        <v>419.95</v>
      </c>
      <c r="M104" s="2" t="inlineStr">
        <is>
          <t>75.02%</t>
        </is>
      </c>
      <c r="N104" t="n">
        <v>4.4</v>
      </c>
      <c r="O104" t="n">
        <v>50</v>
      </c>
      <c r="Q104" t="inlineStr">
        <is>
          <t>InStock</t>
        </is>
      </c>
      <c r="R104" t="inlineStr">
        <is>
          <t>299.95</t>
        </is>
      </c>
      <c r="S104" t="inlineStr">
        <is>
          <t>39190-016</t>
        </is>
      </c>
    </row>
    <row r="105" ht="75" customHeight="1">
      <c r="A105" s="1">
        <f>HYPERLINK("https://www.cutleryandmore.com/henckels-international/forged-contour-knife-block-set-p139125", "https://www.cutleryandmore.com/henckels-international/forged-contour-knife-block-set-p139125")</f>
        <v/>
      </c>
      <c r="B105" s="1">
        <f>HYPERLINK("https://www.cutleryandmore.com/henckels-international/forged-contour-knife-block-set-p139125", "https://www.cutleryandmore.com/henckels-international/forged-contour-knife-block-set-p139125")</f>
        <v/>
      </c>
      <c r="C105" t="inlineStr">
        <is>
          <t>Henckels 15 Piece Forged Contour Knife Block Set</t>
        </is>
      </c>
      <c r="D105" t="inlineStr">
        <is>
          <t>Henckels Forged Accent 20 Piece Self Sharpening Knife Block Set with Black Handles</t>
        </is>
      </c>
      <c r="E105" s="1">
        <f>HYPERLINK("https://www.amazon.com/Henckels-Forged-Accent-Sharpening-Handles/dp/B091MD5X1K/ref=sr_1_8?keywords=Henckels+15+Piece+Forged+Contour+Knife+Block+Set&amp;qid=1695763959&amp;sr=8-8", "https://www.amazon.com/Henckels-Forged-Accent-Sharpening-Handles/dp/B091MD5X1K/ref=sr_1_8?keywords=Henckels+15+Piece+Forged+Contour+Knife+Block+Set&amp;qid=1695763959&amp;sr=8-8")</f>
        <v/>
      </c>
      <c r="F105" t="inlineStr">
        <is>
          <t>B091MD5X1K</t>
        </is>
      </c>
      <c r="G105">
        <f>_xlfn.IMAGE("https://cdn.cutleryandmore.com/assets/product/main/39125.jpg")</f>
        <v/>
      </c>
      <c r="H105">
        <f>_xlfn.IMAGE("https://m.media-amazon.com/images/I/81hYex2bfDL._AC_UL320_.jpg")</f>
        <v/>
      </c>
      <c r="K105" t="inlineStr">
        <is>
          <t>149.95</t>
        </is>
      </c>
      <c r="L105" t="n">
        <v>399.95</v>
      </c>
      <c r="M105" s="2" t="inlineStr">
        <is>
          <t>166.72%</t>
        </is>
      </c>
      <c r="N105" t="n">
        <v>4.6</v>
      </c>
      <c r="O105" t="n">
        <v>272</v>
      </c>
      <c r="Q105" t="inlineStr">
        <is>
          <t>InStock</t>
        </is>
      </c>
      <c r="R105" t="inlineStr">
        <is>
          <t>169.95</t>
        </is>
      </c>
      <c r="S105" t="inlineStr">
        <is>
          <t>13854-015</t>
        </is>
      </c>
    </row>
    <row r="106" ht="75" customHeight="1">
      <c r="A106" s="1">
        <f>HYPERLINK("https://www.cutleryandmore.com/henckels-international/forged-contour-knife-block-set-p139125", "https://www.cutleryandmore.com/henckels-international/forged-contour-knife-block-set-p139125")</f>
        <v/>
      </c>
      <c r="B106" s="1">
        <f>HYPERLINK("https://www.cutleryandmore.com/henckels-international/forged-contour-knife-block-set-p139125", "https://www.cutleryandmore.com/henckels-international/forged-contour-knife-block-set-p139125")</f>
        <v/>
      </c>
      <c r="C106" t="inlineStr">
        <is>
          <t>Henckels 15 Piece Forged Contour Knife Block Set</t>
        </is>
      </c>
      <c r="D106" t="inlineStr">
        <is>
          <t>Henckels Forged Modernist 20 Piece Self Sharpening Knife Set with Stainless Steel Handles &amp; Black Knife Block</t>
        </is>
      </c>
      <c r="E106" s="1">
        <f>HYPERLINK("https://www.amazon.com/Henckels-Modernist-Sharpening-Stainless-Handles/dp/B091MKV91D/ref=sr_1_7?keywords=Henckels+15+Piece+Forged+Contour+Knife+Block+Set&amp;qid=1695763959&amp;sr=8-7", "https://www.amazon.com/Henckels-Modernist-Sharpening-Stainless-Handles/dp/B091MKV91D/ref=sr_1_7?keywords=Henckels+15+Piece+Forged+Contour+Knife+Block+Set&amp;qid=1695763959&amp;sr=8-7")</f>
        <v/>
      </c>
      <c r="F106" t="inlineStr">
        <is>
          <t>B091MKV91D</t>
        </is>
      </c>
      <c r="G106">
        <f>_xlfn.IMAGE("https://cdn.cutleryandmore.com/assets/product/main/39125.jpg")</f>
        <v/>
      </c>
      <c r="H106">
        <f>_xlfn.IMAGE("https://m.media-amazon.com/images/I/81lblkiv00L._AC_UL320_.jpg")</f>
        <v/>
      </c>
      <c r="K106" t="inlineStr">
        <is>
          <t>149.95</t>
        </is>
      </c>
      <c r="L106" t="n">
        <v>299.95</v>
      </c>
      <c r="M106" s="2" t="inlineStr">
        <is>
          <t>100.03%</t>
        </is>
      </c>
      <c r="N106" t="n">
        <v>4.4</v>
      </c>
      <c r="O106" t="n">
        <v>128</v>
      </c>
      <c r="Q106" t="inlineStr">
        <is>
          <t>InStock</t>
        </is>
      </c>
      <c r="R106" t="inlineStr">
        <is>
          <t>169.95</t>
        </is>
      </c>
      <c r="S106" t="inlineStr">
        <is>
          <t>13854-015</t>
        </is>
      </c>
    </row>
    <row r="107" ht="75" customHeight="1">
      <c r="A107" s="1">
        <f>HYPERLINK("https://www.cutleryandmore.com/laguiole-en-aubrac/stainless-steel-knife-set-olive-wood-handles-p139450", "https://www.cutleryandmore.com/laguiole-en-aubrac/stainless-steel-knife-set-olive-wood-handles-p139450")</f>
        <v/>
      </c>
      <c r="B107" s="1">
        <f>HYPERLINK("https://www.cutleryandmore.com/laguiole-en-aubrac/stainless-steel-knife-set-olive-wood-handles-p139450", "https://www.cutleryandmore.com/laguiole-en-aubrac/stainless-steel-knife-set-olive-wood-handles-p139450")</f>
        <v/>
      </c>
      <c r="C107" t="inlineStr">
        <is>
          <t>Laguiole en Aubrac 3 Piece Stainless Steel Knife Set with Olive Wood Handles</t>
        </is>
      </c>
      <c r="D107" t="inlineStr">
        <is>
          <t>Laguiole en Aubrac Cuisine Gourmet Stainless Fully Forged Steel Made In France Complete 7 Piece Premium Kitchen Knife Magnetic Block Set With Mixed Wood Handles</t>
        </is>
      </c>
      <c r="E107" s="1">
        <f>HYPERLINK("https://www.amazon.com/Laguiole-Cuisine-Stainless-Complete-Magnetic/dp/B08LR3DYTL/ref=sr_1_5?keywords=Laguiole+en+Aubrac+3+Piece+Stainless+Steel+Knife+Set+with+Olive+Wood+Handles&amp;qid=1695763969&amp;sr=8-5", "https://www.amazon.com/Laguiole-Cuisine-Stainless-Complete-Magnetic/dp/B08LR3DYTL/ref=sr_1_5?keywords=Laguiole+en+Aubrac+3+Piece+Stainless+Steel+Knife+Set+with+Olive+Wood+Handles&amp;qid=1695763969&amp;sr=8-5")</f>
        <v/>
      </c>
      <c r="F107" t="inlineStr">
        <is>
          <t>B08LR3DYTL</t>
        </is>
      </c>
      <c r="G107">
        <f>_xlfn.IMAGE("https://cdn.cutleryandmore.com/assets/product/main/39450.jpg")</f>
        <v/>
      </c>
      <c r="H107">
        <f>_xlfn.IMAGE("https://m.media-amazon.com/images/I/9111rB-w2NL._AC_UL320_.jpg")</f>
        <v/>
      </c>
      <c r="K107" t="inlineStr">
        <is>
          <t>249.95</t>
        </is>
      </c>
      <c r="L107" t="n">
        <v>699.95</v>
      </c>
      <c r="M107" s="2" t="inlineStr">
        <is>
          <t>180.04%</t>
        </is>
      </c>
      <c r="N107" t="n">
        <v>5</v>
      </c>
      <c r="O107" t="n">
        <v>11</v>
      </c>
      <c r="Q107" t="inlineStr">
        <is>
          <t>InStock</t>
        </is>
      </c>
      <c r="R107" t="inlineStr">
        <is>
          <t>349.95</t>
        </is>
      </c>
      <c r="S107" t="inlineStr">
        <is>
          <t>COF3CUIOL</t>
        </is>
      </c>
    </row>
    <row r="108" ht="75" customHeight="1">
      <c r="A108" s="1">
        <f>HYPERLINK("https://www.cutleryandmore.com/le-creuset-heritage/covered-rectangular-dish-p125298", "https://www.cutleryandmore.com/le-creuset-heritage/covered-rectangular-dish-p125298")</f>
        <v/>
      </c>
      <c r="B108" s="1">
        <f>HYPERLINK("https://www.cutleryandmore.com/le-creuset-heritage/covered-rectangular-dish-p125298", "https://www.cutleryandmore.com/le-creuset-heritage/covered-rectangular-dish-p125298")</f>
        <v/>
      </c>
      <c r="C108" t="inlineStr">
        <is>
          <t>Le Creuset Stoneware 4-quart Heritage Covered Rectangular Dishes</t>
        </is>
      </c>
      <c r="D108" t="inlineStr">
        <is>
          <t>Le Creuset Stoneware Heritage Covered Rectangular Casserole, 4 qt. (12" x 9"), Cerise &amp; Stoneware Heritage Square Dish, 3 qt. (9"), Cerise</t>
        </is>
      </c>
      <c r="E108" s="1">
        <f>HYPERLINK("https://www.amazon.com/Creuset-Stoneware-Heritage-Rectangular-Casserole/dp/B0BNPVFM8L/ref=sr_1_4?keywords=Le+Creuset+Stoneware+4-quart+Heritage+Covered+Rectangular+Dishes&amp;qid=1695763972&amp;sr=8-4", "https://www.amazon.com/Creuset-Stoneware-Heritage-Rectangular-Casserole/dp/B0BNPVFM8L/ref=sr_1_4?keywords=Le+Creuset+Stoneware+4-quart+Heritage+Covered+Rectangular+Dishes&amp;qid=1695763972&amp;sr=8-4")</f>
        <v/>
      </c>
      <c r="F108" t="inlineStr">
        <is>
          <t>B0BNPVFM8L</t>
        </is>
      </c>
      <c r="G108">
        <f>_xlfn.IMAGE("https://cdn.cutleryandmore.com/assets/product/main/25298.jpg")</f>
        <v/>
      </c>
      <c r="H108">
        <f>_xlfn.IMAGE("https://m.media-amazon.com/images/I/419GR1WUn1L._AC_UL320_.jpg")</f>
        <v/>
      </c>
      <c r="K108" t="inlineStr">
        <is>
          <t>94.95</t>
        </is>
      </c>
      <c r="L108" t="n">
        <v>179.9</v>
      </c>
      <c r="M108" s="2" t="inlineStr">
        <is>
          <t>89.47%</t>
        </is>
      </c>
      <c r="N108" t="n">
        <v>4.5</v>
      </c>
      <c r="O108" t="n">
        <v>40</v>
      </c>
      <c r="Q108" t="inlineStr">
        <is>
          <t>InStock</t>
        </is>
      </c>
      <c r="R108" t="inlineStr">
        <is>
          <t>134.95</t>
        </is>
      </c>
      <c r="S108" t="inlineStr">
        <is>
          <t>71002480200002</t>
        </is>
      </c>
    </row>
    <row r="109" ht="75" customHeight="1">
      <c r="A109" s="1">
        <f>HYPERLINK("https://www.cutleryandmore.com/le-creuset-signature-cast-iron/5-piece-cookware-set-p140545", "https://www.cutleryandmore.com/le-creuset-signature-cast-iron/5-piece-cookware-set-p140545")</f>
        <v/>
      </c>
      <c r="B109" s="1">
        <f>HYPERLINK("https://www.cutleryandmore.com/le-creuset-signature-cast-iron/5-piece-cookware-set-p140545", "https://www.cutleryandmore.com/le-creuset-signature-cast-iron/5-piece-cookware-set-p140545")</f>
        <v/>
      </c>
      <c r="C109" t="inlineStr">
        <is>
          <t>Le Creuset Signature Cast Iron Deep Teal 5-piece Cookware Set</t>
        </is>
      </c>
      <c r="D109" t="inlineStr">
        <is>
          <t>Le Creuset 20 Piece Signature Cast Iron Cookware Set (Oyster)</t>
        </is>
      </c>
      <c r="E109" s="1">
        <f>HYPERLINK("https://www.amazon.com/Creuset-20-piece-Signature-Cookware-Oyster/dp/B07X38XWQF/ref=sr_1_4?keywords=Le+Creuset+Signature+Cast+Iron+Deep+Teal+5-piece+Cookware+Set&amp;qid=1695763971&amp;sr=8-4", "https://www.amazon.com/Creuset-20-piece-Signature-Cookware-Oyster/dp/B07X38XWQF/ref=sr_1_4?keywords=Le+Creuset+Signature+Cast+Iron+Deep+Teal+5-piece+Cookware+Set&amp;qid=1695763971&amp;sr=8-4")</f>
        <v/>
      </c>
      <c r="F109" t="inlineStr">
        <is>
          <t>B07X38XWQF</t>
        </is>
      </c>
      <c r="G109">
        <f>_xlfn.IMAGE("https://cdn.cutleryandmore.com/assets/product/main/40545.jpg")</f>
        <v/>
      </c>
      <c r="H109">
        <f>_xlfn.IMAGE("https://m.media-amazon.com/images/I/81pSGroeA0L._AC_UL320_.jpg")</f>
        <v/>
      </c>
      <c r="K109" t="inlineStr">
        <is>
          <t>627.95</t>
        </is>
      </c>
      <c r="L109" t="n">
        <v>1799.95</v>
      </c>
      <c r="M109" s="2" t="inlineStr">
        <is>
          <t>186.64%</t>
        </is>
      </c>
      <c r="N109" t="n">
        <v>5</v>
      </c>
      <c r="O109" t="n">
        <v>4</v>
      </c>
      <c r="Q109" t="inlineStr">
        <is>
          <t>InStock</t>
        </is>
      </c>
      <c r="R109" t="inlineStr">
        <is>
          <t>784.95</t>
        </is>
      </c>
      <c r="S109" t="inlineStr">
        <is>
          <t>MS2005-7DSS</t>
        </is>
      </c>
    </row>
    <row r="110" ht="75" customHeight="1">
      <c r="A110" s="1">
        <f>HYPERLINK("https://www.cutleryandmore.com/le-creuset-signature-cast-iron/iron-handle-skillet-p139273", "https://www.cutleryandmore.com/le-creuset-signature-cast-iron/iron-handle-skillet-p139273")</f>
        <v/>
      </c>
      <c r="B110" s="1">
        <f>HYPERLINK("https://www.cutleryandmore.com/le-creuset-signature-cast-iron/iron-handle-skillet-p139273", "https://www.cutleryandmore.com/le-creuset-signature-cast-iron/iron-handle-skillet-p139273")</f>
        <v/>
      </c>
      <c r="C110" t="inlineStr">
        <is>
          <t>Le Creuset Signature Cast Iron 9-inch Iron Handle Skillets</t>
        </is>
      </c>
      <c r="D110" t="inlineStr">
        <is>
          <t>Le Creuset Enameled Cast Iron Signature Iron Handle Skillet, 11.75" (2-3/8 qt.), Cerise &amp; Nylon Brush, 3 1/4", Cerise</t>
        </is>
      </c>
      <c r="E110" s="1">
        <f>HYPERLINK("https://www.amazon.com/Creuset-Enameled-Signature-Handle-Skillet/dp/B08PWR79D5/ref=sr_1_10?keywords=Le+Creuset+Signature+Cast+Iron+9-inch+Iron+Handle+Skillets&amp;qid=1695763980&amp;sr=8-10", "https://www.amazon.com/Creuset-Enameled-Signature-Handle-Skillet/dp/B08PWR79D5/ref=sr_1_10?keywords=Le+Creuset+Signature+Cast+Iron+9-inch+Iron+Handle+Skillets&amp;qid=1695763980&amp;sr=8-10")</f>
        <v/>
      </c>
      <c r="F110" t="inlineStr">
        <is>
          <t>B08PWR79D5</t>
        </is>
      </c>
      <c r="G110">
        <f>_xlfn.IMAGE("https://cdn.cutleryandmore.com/assets/product/main/39273.jpg")</f>
        <v/>
      </c>
      <c r="H110">
        <f>_xlfn.IMAGE("https://m.media-amazon.com/images/I/31Xo4oDSmcL._AC_UL320_.jpg")</f>
        <v/>
      </c>
      <c r="K110" t="inlineStr">
        <is>
          <t>139.95</t>
        </is>
      </c>
      <c r="L110" t="n">
        <v>271.9</v>
      </c>
      <c r="M110" s="2" t="inlineStr">
        <is>
          <t>94.28%</t>
        </is>
      </c>
      <c r="N110" t="n">
        <v>4</v>
      </c>
      <c r="O110" t="n">
        <v>1</v>
      </c>
      <c r="Q110" t="inlineStr">
        <is>
          <t>InStock</t>
        </is>
      </c>
      <c r="R110" t="inlineStr">
        <is>
          <t>174.95</t>
        </is>
      </c>
      <c r="S110" t="inlineStr">
        <is>
          <t>20182023642001</t>
        </is>
      </c>
    </row>
    <row r="111" ht="75" customHeight="1">
      <c r="A111" s="1">
        <f>HYPERLINK("https://www.cutleryandmore.com/le-creuset-signature-cast-iron/iron-handle-skillet-p139273", "https://www.cutleryandmore.com/le-creuset-signature-cast-iron/iron-handle-skillet-p139273")</f>
        <v/>
      </c>
      <c r="B111" s="1">
        <f>HYPERLINK("https://www.cutleryandmore.com/le-creuset-signature-cast-iron/iron-handle-skillet-p139273", "https://www.cutleryandmore.com/le-creuset-signature-cast-iron/iron-handle-skillet-p139273")</f>
        <v/>
      </c>
      <c r="C111" t="inlineStr">
        <is>
          <t>Le Creuset Signature Cast Iron 9-inch Iron Handle Skillets</t>
        </is>
      </c>
      <c r="D111" t="inlineStr">
        <is>
          <t>Le Creuset Enameled Cast Iron Signature Iron Handle Skillet, 11.75" (2-3/8 qt.), Cerise &amp; Silicone Handle Sleeve, 5 3/4" x 2", Cerise</t>
        </is>
      </c>
      <c r="E111" s="1">
        <f>HYPERLINK("https://www.amazon.com/Creuset-Enameled-Signature-Skillet-Silicone/dp/B08PWR746N/ref=sr_1_6?keywords=Le+Creuset+Signature+Cast+Iron+9-inch+Iron+Handle+Skillets&amp;qid=1695763980&amp;sr=8-6", "https://www.amazon.com/Creuset-Enameled-Signature-Skillet-Silicone/dp/B08PWR746N/ref=sr_1_6?keywords=Le+Creuset+Signature+Cast+Iron+9-inch+Iron+Handle+Skillets&amp;qid=1695763980&amp;sr=8-6")</f>
        <v/>
      </c>
      <c r="F111" t="inlineStr">
        <is>
          <t>B08PWR746N</t>
        </is>
      </c>
      <c r="G111">
        <f>_xlfn.IMAGE("https://cdn.cutleryandmore.com/assets/product/main/39273.jpg")</f>
        <v/>
      </c>
      <c r="H111">
        <f>_xlfn.IMAGE("https://m.media-amazon.com/images/I/31whMPqRKmL._AC_UL320_.jpg")</f>
        <v/>
      </c>
      <c r="K111" t="inlineStr">
        <is>
          <t>139.95</t>
        </is>
      </c>
      <c r="L111" t="n">
        <v>269.9</v>
      </c>
      <c r="M111" s="2" t="inlineStr">
        <is>
          <t>92.85%</t>
        </is>
      </c>
      <c r="N111" t="n">
        <v>4.8</v>
      </c>
      <c r="O111" t="n">
        <v>7</v>
      </c>
      <c r="Q111" t="inlineStr">
        <is>
          <t>InStock</t>
        </is>
      </c>
      <c r="R111" t="inlineStr">
        <is>
          <t>174.95</t>
        </is>
      </c>
      <c r="S111" t="inlineStr">
        <is>
          <t>20182023642001</t>
        </is>
      </c>
    </row>
    <row r="112" ht="75" customHeight="1">
      <c r="A112" s="1">
        <f>HYPERLINK("https://www.cutleryandmore.com/le-creuset-signature-cast-iron/iron-handle-skillet-p139273", "https://www.cutleryandmore.com/le-creuset-signature-cast-iron/iron-handle-skillet-p139273")</f>
        <v/>
      </c>
      <c r="B112" s="1">
        <f>HYPERLINK("https://www.cutleryandmore.com/le-creuset-signature-cast-iron/iron-handle-skillet-p139273", "https://www.cutleryandmore.com/le-creuset-signature-cast-iron/iron-handle-skillet-p139273")</f>
        <v/>
      </c>
      <c r="C112" t="inlineStr">
        <is>
          <t>Le Creuset Signature Cast Iron 9-inch Iron Handle Skillets</t>
        </is>
      </c>
      <c r="D112" t="inlineStr">
        <is>
          <t>Le Creuset Enameled Cast Iron Signature Iron Handle Skillet, 10.25" (1-3/4 qt.), Flame &amp; Signature Glass Lid with Stainless Steel Knob, 10"</t>
        </is>
      </c>
      <c r="E112" s="1">
        <f>HYPERLINK("https://www.amazon.com/Creuset-Enameled-Signature-Skillet-Stainless/dp/B08SRS98WP/ref=sr_1_4?keywords=Le+Creuset+Signature+Cast+Iron+9-inch+Iron+Handle+Skillets&amp;qid=1695763980&amp;sr=8-4", "https://www.amazon.com/Creuset-Enameled-Signature-Skillet-Stainless/dp/B08SRS98WP/ref=sr_1_4?keywords=Le+Creuset+Signature+Cast+Iron+9-inch+Iron+Handle+Skillets&amp;qid=1695763980&amp;sr=8-4")</f>
        <v/>
      </c>
      <c r="F112" t="inlineStr">
        <is>
          <t>B08SRS98WP</t>
        </is>
      </c>
      <c r="G112">
        <f>_xlfn.IMAGE("https://cdn.cutleryandmore.com/assets/product/main/39273.jpg")</f>
        <v/>
      </c>
      <c r="H112">
        <f>_xlfn.IMAGE("https://m.media-amazon.com/images/I/51fr7sVj2sL._AC_UL320_.jpg")</f>
        <v/>
      </c>
      <c r="K112" t="inlineStr">
        <is>
          <t>139.95</t>
        </is>
      </c>
      <c r="L112" t="n">
        <v>257.9</v>
      </c>
      <c r="M112" s="2" t="inlineStr">
        <is>
          <t>84.28%</t>
        </is>
      </c>
      <c r="N112" t="n">
        <v>5</v>
      </c>
      <c r="O112" t="n">
        <v>3</v>
      </c>
      <c r="Q112" t="inlineStr">
        <is>
          <t>InStock</t>
        </is>
      </c>
      <c r="R112" t="inlineStr">
        <is>
          <t>174.95</t>
        </is>
      </c>
      <c r="S112" t="inlineStr">
        <is>
          <t>20182023642001</t>
        </is>
      </c>
    </row>
    <row r="113" ht="75" customHeight="1">
      <c r="A113" s="1">
        <f>HYPERLINK("https://www.cutleryandmore.com/le-creuset-signature-cast-iron/iron-handle-skillet-p139273", "https://www.cutleryandmore.com/le-creuset-signature-cast-iron/iron-handle-skillet-p139273")</f>
        <v/>
      </c>
      <c r="B113" s="1">
        <f>HYPERLINK("https://www.cutleryandmore.com/le-creuset-signature-cast-iron/iron-handle-skillet-p139273", "https://www.cutleryandmore.com/le-creuset-signature-cast-iron/iron-handle-skillet-p139273")</f>
        <v/>
      </c>
      <c r="C113" t="inlineStr">
        <is>
          <t>Le Creuset Signature Cast Iron 9-inch Iron Handle Skillets</t>
        </is>
      </c>
      <c r="D113" t="inlineStr">
        <is>
          <t>Le Creuset Enameled Cast Iron Signature Iron Handle Skillet, 10.25" (1-3/4 qt.), Cerise &amp; Signature Glass Lid with Stainless Steel Knob, 10"</t>
        </is>
      </c>
      <c r="E113" s="1">
        <f>HYPERLINK("https://www.amazon.com/Creuset-LS2024-2667-Signature-Handle-Skillet/dp/B08G4ZJZRT/ref=sr_1_5?keywords=Le+Creuset+Signature+Cast+Iron+9-inch+Iron+Handle+Skillets&amp;qid=1695763980&amp;sr=8-5", "https://www.amazon.com/Creuset-LS2024-2667-Signature-Handle-Skillet/dp/B08G4ZJZRT/ref=sr_1_5?keywords=Le+Creuset+Signature+Cast+Iron+9-inch+Iron+Handle+Skillets&amp;qid=1695763980&amp;sr=8-5")</f>
        <v/>
      </c>
      <c r="F113" t="inlineStr">
        <is>
          <t>B08G4ZJZRT</t>
        </is>
      </c>
      <c r="G113">
        <f>_xlfn.IMAGE("https://cdn.cutleryandmore.com/assets/product/main/39273.jpg")</f>
        <v/>
      </c>
      <c r="H113">
        <f>_xlfn.IMAGE("https://m.media-amazon.com/images/I/41KtOvhLgVL._AC_UL320_.jpg")</f>
        <v/>
      </c>
      <c r="K113" t="inlineStr">
        <is>
          <t>139.95</t>
        </is>
      </c>
      <c r="L113" t="n">
        <v>257.9</v>
      </c>
      <c r="M113" s="2" t="inlineStr">
        <is>
          <t>84.28%</t>
        </is>
      </c>
      <c r="N113" t="n">
        <v>4.7</v>
      </c>
      <c r="O113" t="n">
        <v>5</v>
      </c>
      <c r="Q113" t="inlineStr">
        <is>
          <t>InStock</t>
        </is>
      </c>
      <c r="R113" t="inlineStr">
        <is>
          <t>174.95</t>
        </is>
      </c>
      <c r="S113" t="inlineStr">
        <is>
          <t>20182023642001</t>
        </is>
      </c>
    </row>
    <row r="114" ht="75" customHeight="1">
      <c r="A114" s="1">
        <f>HYPERLINK("https://www.cutleryandmore.com/le-creuset-signature-cast-iron/iron-handle-skillet-p139273", "https://www.cutleryandmore.com/le-creuset-signature-cast-iron/iron-handle-skillet-p139273")</f>
        <v/>
      </c>
      <c r="B114" s="1">
        <f>HYPERLINK("https://www.cutleryandmore.com/le-creuset-signature-cast-iron/iron-handle-skillet-p139273", "https://www.cutleryandmore.com/le-creuset-signature-cast-iron/iron-handle-skillet-p139273")</f>
        <v/>
      </c>
      <c r="C114" t="inlineStr">
        <is>
          <t>Le Creuset Signature Cast Iron 9-inch Iron Handle Skillets</t>
        </is>
      </c>
      <c r="D114" t="inlineStr">
        <is>
          <t>Le Creuset Enameled Cast Iron Signature Iron Handle Skillet, 10.25" (1-3/4 qt.), Marseille &amp; Signature Glass Lid with Stainless Steel Knob, 10"</t>
        </is>
      </c>
      <c r="E114" s="1">
        <f>HYPERLINK("https://www.amazon.com/Creuset-Enameled-Signature-Marseille-Stainless/dp/B08SRNH8RC/ref=sr_1_7?keywords=Le+Creuset+Signature+Cast+Iron+9-inch+Iron+Handle+Skillets&amp;qid=1695763980&amp;sr=8-7", "https://www.amazon.com/Creuset-Enameled-Signature-Marseille-Stainless/dp/B08SRNH8RC/ref=sr_1_7?keywords=Le+Creuset+Signature+Cast+Iron+9-inch+Iron+Handle+Skillets&amp;qid=1695763980&amp;sr=8-7")</f>
        <v/>
      </c>
      <c r="F114" t="inlineStr">
        <is>
          <t>B08SRNH8RC</t>
        </is>
      </c>
      <c r="G114">
        <f>_xlfn.IMAGE("https://cdn.cutleryandmore.com/assets/product/main/39273.jpg")</f>
        <v/>
      </c>
      <c r="H114">
        <f>_xlfn.IMAGE("https://m.media-amazon.com/images/I/51Yp3LMy6YL._AC_UL320_.jpg")</f>
        <v/>
      </c>
      <c r="K114" t="inlineStr">
        <is>
          <t>139.95</t>
        </is>
      </c>
      <c r="L114" t="n">
        <v>257.9</v>
      </c>
      <c r="M114" s="2" t="inlineStr">
        <is>
          <t>84.28%</t>
        </is>
      </c>
      <c r="N114" t="n">
        <v>4.8</v>
      </c>
      <c r="O114" t="n">
        <v>4</v>
      </c>
      <c r="Q114" t="inlineStr">
        <is>
          <t>InStock</t>
        </is>
      </c>
      <c r="R114" t="inlineStr">
        <is>
          <t>174.95</t>
        </is>
      </c>
      <c r="S114" t="inlineStr">
        <is>
          <t>20182023642001</t>
        </is>
      </c>
    </row>
    <row r="115" ht="75" customHeight="1">
      <c r="A115" s="1">
        <f>HYPERLINK("https://www.cutleryandmore.com/le-creuset-signature-cast-iron/iron-handle-skillet-p139273", "https://www.cutleryandmore.com/le-creuset-signature-cast-iron/iron-handle-skillet-p139273")</f>
        <v/>
      </c>
      <c r="B115" s="1">
        <f>HYPERLINK("https://www.cutleryandmore.com/le-creuset-signature-cast-iron/iron-handle-skillet-p139273", "https://www.cutleryandmore.com/le-creuset-signature-cast-iron/iron-handle-skillet-p139273")</f>
        <v/>
      </c>
      <c r="C115" t="inlineStr">
        <is>
          <t>Le Creuset Signature Cast Iron 9-inch Iron Handle Skillets</t>
        </is>
      </c>
      <c r="D115" t="inlineStr">
        <is>
          <t>Le Creuset Enameled Cast Iron Signature Iron Handle Skillet, 10.25" (1-3/4 qt.), Cerise &amp; Nylon Brush, 3 1/4", Cerise</t>
        </is>
      </c>
      <c r="E115" s="1">
        <f>HYPERLINK("https://www.amazon.com/Creuset-Enameled-Signature-Handle-Skillet/dp/B08PWR7QLT/ref=sr_1_9?keywords=Le+Creuset+Signature+Cast+Iron+9-inch+Iron+Handle+Skillets&amp;qid=1695763980&amp;sr=8-9", "https://www.amazon.com/Creuset-Enameled-Signature-Handle-Skillet/dp/B08PWR7QLT/ref=sr_1_9?keywords=Le+Creuset+Signature+Cast+Iron+9-inch+Iron+Handle+Skillets&amp;qid=1695763980&amp;sr=8-9")</f>
        <v/>
      </c>
      <c r="F115" t="inlineStr">
        <is>
          <t>B08PWR7QLT</t>
        </is>
      </c>
      <c r="G115">
        <f>_xlfn.IMAGE("https://cdn.cutleryandmore.com/assets/product/main/39273.jpg")</f>
        <v/>
      </c>
      <c r="H115">
        <f>_xlfn.IMAGE("https://m.media-amazon.com/images/I/315hKyRD1sL._AC_UL320_.jpg")</f>
        <v/>
      </c>
      <c r="K115" t="inlineStr">
        <is>
          <t>139.95</t>
        </is>
      </c>
      <c r="L115" t="n">
        <v>241.9</v>
      </c>
      <c r="M115" s="2" t="inlineStr">
        <is>
          <t>72.85%</t>
        </is>
      </c>
      <c r="N115" t="n">
        <v>4.4</v>
      </c>
      <c r="O115" t="n">
        <v>2</v>
      </c>
      <c r="Q115" t="inlineStr">
        <is>
          <t>InStock</t>
        </is>
      </c>
      <c r="R115" t="inlineStr">
        <is>
          <t>174.95</t>
        </is>
      </c>
      <c r="S115" t="inlineStr">
        <is>
          <t>20182023642001</t>
        </is>
      </c>
    </row>
    <row r="116" ht="75" customHeight="1">
      <c r="A116" s="1">
        <f>HYPERLINK("https://www.cutleryandmore.com/le-creuset-signature-cast-iron/oval-dutch-oven-p139269", "https://www.cutleryandmore.com/le-creuset-signature-cast-iron/oval-dutch-oven-p139269")</f>
        <v/>
      </c>
      <c r="B116" s="1">
        <f>HYPERLINK("https://www.cutleryandmore.com/le-creuset-signature-cast-iron/oval-dutch-oven-p139269", "https://www.cutleryandmore.com/le-creuset-signature-cast-iron/oval-dutch-oven-p139269")</f>
        <v/>
      </c>
      <c r="C116" t="inlineStr">
        <is>
          <t>Le Creuset Signature Cast Iron 6.75-quart Oval Dutch Ovens</t>
        </is>
      </c>
      <c r="D116" t="inlineStr">
        <is>
          <t>Le Creuset Enameled Cast Iron Signature Oval Dutch Oven, 15.5 qt., Cerise</t>
        </is>
      </c>
      <c r="E116" s="1">
        <f>HYPERLINK("https://www.amazon.com/Creuset-Signature-Enameled-Cast-Iron-2-Quart/dp/B00B4UOZQU/ref=sr_1_8?keywords=Le+Creuset+Signature+Cast+Iron+6.75-quart+Oval+Dutch+Ovens&amp;qid=1695763960&amp;sr=8-8", "https://www.amazon.com/Creuset-Signature-Enameled-Cast-Iron-2-Quart/dp/B00B4UOZQU/ref=sr_1_8?keywords=Le+Creuset+Signature+Cast+Iron+6.75-quart+Oval+Dutch+Ovens&amp;qid=1695763960&amp;sr=8-8")</f>
        <v/>
      </c>
      <c r="F116" t="inlineStr">
        <is>
          <t>B00B4UOZQU</t>
        </is>
      </c>
      <c r="G116">
        <f>_xlfn.IMAGE("https://cdn.cutleryandmore.com/assets/product/main/39269.jpg")</f>
        <v/>
      </c>
      <c r="H116">
        <f>_xlfn.IMAGE("https://m.media-amazon.com/images/I/61+mYz+7uQL._AC_UL320_.jpg")</f>
        <v/>
      </c>
      <c r="K116" t="inlineStr">
        <is>
          <t>355.95</t>
        </is>
      </c>
      <c r="L116" t="n">
        <v>749.95</v>
      </c>
      <c r="M116" s="2" t="inlineStr">
        <is>
          <t>110.69%</t>
        </is>
      </c>
      <c r="N116" t="n">
        <v>4.3</v>
      </c>
      <c r="O116" t="n">
        <v>57</v>
      </c>
      <c r="Q116" t="inlineStr">
        <is>
          <t>InStock</t>
        </is>
      </c>
      <c r="R116" t="inlineStr">
        <is>
          <t>444.95</t>
        </is>
      </c>
      <c r="S116" t="inlineStr">
        <is>
          <t>21178031642041</t>
        </is>
      </c>
    </row>
    <row r="117" ht="75" customHeight="1">
      <c r="A117" s="1">
        <f>HYPERLINK("https://www.cutleryandmore.com/le-creuset-signature-cast-iron/round-dutch-oven-p137618", "https://www.cutleryandmore.com/le-creuset-signature-cast-iron/round-dutch-oven-p137618")</f>
        <v/>
      </c>
      <c r="B117" s="1">
        <f>HYPERLINK("https://www.cutleryandmore.com/le-creuset-signature-cast-iron/round-dutch-oven-p137618", "https://www.cutleryandmore.com/le-creuset-signature-cast-iron/round-dutch-oven-p137618")</f>
        <v/>
      </c>
      <c r="C117" t="inlineStr">
        <is>
          <t>Le Creuset Signature Cast Iron 5.5-quart Round Dutch Ovens</t>
        </is>
      </c>
      <c r="D117" t="inlineStr">
        <is>
          <t>Le Creuset Enameled Cast Iron Signature Round Dutch Oven, 5.5 qt, White &amp; Creuset Enameled Cast Iron Signature Iron Handle Skillet, 10.25" (1-3/4 qt.), White</t>
        </is>
      </c>
      <c r="E117" s="1">
        <f>HYPERLINK("https://www.amazon.com/Creuset-Enameled-Signature-Handle-Skillet/dp/B08YFKYH3P/ref=sr_1_10?keywords=Le+Creuset+Signature+Cast+Iron+5.5-quart+Round+Dutch+Ovens&amp;qid=1695763940&amp;sr=8-10", "https://www.amazon.com/Creuset-Enameled-Signature-Handle-Skillet/dp/B08YFKYH3P/ref=sr_1_10?keywords=Le+Creuset+Signature+Cast+Iron+5.5-quart+Round+Dutch+Ovens&amp;qid=1695763940&amp;sr=8-10")</f>
        <v/>
      </c>
      <c r="F117" t="inlineStr">
        <is>
          <t>B08YFKYH3P</t>
        </is>
      </c>
      <c r="G117">
        <f>_xlfn.IMAGE("https://cdn.cutleryandmore.com/assets/product/main/37618.jpg")</f>
        <v/>
      </c>
      <c r="H117">
        <f>_xlfn.IMAGE("https://m.media-amazon.com/images/I/4180fYrRyML._AC_UF264,320_.jpg")</f>
        <v/>
      </c>
      <c r="K117" t="inlineStr">
        <is>
          <t>335.95</t>
        </is>
      </c>
      <c r="L117" t="n">
        <v>609.9</v>
      </c>
      <c r="M117" s="2" t="inlineStr">
        <is>
          <t>81.54%</t>
        </is>
      </c>
      <c r="N117" t="n">
        <v>5</v>
      </c>
      <c r="O117" t="n">
        <v>1</v>
      </c>
      <c r="Q117" t="inlineStr">
        <is>
          <t>InStock</t>
        </is>
      </c>
      <c r="R117" t="inlineStr">
        <is>
          <t>419.95</t>
        </is>
      </c>
      <c r="S117" t="inlineStr">
        <is>
          <t>LS2501-2678SS</t>
        </is>
      </c>
    </row>
    <row r="118" ht="75" customHeight="1">
      <c r="A118" s="1">
        <f>HYPERLINK("https://www.cutleryandmore.com/le-creuset-signature-cast-iron/round-dutch-oven-p139267", "https://www.cutleryandmore.com/le-creuset-signature-cast-iron/round-dutch-oven-p139267")</f>
        <v/>
      </c>
      <c r="B118" s="1">
        <f>HYPERLINK("https://www.cutleryandmore.com/le-creuset-signature-cast-iron/round-dutch-oven-p139267", "https://www.cutleryandmore.com/le-creuset-signature-cast-iron/round-dutch-oven-p139267")</f>
        <v/>
      </c>
      <c r="C118" t="inlineStr">
        <is>
          <t>Le Creuset Signature Cast Iron 7.25-quart Round Dutch Ovens</t>
        </is>
      </c>
      <c r="D118" t="inlineStr">
        <is>
          <t>Le Creuset Enameled Cast Iron Signature Round Dutch Oven, 7.25 qt, White &amp; Enameled Cast Iron Signature Iron Handle Skillet, 10.25" (1-3/4 qt.), White</t>
        </is>
      </c>
      <c r="E118" s="1">
        <f>HYPERLINK("https://www.amazon.com/Creuset-Enameled-Signature-Handle-Skillet/dp/B09377Y1SJ/ref=sr_1_5?keywords=Le+Creuset+Signature+Cast+Iron+7.25-quart+Round+Dutch+Ovens&amp;qid=1695763967&amp;sr=8-5", "https://www.amazon.com/Creuset-Enameled-Signature-Handle-Skillet/dp/B09377Y1SJ/ref=sr_1_5?keywords=Le+Creuset+Signature+Cast+Iron+7.25-quart+Round+Dutch+Ovens&amp;qid=1695763967&amp;sr=8-5")</f>
        <v/>
      </c>
      <c r="F118" t="inlineStr">
        <is>
          <t>B09377Y1SJ</t>
        </is>
      </c>
      <c r="G118">
        <f>_xlfn.IMAGE("https://cdn.cutleryandmore.com/assets/product/main/39267.jpg")</f>
        <v/>
      </c>
      <c r="H118">
        <f>_xlfn.IMAGE("https://m.media-amazon.com/images/I/21rAXxl2OEL._AC_UL320_.jpg")</f>
        <v/>
      </c>
      <c r="K118" t="inlineStr">
        <is>
          <t>367.95</t>
        </is>
      </c>
      <c r="L118" t="n">
        <v>609.95</v>
      </c>
      <c r="M118" s="2" t="inlineStr">
        <is>
          <t>65.77%</t>
        </is>
      </c>
      <c r="N118" t="n">
        <v>5</v>
      </c>
      <c r="O118" t="n">
        <v>10</v>
      </c>
      <c r="Q118" t="inlineStr">
        <is>
          <t>InStock</t>
        </is>
      </c>
      <c r="R118" t="inlineStr">
        <is>
          <t>459.95</t>
        </is>
      </c>
      <c r="S118" t="inlineStr">
        <is>
          <t>21177028642041</t>
        </is>
      </c>
    </row>
    <row r="119" ht="75" customHeight="1">
      <c r="A119" s="1">
        <f>HYPERLINK("https://www.cutleryandmore.com/le-creuset-signature-cast-iron/saucepan-p139272", "https://www.cutleryandmore.com/le-creuset-signature-cast-iron/saucepan-p139272")</f>
        <v/>
      </c>
      <c r="B119" s="1">
        <f>HYPERLINK("https://www.cutleryandmore.com/le-creuset-signature-cast-iron/saucepan-p139272", "https://www.cutleryandmore.com/le-creuset-signature-cast-iron/saucepan-p139272")</f>
        <v/>
      </c>
      <c r="C119" t="inlineStr">
        <is>
          <t>Le Creuset Signature Cast Iron 1.75-quart Saucepans</t>
        </is>
      </c>
      <c r="D119" t="inlineStr">
        <is>
          <t>Le Creuset Enameled Cast Iron Signature Oval Dutch Oven with Lid, 6.75 Quart, Shallot</t>
        </is>
      </c>
      <c r="E119" s="1" t="n"/>
      <c r="F119" t="inlineStr">
        <is>
          <t>B0BXM1F5XY</t>
        </is>
      </c>
      <c r="G119">
        <f>_xlfn.IMAGE("https://cdn.cutleryandmore.com/assets/product/main/39272.jpg")</f>
        <v/>
      </c>
      <c r="H119">
        <f>_xlfn.IMAGE("https://m.media-amazon.com/images/I/61GhqrwWteL._AC_UL320_.jpg")</f>
        <v/>
      </c>
      <c r="K119" t="inlineStr">
        <is>
          <t>179.95</t>
        </is>
      </c>
      <c r="L119" t="n">
        <v>444.95</v>
      </c>
      <c r="M119" s="2" t="inlineStr">
        <is>
          <t>147.26%</t>
        </is>
      </c>
      <c r="N119" t="n">
        <v>4.7</v>
      </c>
      <c r="O119" t="n">
        <v>1167</v>
      </c>
      <c r="Q119" t="inlineStr">
        <is>
          <t>InStock</t>
        </is>
      </c>
      <c r="R119" t="inlineStr">
        <is>
          <t>224.95</t>
        </is>
      </c>
      <c r="S119" t="inlineStr">
        <is>
          <t>21181016642041</t>
        </is>
      </c>
    </row>
    <row r="120" ht="75" customHeight="1">
      <c r="A120" s="1">
        <f>HYPERLINK("https://www.cutleryandmore.com/le-creuset-stainless-steel/3-piece-cookware-set-p140091", "https://www.cutleryandmore.com/le-creuset-stainless-steel/3-piece-cookware-set-p140091")</f>
        <v/>
      </c>
      <c r="B120" s="1">
        <f>HYPERLINK("https://www.cutleryandmore.com/le-creuset-stainless-steel/3-piece-cookware-set-p140091", "https://www.cutleryandmore.com/le-creuset-stainless-steel/3-piece-cookware-set-p140091")</f>
        <v/>
      </c>
      <c r="C120" t="inlineStr">
        <is>
          <t>Le Creuset Stainless Steel 3 Piece Cookware Set</t>
        </is>
      </c>
      <c r="D120" t="inlineStr">
        <is>
          <t>All-Clad D5 5-Ply Brushed Stainless Steel Cookware Set 14 Piece Induction Oven Broil Safe 600F Pots and Pans</t>
        </is>
      </c>
      <c r="E120" s="1">
        <f>HYPERLINK("https://www.amazon.com/All-Clad-BD005714-Stainless-Dishwasher-Cookware/dp/B006ZNCM3E/ref=sr_1_8?keywords=Le+Creuset+Stainless+Steel+3+Piece+Cookware+Set&amp;qid=1695763978&amp;sr=8-8", "https://www.amazon.com/All-Clad-BD005714-Stainless-Dishwasher-Cookware/dp/B006ZNCM3E/ref=sr_1_8?keywords=Le+Creuset+Stainless+Steel+3+Piece+Cookware+Set&amp;qid=1695763978&amp;sr=8-8")</f>
        <v/>
      </c>
      <c r="F120" t="inlineStr">
        <is>
          <t>B006ZNCM3E</t>
        </is>
      </c>
      <c r="G120">
        <f>_xlfn.IMAGE("https://cdn.cutleryandmore.com/assets/product/main/40091.jpg")</f>
        <v/>
      </c>
      <c r="H120">
        <f>_xlfn.IMAGE("https://m.media-amazon.com/images/I/71hIKuaN-pL._AC_UF264,320_.jpg")</f>
        <v/>
      </c>
      <c r="K120" t="inlineStr">
        <is>
          <t>159.99</t>
        </is>
      </c>
      <c r="L120" t="n">
        <v>1499.95</v>
      </c>
      <c r="M120" s="2" t="inlineStr">
        <is>
          <t>837.53%</t>
        </is>
      </c>
      <c r="N120" t="n">
        <v>4.6</v>
      </c>
      <c r="O120" t="n">
        <v>1227</v>
      </c>
      <c r="Q120" t="inlineStr">
        <is>
          <t>InStock</t>
        </is>
      </c>
      <c r="R120" t="inlineStr">
        <is>
          <t>undefined</t>
        </is>
      </c>
      <c r="S120" t="inlineStr">
        <is>
          <t>SSP13033</t>
        </is>
      </c>
    </row>
    <row r="121" ht="75" customHeight="1">
      <c r="A121" s="1">
        <f>HYPERLINK("https://www.cutleryandmore.com/le-creuset-stainless-steel/3-piece-cookware-set-p140091", "https://www.cutleryandmore.com/le-creuset-stainless-steel/3-piece-cookware-set-p140091")</f>
        <v/>
      </c>
      <c r="B121" s="1">
        <f>HYPERLINK("https://www.cutleryandmore.com/le-creuset-stainless-steel/3-piece-cookware-set-p140091", "https://www.cutleryandmore.com/le-creuset-stainless-steel/3-piece-cookware-set-p140091")</f>
        <v/>
      </c>
      <c r="C121" t="inlineStr">
        <is>
          <t>Le Creuset Stainless Steel 3 Piece Cookware Set</t>
        </is>
      </c>
      <c r="D121" t="inlineStr">
        <is>
          <t>Le Creuset Tri-Ply Stainless Steel 10 pc. Cookware Set</t>
        </is>
      </c>
      <c r="E121" s="1">
        <f>HYPERLINK("https://www.amazon.com/Creuset-10-Piece-Tri-Ply-Stainless-Cookware/dp/B00I9EOF32/ref=sr_1_6?keywords=Le+Creuset+Stainless+Steel+3+Piece+Cookware+Set&amp;qid=1695763978&amp;sr=8-6", "https://www.amazon.com/Creuset-10-Piece-Tri-Ply-Stainless-Cookware/dp/B00I9EOF32/ref=sr_1_6?keywords=Le+Creuset+Stainless+Steel+3+Piece+Cookware+Set&amp;qid=1695763978&amp;sr=8-6")</f>
        <v/>
      </c>
      <c r="F121" t="inlineStr">
        <is>
          <t>B00I9EOF32</t>
        </is>
      </c>
      <c r="G121">
        <f>_xlfn.IMAGE("https://cdn.cutleryandmore.com/assets/product/main/40091.jpg")</f>
        <v/>
      </c>
      <c r="H121">
        <f>_xlfn.IMAGE("https://m.media-amazon.com/images/I/71FRy1TQYyL._AC_UF264,320_.jpg")</f>
        <v/>
      </c>
      <c r="K121" t="inlineStr">
        <is>
          <t>159.99</t>
        </is>
      </c>
      <c r="L121" t="n">
        <v>849.95</v>
      </c>
      <c r="M121" s="2" t="inlineStr">
        <is>
          <t>431.25%</t>
        </is>
      </c>
      <c r="N121" t="n">
        <v>4.6</v>
      </c>
      <c r="O121" t="n">
        <v>108</v>
      </c>
      <c r="Q121" t="inlineStr">
        <is>
          <t>InStock</t>
        </is>
      </c>
      <c r="R121" t="inlineStr">
        <is>
          <t>undefined</t>
        </is>
      </c>
      <c r="S121" t="inlineStr">
        <is>
          <t>SSP13033</t>
        </is>
      </c>
    </row>
    <row r="122" ht="75" customHeight="1">
      <c r="A122" s="1">
        <f>HYPERLINK("https://www.cutleryandmore.com/le-creuset-stainless-steel/3-piece-cookware-set-p140091", "https://www.cutleryandmore.com/le-creuset-stainless-steel/3-piece-cookware-set-p140091")</f>
        <v/>
      </c>
      <c r="B122" s="1">
        <f>HYPERLINK("https://www.cutleryandmore.com/le-creuset-stainless-steel/3-piece-cookware-set-p140091", "https://www.cutleryandmore.com/le-creuset-stainless-steel/3-piece-cookware-set-p140091")</f>
        <v/>
      </c>
      <c r="C122" t="inlineStr">
        <is>
          <t>Le Creuset Stainless Steel 3 Piece Cookware Set</t>
        </is>
      </c>
      <c r="D122" t="inlineStr">
        <is>
          <t>Le Creuset Stainless Steel 8-Piece Sauce &amp; Skillet Cookware Set</t>
        </is>
      </c>
      <c r="E122" s="1">
        <f>HYPERLINK("https://www.amazon.com/Creuset-Stainless-Steel-8-Piece-Cookware/dp/B0BJ4YX8QP/ref=sr_1_10?keywords=Le+Creuset+Stainless+Steel+3+Piece+Cookware+Set&amp;qid=1695763978&amp;sr=8-10", "https://www.amazon.com/Creuset-Stainless-Steel-8-Piece-Cookware/dp/B0BJ4YX8QP/ref=sr_1_10?keywords=Le+Creuset+Stainless+Steel+3+Piece+Cookware+Set&amp;qid=1695763978&amp;sr=8-10")</f>
        <v/>
      </c>
      <c r="F122" t="inlineStr">
        <is>
          <t>B0BJ4YX8QP</t>
        </is>
      </c>
      <c r="G122">
        <f>_xlfn.IMAGE("https://cdn.cutleryandmore.com/assets/product/main/40091.jpg")</f>
        <v/>
      </c>
      <c r="H122">
        <f>_xlfn.IMAGE("https://m.media-amazon.com/images/I/71wQuJjIo6L._AC_UF264,320_.jpg")</f>
        <v/>
      </c>
      <c r="K122" t="inlineStr">
        <is>
          <t>159.99</t>
        </is>
      </c>
      <c r="L122" t="n">
        <v>799.95</v>
      </c>
      <c r="M122" s="2" t="inlineStr">
        <is>
          <t>400.00%</t>
        </is>
      </c>
      <c r="N122" t="n">
        <v>4</v>
      </c>
      <c r="O122" t="n">
        <v>1</v>
      </c>
      <c r="Q122" t="inlineStr">
        <is>
          <t>InStock</t>
        </is>
      </c>
      <c r="R122" t="inlineStr">
        <is>
          <t>undefined</t>
        </is>
      </c>
      <c r="S122" t="inlineStr">
        <is>
          <t>SSP13033</t>
        </is>
      </c>
    </row>
    <row r="123" ht="75" customHeight="1">
      <c r="A123" s="1">
        <f>HYPERLINK("https://www.cutleryandmore.com/le-creuset-stainless-steel/3-piece-cookware-set-p140091", "https://www.cutleryandmore.com/le-creuset-stainless-steel/3-piece-cookware-set-p140091")</f>
        <v/>
      </c>
      <c r="B123" s="1">
        <f>HYPERLINK("https://www.cutleryandmore.com/le-creuset-stainless-steel/3-piece-cookware-set-p140091", "https://www.cutleryandmore.com/le-creuset-stainless-steel/3-piece-cookware-set-p140091")</f>
        <v/>
      </c>
      <c r="C123" t="inlineStr">
        <is>
          <t>Le Creuset Stainless Steel 3 Piece Cookware Set</t>
        </is>
      </c>
      <c r="D123" t="inlineStr">
        <is>
          <t>All-Clad D3 3-Ply Stainless Steel Cookware Set 10 Piece Induction Oven Broil Safe 600F Pots and Pans</t>
        </is>
      </c>
      <c r="E123" s="1">
        <f>HYPERLINK("https://www.amazon.com/All-Clad-Tri-Ply-Cookware-Dishwasher-Stainless/dp/B005H8KD3E/ref=sr_1_4?keywords=Le+Creuset+Stainless+Steel+3+Piece+Cookware+Set&amp;qid=1695763978&amp;sr=8-4", "https://www.amazon.com/All-Clad-Tri-Ply-Cookware-Dishwasher-Stainless/dp/B005H8KD3E/ref=sr_1_4?keywords=Le+Creuset+Stainless+Steel+3+Piece+Cookware+Set&amp;qid=1695763978&amp;sr=8-4")</f>
        <v/>
      </c>
      <c r="F123" t="inlineStr">
        <is>
          <t>B005H8KD3E</t>
        </is>
      </c>
      <c r="G123">
        <f>_xlfn.IMAGE("https://cdn.cutleryandmore.com/assets/product/main/40091.jpg")</f>
        <v/>
      </c>
      <c r="H123">
        <f>_xlfn.IMAGE("https://m.media-amazon.com/images/I/71sRq4GDzEL._AC_UF264,320_.jpg")</f>
        <v/>
      </c>
      <c r="K123" t="inlineStr">
        <is>
          <t>159.99</t>
        </is>
      </c>
      <c r="L123" t="n">
        <v>699.95</v>
      </c>
      <c r="M123" s="2" t="inlineStr">
        <is>
          <t>337.50%</t>
        </is>
      </c>
      <c r="N123" t="n">
        <v>4.7</v>
      </c>
      <c r="O123" t="n">
        <v>6992</v>
      </c>
      <c r="Q123" t="inlineStr">
        <is>
          <t>InStock</t>
        </is>
      </c>
      <c r="R123" t="inlineStr">
        <is>
          <t>undefined</t>
        </is>
      </c>
      <c r="S123" t="inlineStr">
        <is>
          <t>SSP13033</t>
        </is>
      </c>
    </row>
    <row r="124" ht="75" customHeight="1">
      <c r="A124" s="1">
        <f>HYPERLINK("https://www.cutleryandmore.com/le-creuset-stoneware/heritage-covered-rectangular-dish-p135764", "https://www.cutleryandmore.com/le-creuset-stoneware/heritage-covered-rectangular-dish-p135764")</f>
        <v/>
      </c>
      <c r="B124" s="1">
        <f>HYPERLINK("https://www.cutleryandmore.com/le-creuset-stoneware/heritage-covered-rectangular-dish-p135764", "https://www.cutleryandmore.com/le-creuset-stoneware/heritage-covered-rectangular-dish-p135764")</f>
        <v/>
      </c>
      <c r="C124" t="inlineStr">
        <is>
          <t>Le Creuset Stoneware 4-quart Heritage Covered Rectangular Dishes</t>
        </is>
      </c>
      <c r="D124" t="inlineStr">
        <is>
          <t>Le Creuset Stoneware Heritage Covered Rectangular Casserole, 4 qt. (12" x 9"), Cerise &amp; Stoneware Heritage Square Dish, 3 qt. (9"), Cerise</t>
        </is>
      </c>
      <c r="E124" s="1">
        <f>HYPERLINK("https://www.amazon.com/Creuset-Stoneware-Heritage-Rectangular-Casserole/dp/B0BNPVFM8L/ref=sr_1_4?keywords=Le+Creuset+Stoneware+4-quart+Heritage+Covered+Rectangular+Dishes&amp;qid=1695764002&amp;sr=8-4", "https://www.amazon.com/Creuset-Stoneware-Heritage-Rectangular-Casserole/dp/B0BNPVFM8L/ref=sr_1_4?keywords=Le+Creuset+Stoneware+4-quart+Heritage+Covered+Rectangular+Dishes&amp;qid=1695764002&amp;sr=8-4")</f>
        <v/>
      </c>
      <c r="F124" t="inlineStr">
        <is>
          <t>B0BNPVFM8L</t>
        </is>
      </c>
      <c r="G124">
        <f>_xlfn.IMAGE("https://cdn.cutleryandmore.com/assets/product/main/35764.jpg")</f>
        <v/>
      </c>
      <c r="H124">
        <f>_xlfn.IMAGE("https://m.media-amazon.com/images/I/419GR1WUn1L._AC_UL320_.jpg")</f>
        <v/>
      </c>
      <c r="K124" t="inlineStr">
        <is>
          <t>94.95</t>
        </is>
      </c>
      <c r="L124" t="n">
        <v>179.9</v>
      </c>
      <c r="M124" s="2" t="inlineStr">
        <is>
          <t>89.47%</t>
        </is>
      </c>
      <c r="N124" t="n">
        <v>4.5</v>
      </c>
      <c r="O124" t="n">
        <v>40</v>
      </c>
      <c r="Q124" t="inlineStr">
        <is>
          <t>InStock</t>
        </is>
      </c>
      <c r="R124" t="inlineStr">
        <is>
          <t>134.95</t>
        </is>
      </c>
      <c r="S124" t="inlineStr">
        <is>
          <t>71002480060002</t>
        </is>
      </c>
    </row>
    <row r="125" ht="75" customHeight="1">
      <c r="A125" s="1">
        <f>HYPERLINK("https://www.cutleryandmore.com/le-creuset-stoneware/heritage-covered-rectangular-dish-p135989", "https://www.cutleryandmore.com/le-creuset-stoneware/heritage-covered-rectangular-dish-p135989")</f>
        <v/>
      </c>
      <c r="B125" s="1">
        <f>HYPERLINK("https://www.cutleryandmore.com/le-creuset-stoneware/heritage-covered-rectangular-dish-p135989", "https://www.cutleryandmore.com/le-creuset-stoneware/heritage-covered-rectangular-dish-p135989")</f>
        <v/>
      </c>
      <c r="C125" t="inlineStr">
        <is>
          <t>Le Creuset Stoneware 4-quart Heritage Covered Rectangular Dishes</t>
        </is>
      </c>
      <c r="D125" t="inlineStr">
        <is>
          <t>Le Creuset Stoneware Heritage Covered Rectangular Casserole, 4 qt. (12" x 9"), Cerise &amp; Stoneware Heritage Square Dish, 3 qt. (9"), Cerise</t>
        </is>
      </c>
      <c r="E125" s="1">
        <f>HYPERLINK("https://www.amazon.com/Creuset-Stoneware-Heritage-Rectangular-Casserole/dp/B0BNPVFM8L/ref=sr_1_4?keywords=Le+Creuset+Stoneware+4-quart+Heritage+Covered+Rectangular+Dishes&amp;qid=1695763996&amp;sr=8-4", "https://www.amazon.com/Creuset-Stoneware-Heritage-Rectangular-Casserole/dp/B0BNPVFM8L/ref=sr_1_4?keywords=Le+Creuset+Stoneware+4-quart+Heritage+Covered+Rectangular+Dishes&amp;qid=1695763996&amp;sr=8-4")</f>
        <v/>
      </c>
      <c r="F125" t="inlineStr">
        <is>
          <t>B0BNPVFM8L</t>
        </is>
      </c>
      <c r="G125">
        <f>_xlfn.IMAGE("https://cdn.cutleryandmore.com/assets/product/main/35989.jpg")</f>
        <v/>
      </c>
      <c r="H125">
        <f>_xlfn.IMAGE("https://m.media-amazon.com/images/I/419GR1WUn1L._AC_UL320_.jpg")</f>
        <v/>
      </c>
      <c r="K125" t="inlineStr">
        <is>
          <t>94.95</t>
        </is>
      </c>
      <c r="L125" t="n">
        <v>179.9</v>
      </c>
      <c r="M125" s="2" t="inlineStr">
        <is>
          <t>89.47%</t>
        </is>
      </c>
      <c r="N125" t="n">
        <v>4.5</v>
      </c>
      <c r="O125" t="n">
        <v>40</v>
      </c>
      <c r="Q125" t="inlineStr">
        <is>
          <t>InStock</t>
        </is>
      </c>
      <c r="R125" t="inlineStr">
        <is>
          <t>134.95</t>
        </is>
      </c>
      <c r="S125" t="inlineStr">
        <is>
          <t>71002480170002</t>
        </is>
      </c>
    </row>
    <row r="126" ht="75" customHeight="1">
      <c r="A126" s="1">
        <f>HYPERLINK("https://www.cutleryandmore.com/le-creuset-stoneware/heritage-covered-rectangular-dish-p136198", "https://www.cutleryandmore.com/le-creuset-stoneware/heritage-covered-rectangular-dish-p136198")</f>
        <v/>
      </c>
      <c r="B126" s="1">
        <f>HYPERLINK("https://www.cutleryandmore.com/le-creuset-stoneware/heritage-covered-rectangular-dish-p136198", "https://www.cutleryandmore.com/le-creuset-stoneware/heritage-covered-rectangular-dish-p136198")</f>
        <v/>
      </c>
      <c r="C126" t="inlineStr">
        <is>
          <t>Le Creuset Stoneware 4-quart Heritage Covered Rectangular Dishes</t>
        </is>
      </c>
      <c r="D126" t="inlineStr">
        <is>
          <t>Le Creuset Stoneware Heritage Covered Rectangular Casserole, 4 qt. (12" x 9"), Cerise &amp; Stoneware Heritage Square Dish, 3 qt. (9"), Cerise</t>
        </is>
      </c>
      <c r="E126" s="1">
        <f>HYPERLINK("https://www.amazon.com/Creuset-Stoneware-Heritage-Rectangular-Casserole/dp/B0BNPVFM8L/ref=sr_1_4?keywords=Le+Creuset+Stoneware+4-quart+Heritage+Covered+Rectangular+Dishes&amp;qid=1695763986&amp;sr=8-4", "https://www.amazon.com/Creuset-Stoneware-Heritage-Rectangular-Casserole/dp/B0BNPVFM8L/ref=sr_1_4?keywords=Le+Creuset+Stoneware+4-quart+Heritage+Covered+Rectangular+Dishes&amp;qid=1695763986&amp;sr=8-4")</f>
        <v/>
      </c>
      <c r="F126" t="inlineStr">
        <is>
          <t>B0BNPVFM8L</t>
        </is>
      </c>
      <c r="G126">
        <f>_xlfn.IMAGE("https://cdn.cutleryandmore.com/assets/product/main/36198.jpg")</f>
        <v/>
      </c>
      <c r="H126">
        <f>_xlfn.IMAGE("https://m.media-amazon.com/images/I/419GR1WUn1L._AC_UL320_.jpg")</f>
        <v/>
      </c>
      <c r="K126" t="inlineStr">
        <is>
          <t>94.95</t>
        </is>
      </c>
      <c r="L126" t="n">
        <v>179.9</v>
      </c>
      <c r="M126" s="2" t="inlineStr">
        <is>
          <t>89.47%</t>
        </is>
      </c>
      <c r="N126" t="n">
        <v>4.5</v>
      </c>
      <c r="O126" t="n">
        <v>40</v>
      </c>
      <c r="Q126" t="inlineStr">
        <is>
          <t>InStock</t>
        </is>
      </c>
      <c r="R126" t="inlineStr">
        <is>
          <t>134.95</t>
        </is>
      </c>
      <c r="S126" t="inlineStr">
        <is>
          <t>71002480444002</t>
        </is>
      </c>
    </row>
    <row r="127" ht="75" customHeight="1">
      <c r="A127" s="1">
        <f>HYPERLINK("https://www.cutleryandmore.com/mac-chef-series/knife-set-p139605", "https://www.cutleryandmore.com/mac-chef-series/knife-set-p139605")</f>
        <v/>
      </c>
      <c r="B127" s="1">
        <f>HYPERLINK("https://www.cutleryandmore.com/mac-chef-series/knife-set-p139605", "https://www.cutleryandmore.com/mac-chef-series/knife-set-p139605")</f>
        <v/>
      </c>
      <c r="C127" t="inlineStr">
        <is>
          <t>MAC Chef Series 3 Piece Knife Set</t>
        </is>
      </c>
      <c r="D127" t="inlineStr">
        <is>
          <t>Mac Knife Original Series 4-Piece Starter Set, Silver</t>
        </is>
      </c>
      <c r="E127" s="1">
        <f>HYPERLINK("https://www.amazon.com/Mac-Knife-GSP-41-Original-4-Piece/dp/B00CLALXSK/ref=sr_1_7?keywords=MAC+Chef+Series+3+Piece+Knife+Set&amp;qid=1695763927&amp;sr=8-7", "https://www.amazon.com/Mac-Knife-GSP-41-Original-4-Piece/dp/B00CLALXSK/ref=sr_1_7?keywords=MAC+Chef+Series+3+Piece+Knife+Set&amp;qid=1695763927&amp;sr=8-7")</f>
        <v/>
      </c>
      <c r="F127" t="inlineStr">
        <is>
          <t>B00CLALXSK</t>
        </is>
      </c>
      <c r="G127">
        <f>_xlfn.IMAGE("https://cdn.cutleryandmore.com/assets/product/main/39605.jpg")</f>
        <v/>
      </c>
      <c r="H127">
        <f>_xlfn.IMAGE("https://m.media-amazon.com/images/I/518JVrfVsvL._AC_UL320_.jpg")</f>
        <v/>
      </c>
      <c r="K127" t="inlineStr">
        <is>
          <t>129.95</t>
        </is>
      </c>
      <c r="L127" t="n">
        <v>214.95</v>
      </c>
      <c r="M127" s="2" t="inlineStr">
        <is>
          <t>65.41%</t>
        </is>
      </c>
      <c r="N127" t="n">
        <v>4.6</v>
      </c>
      <c r="O127" t="n">
        <v>93</v>
      </c>
      <c r="Q127" t="inlineStr">
        <is>
          <t>InStock</t>
        </is>
      </c>
      <c r="R127" t="inlineStr">
        <is>
          <t>169.95</t>
        </is>
      </c>
      <c r="S127" t="inlineStr">
        <is>
          <t>HB-SET3</t>
        </is>
      </c>
    </row>
    <row r="128" ht="75" customHeight="1">
      <c r="A128" s="1">
        <f>HYPERLINK("https://www.cutleryandmore.com/scanpan-classic/nonstick-saucepan-p126524", "https://www.cutleryandmore.com/scanpan-classic/nonstick-saucepan-p126524")</f>
        <v/>
      </c>
      <c r="B128" s="1">
        <f>HYPERLINK("https://www.cutleryandmore.com/scanpan-classic/nonstick-saucepan-p126524", "https://www.cutleryandmore.com/scanpan-classic/nonstick-saucepan-p126524")</f>
        <v/>
      </c>
      <c r="C128" t="inlineStr">
        <is>
          <t>Scanpan Classic Nonstick Saucepans</t>
        </is>
      </c>
      <c r="D128" t="inlineStr">
        <is>
          <t>Scanpan Classic 14 Piece Cookware Set with Stratanium Nonstick</t>
        </is>
      </c>
      <c r="E128" s="1">
        <f>HYPERLINK("https://www.amazon.com/Scanpan-Classic-Cookware-Stratanium-Nonstick/dp/B07L1C5V2L/ref=sr_1_3?keywords=Scanpan+Classic+Nonstick+Saucepans&amp;qid=1695763972&amp;sr=8-3", "https://www.amazon.com/Scanpan-Classic-Cookware-Stratanium-Nonstick/dp/B07L1C5V2L/ref=sr_1_3?keywords=Scanpan+Classic+Nonstick+Saucepans&amp;qid=1695763972&amp;sr=8-3")</f>
        <v/>
      </c>
      <c r="F128" t="inlineStr">
        <is>
          <t>B07L1C5V2L</t>
        </is>
      </c>
      <c r="G128">
        <f>_xlfn.IMAGE("https://cdn.cutleryandmore.com/assets/product/main/26524.jpg")</f>
        <v/>
      </c>
      <c r="H128">
        <f>_xlfn.IMAGE("https://m.media-amazon.com/images/I/718E8aLXfWL._AC_UL320_.jpg")</f>
        <v/>
      </c>
      <c r="K128" t="inlineStr">
        <is>
          <t>129.95</t>
        </is>
      </c>
      <c r="L128" t="n">
        <v>699.95</v>
      </c>
      <c r="M128" s="2" t="inlineStr">
        <is>
          <t>438.63%</t>
        </is>
      </c>
      <c r="N128" t="n">
        <v>4.6</v>
      </c>
      <c r="O128" t="n">
        <v>40</v>
      </c>
      <c r="Q128" t="inlineStr">
        <is>
          <t>InStock</t>
        </is>
      </c>
      <c r="R128" t="inlineStr">
        <is>
          <t>149.95</t>
        </is>
      </c>
      <c r="S128" t="inlineStr">
        <is>
          <t>25001200</t>
        </is>
      </c>
    </row>
    <row r="129" ht="75" customHeight="1">
      <c r="A129" s="1">
        <f>HYPERLINK("https://www.cutleryandmore.com/scanpan-classic-stratanium/1025-125-inch-nonstick-skillet-set-lids-p138672", "https://www.cutleryandmore.com/scanpan-classic-stratanium/1025-125-inch-nonstick-skillet-set-lids-p138672")</f>
        <v/>
      </c>
      <c r="B129" s="1">
        <f>HYPERLINK("https://www.cutleryandmore.com/scanpan-classic-stratanium/1025-125-inch-nonstick-skillet-set-lids-p138672", "https://www.cutleryandmore.com/scanpan-classic-stratanium/1025-125-inch-nonstick-skillet-set-lids-p138672")</f>
        <v/>
      </c>
      <c r="C129" t="inlineStr">
        <is>
          <t>Scanpan Classic Stratanium Nonstick Skillets</t>
        </is>
      </c>
      <c r="D129" t="inlineStr">
        <is>
          <t>Scanpan Classic 14 Piece Cookware Set with Stratanium Nonstick</t>
        </is>
      </c>
      <c r="E129" s="1">
        <f>HYPERLINK("https://www.amazon.com/Scanpan-Classic-Cookware-Stratanium-Nonstick/dp/B07L1C5V2L/ref=sr_1_2?keywords=Scanpan+Classic+Stratanium+Nonstick+Skillets&amp;qid=1695763987&amp;sr=8-2", "https://www.amazon.com/Scanpan-Classic-Cookware-Stratanium-Nonstick/dp/B07L1C5V2L/ref=sr_1_2?keywords=Scanpan+Classic+Stratanium+Nonstick+Skillets&amp;qid=1695763987&amp;sr=8-2")</f>
        <v/>
      </c>
      <c r="F129" t="inlineStr">
        <is>
          <t>B07L1C5V2L</t>
        </is>
      </c>
      <c r="G129">
        <f>_xlfn.IMAGE("https://cdn.cutleryandmore.com/assets/product/main/38672.jpg")</f>
        <v/>
      </c>
      <c r="H129">
        <f>_xlfn.IMAGE("https://m.media-amazon.com/images/I/718E8aLXfWL._AC_UL320_.jpg")</f>
        <v/>
      </c>
      <c r="K129" t="inlineStr">
        <is>
          <t>179.95</t>
        </is>
      </c>
      <c r="L129" t="n">
        <v>699.95</v>
      </c>
      <c r="M129" s="2" t="inlineStr">
        <is>
          <t>288.97%</t>
        </is>
      </c>
      <c r="N129" t="n">
        <v>4.6</v>
      </c>
      <c r="O129" t="n">
        <v>40</v>
      </c>
      <c r="Q129" t="inlineStr">
        <is>
          <t>InStock</t>
        </is>
      </c>
      <c r="R129" t="inlineStr">
        <is>
          <t>229.95</t>
        </is>
      </c>
      <c r="S129" t="inlineStr">
        <is>
          <t>10263200WL</t>
        </is>
      </c>
    </row>
    <row r="130" ht="75" customHeight="1">
      <c r="A130" s="1">
        <f>HYPERLINK("https://www.cutleryandmore.com/scanpan-classic-stratanium/8-1025-inch-nonstick-skillet-set-lids-p138671", "https://www.cutleryandmore.com/scanpan-classic-stratanium/8-1025-inch-nonstick-skillet-set-lids-p138671")</f>
        <v/>
      </c>
      <c r="B130" s="1">
        <f>HYPERLINK("https://www.cutleryandmore.com/scanpan-classic-stratanium/8-1025-inch-nonstick-skillet-set-lids-p138671", "https://www.cutleryandmore.com/scanpan-classic-stratanium/8-1025-inch-nonstick-skillet-set-lids-p138671")</f>
        <v/>
      </c>
      <c r="C130" t="inlineStr">
        <is>
          <t>Scanpan Classic Stratanium Nonstick Skillets</t>
        </is>
      </c>
      <c r="D130" t="inlineStr">
        <is>
          <t>Scanpan Classic 14 Piece Cookware Set with Stratanium Nonstick</t>
        </is>
      </c>
      <c r="E130" s="1">
        <f>HYPERLINK("https://www.amazon.com/Scanpan-Classic-Cookware-Stratanium-Nonstick/dp/B07L1C5V2L/ref=sr_1_2?keywords=Scanpan+Classic+Stratanium+Nonstick+Skillets&amp;qid=1695763985&amp;sr=8-2", "https://www.amazon.com/Scanpan-Classic-Cookware-Stratanium-Nonstick/dp/B07L1C5V2L/ref=sr_1_2?keywords=Scanpan+Classic+Stratanium+Nonstick+Skillets&amp;qid=1695763985&amp;sr=8-2")</f>
        <v/>
      </c>
      <c r="F130" t="inlineStr">
        <is>
          <t>B07L1C5V2L</t>
        </is>
      </c>
      <c r="G130">
        <f>_xlfn.IMAGE("https://cdn.cutleryandmore.com/assets/product/main/38671.jpg")</f>
        <v/>
      </c>
      <c r="H130">
        <f>_xlfn.IMAGE("https://m.media-amazon.com/images/I/718E8aLXfWL._AC_UL320_.jpg")</f>
        <v/>
      </c>
      <c r="K130" t="inlineStr">
        <is>
          <t>139.95</t>
        </is>
      </c>
      <c r="L130" t="n">
        <v>699.95</v>
      </c>
      <c r="M130" s="2" t="inlineStr">
        <is>
          <t>400.14%</t>
        </is>
      </c>
      <c r="N130" t="n">
        <v>4.6</v>
      </c>
      <c r="O130" t="n">
        <v>40</v>
      </c>
      <c r="Q130" t="inlineStr">
        <is>
          <t>InStock</t>
        </is>
      </c>
      <c r="R130" t="inlineStr">
        <is>
          <t>169.95</t>
        </is>
      </c>
      <c r="S130" t="inlineStr">
        <is>
          <t>10202600WL</t>
        </is>
      </c>
    </row>
    <row r="131" ht="75" customHeight="1">
      <c r="A131" s="1">
        <f>HYPERLINK("https://www.cutleryandmore.com/scanpan-classic-stratanium/nonstick-skillet-p137713", "https://www.cutleryandmore.com/scanpan-classic-stratanium/nonstick-skillet-p137713")</f>
        <v/>
      </c>
      <c r="B131" s="1">
        <f>HYPERLINK("https://www.cutleryandmore.com/scanpan-classic-stratanium/nonstick-skillet-p137713", "https://www.cutleryandmore.com/scanpan-classic-stratanium/nonstick-skillet-p137713")</f>
        <v/>
      </c>
      <c r="C131" t="inlineStr">
        <is>
          <t>Scanpan Classic Stratanium Nonstick Skillets</t>
        </is>
      </c>
      <c r="D131" t="inlineStr">
        <is>
          <t>Scanpan Classic 14 Piece Cookware Set with Stratanium Nonstick</t>
        </is>
      </c>
      <c r="E131" s="1">
        <f>HYPERLINK("https://www.amazon.com/Scanpan-Classic-Cookware-Stratanium-Nonstick/dp/B07L1C5V2L/ref=sr_1_2?keywords=Scanpan+Classic+Stratanium+Nonstick+Skillets&amp;qid=1695763987&amp;sr=8-2", "https://www.amazon.com/Scanpan-Classic-Cookware-Stratanium-Nonstick/dp/B07L1C5V2L/ref=sr_1_2?keywords=Scanpan+Classic+Stratanium+Nonstick+Skillets&amp;qid=1695763987&amp;sr=8-2")</f>
        <v/>
      </c>
      <c r="F131" t="inlineStr">
        <is>
          <t>B07L1C5V2L</t>
        </is>
      </c>
      <c r="G131">
        <f>_xlfn.IMAGE("https://cdn.cutleryandmore.com/assets/product/main/37713.jpg")</f>
        <v/>
      </c>
      <c r="H131">
        <f>_xlfn.IMAGE("https://m.media-amazon.com/images/I/718E8aLXfWL._AC_UL320_.jpg")</f>
        <v/>
      </c>
      <c r="K131" t="inlineStr">
        <is>
          <t>59.95</t>
        </is>
      </c>
      <c r="L131" t="n">
        <v>699.95</v>
      </c>
      <c r="M131" s="2" t="inlineStr">
        <is>
          <t>1067.56%</t>
        </is>
      </c>
      <c r="N131" t="n">
        <v>4.6</v>
      </c>
      <c r="O131" t="n">
        <v>40</v>
      </c>
      <c r="Q131" t="inlineStr">
        <is>
          <t>InStock</t>
        </is>
      </c>
      <c r="R131" t="inlineStr">
        <is>
          <t>69.95</t>
        </is>
      </c>
      <c r="S131" t="inlineStr">
        <is>
          <t>20001200</t>
        </is>
      </c>
    </row>
    <row r="132" ht="75" customHeight="1">
      <c r="A132" s="1">
        <f>HYPERLINK("https://www.cutleryandmore.com/scanpan-ctx-stratanium/stainless-steel-nonstick-skillet-p137427", "https://www.cutleryandmore.com/scanpan-ctx-stratanium/stainless-steel-nonstick-skillet-p137427")</f>
        <v/>
      </c>
      <c r="B132" s="1">
        <f>HYPERLINK("https://www.cutleryandmore.com/scanpan-ctx-stratanium/stainless-steel-nonstick-skillet-p137427", "https://www.cutleryandmore.com/scanpan-ctx-stratanium/stainless-steel-nonstick-skillet-p137427")</f>
        <v/>
      </c>
      <c r="C132" t="inlineStr">
        <is>
          <t>Scanpan CTX Stratanium Stainless Steel Nonstick Skillets</t>
        </is>
      </c>
      <c r="D132" t="inlineStr">
        <is>
          <t>Scanpan Stratanium+ Nonstick Stainless Steel 9.5 &amp; 11" Fry Pan Skillet Set - Maitre D' - Made in Denmark</t>
        </is>
      </c>
      <c r="E132" s="1">
        <f>HYPERLINK("https://www.amazon.com/Scanpan-Stratanium-Nonstick-Stainless-Skillet/dp/B0B6CS7QMZ/ref=sr_1_1?keywords=Scanpan+CTX+Stratanium+Stainless+Steel+Nonstick+Skillets&amp;qid=1695763945&amp;sr=8-1", "https://www.amazon.com/Scanpan-Stratanium-Nonstick-Stainless-Skillet/dp/B0B6CS7QMZ/ref=sr_1_1?keywords=Scanpan+CTX+Stratanium+Stainless+Steel+Nonstick+Skillets&amp;qid=1695763945&amp;sr=8-1")</f>
        <v/>
      </c>
      <c r="F132" t="inlineStr">
        <is>
          <t>B0B6CS7QMZ</t>
        </is>
      </c>
      <c r="G132">
        <f>_xlfn.IMAGE("https://cdn.cutleryandmore.com/assets/product/main/37427.jpg")</f>
        <v/>
      </c>
      <c r="H132">
        <f>_xlfn.IMAGE("https://m.media-amazon.com/images/I/71r766df4RL._AC_UL320_.jpg")</f>
        <v/>
      </c>
      <c r="K132" t="inlineStr">
        <is>
          <t>99.95</t>
        </is>
      </c>
      <c r="L132" t="n">
        <v>169.95</v>
      </c>
      <c r="M132" s="2" t="inlineStr">
        <is>
          <t>70.04%</t>
        </is>
      </c>
      <c r="N132" t="n">
        <v>5</v>
      </c>
      <c r="O132" t="n">
        <v>40</v>
      </c>
      <c r="Q132" t="inlineStr">
        <is>
          <t>InStock</t>
        </is>
      </c>
      <c r="R132" t="inlineStr">
        <is>
          <t>undefined</t>
        </is>
      </c>
      <c r="S132" t="inlineStr">
        <is>
          <t>65002803</t>
        </is>
      </c>
    </row>
    <row r="133" ht="75" customHeight="1">
      <c r="A133" s="1">
        <f>HYPERLINK("https://www.cutleryandmore.com/shun/herb-shears-p125238", "https://www.cutleryandmore.com/shun/herb-shears-p125238")</f>
        <v/>
      </c>
      <c r="B133" s="1">
        <f>HYPERLINK("https://www.cutleryandmore.com/shun/herb-shears-p125238", "https://www.cutleryandmore.com/shun/herb-shears-p125238")</f>
        <v/>
      </c>
      <c r="C133" t="inlineStr">
        <is>
          <t>Shun Kitchen Herb Shears</t>
        </is>
      </c>
      <c r="D133" t="inlineStr">
        <is>
          <t>Shun Cutlery 7-Piece Essential Knife Block Set, Includes Classic 8” Chef, 6” Utility, 9” Bread &amp; 3.5” Paring Herb Shears, Handcrafted Japanese Kitchen Knives, Black</t>
        </is>
      </c>
      <c r="E133" s="1">
        <f>HYPERLINK("https://www.amazon.com/Shun-Cutlery-Essential-3-5-inch-Combination/dp/B00022YJKS/ref=sr_1_5?keywords=Shun+Kitchen+Herb+Shears&amp;qid=1695763925&amp;sr=8-5", "https://www.amazon.com/Shun-Cutlery-Essential-3-5-inch-Combination/dp/B00022YJKS/ref=sr_1_5?keywords=Shun+Kitchen+Herb+Shears&amp;qid=1695763925&amp;sr=8-5")</f>
        <v/>
      </c>
      <c r="F133" t="inlineStr">
        <is>
          <t>B00022YJKS</t>
        </is>
      </c>
      <c r="G133">
        <f>_xlfn.IMAGE("https://cdn.cutleryandmore.com/assets/product/main/25238.jpg")</f>
        <v/>
      </c>
      <c r="H133">
        <f>_xlfn.IMAGE("https://m.media-amazon.com/images/I/81YxCjCReML._AC_UL320_.jpg")</f>
        <v/>
      </c>
      <c r="K133" t="inlineStr">
        <is>
          <t>34.95</t>
        </is>
      </c>
      <c r="L133" t="n">
        <v>491.95</v>
      </c>
      <c r="M133" s="2" t="inlineStr">
        <is>
          <t>1307.58%</t>
        </is>
      </c>
      <c r="N133" t="n">
        <v>4.5</v>
      </c>
      <c r="O133" t="n">
        <v>66</v>
      </c>
      <c r="Q133" t="inlineStr">
        <is>
          <t>InStock</t>
        </is>
      </c>
      <c r="R133" t="inlineStr">
        <is>
          <t>44.95</t>
        </is>
      </c>
      <c r="S133" t="inlineStr">
        <is>
          <t>DM7100</t>
        </is>
      </c>
    </row>
    <row r="134" ht="75" customHeight="1">
      <c r="A134" s="1">
        <f>HYPERLINK("https://www.cutleryandmore.com/shun/herb-shears-p125238", "https://www.cutleryandmore.com/shun/herb-shears-p125238")</f>
        <v/>
      </c>
      <c r="B134" s="1">
        <f>HYPERLINK("https://www.cutleryandmore.com/shun/herb-shears-p125238", "https://www.cutleryandmore.com/shun/herb-shears-p125238")</f>
        <v/>
      </c>
      <c r="C134" t="inlineStr">
        <is>
          <t>Shun Kitchen Herb Shears</t>
        </is>
      </c>
      <c r="D134" t="inlineStr">
        <is>
          <t>Shun Cutlery 2 Piece Kitchen Shear Set, Stainless Steel Cooking Scissors, Blades Separate for Easy Cleaning, Comfortable, Non-Slip Handle, Kitchen Shears Heavy Duty</t>
        </is>
      </c>
      <c r="E134" s="1">
        <f>HYPERLINK("https://www.amazon.com/Shun-Stainless-Scissors-Separate-Comfortable/dp/B01DYMBYEG/ref=sr_1_4?keywords=Shun+Kitchen+Herb+Shears&amp;qid=1695763925&amp;sr=8-4", "https://www.amazon.com/Shun-Stainless-Scissors-Separate-Comfortable/dp/B01DYMBYEG/ref=sr_1_4?keywords=Shun+Kitchen+Herb+Shears&amp;qid=1695763925&amp;sr=8-4")</f>
        <v/>
      </c>
      <c r="F134" t="inlineStr">
        <is>
          <t>B01DYMBYEG</t>
        </is>
      </c>
      <c r="G134">
        <f>_xlfn.IMAGE("https://cdn.cutleryandmore.com/assets/product/main/25238.jpg")</f>
        <v/>
      </c>
      <c r="H134">
        <f>_xlfn.IMAGE("https://m.media-amazon.com/images/I/61DCS6flslL._AC_UL320_.jpg")</f>
        <v/>
      </c>
      <c r="K134" t="inlineStr">
        <is>
          <t>34.95</t>
        </is>
      </c>
      <c r="L134" t="n">
        <v>109.95</v>
      </c>
      <c r="M134" s="2" t="inlineStr">
        <is>
          <t>214.59%</t>
        </is>
      </c>
      <c r="N134" t="n">
        <v>4.8</v>
      </c>
      <c r="O134" t="n">
        <v>391</v>
      </c>
      <c r="Q134" t="inlineStr">
        <is>
          <t>InStock</t>
        </is>
      </c>
      <c r="R134" t="inlineStr">
        <is>
          <t>44.95</t>
        </is>
      </c>
      <c r="S134" t="inlineStr">
        <is>
          <t>DM7100</t>
        </is>
      </c>
    </row>
    <row r="135" ht="75" customHeight="1">
      <c r="A135" s="1">
        <f>HYPERLINK("https://www.cutleryandmore.com/shun/herb-shears-p125238", "https://www.cutleryandmore.com/shun/herb-shears-p125238")</f>
        <v/>
      </c>
      <c r="B135" s="1">
        <f>HYPERLINK("https://www.cutleryandmore.com/shun/herb-shears-p125238", "https://www.cutleryandmore.com/shun/herb-shears-p125238")</f>
        <v/>
      </c>
      <c r="C135" t="inlineStr">
        <is>
          <t>Shun Kitchen Herb Shears</t>
        </is>
      </c>
      <c r="D135" t="inlineStr">
        <is>
          <t>Shun Cutlery Kitchen Shears, Stainless Steel Cooking Scissors, Blades Separate for Easy Cleaning, Comfortable, Non-Slip Handle, Kitchen Shears Heavy Duty</t>
        </is>
      </c>
      <c r="E135" s="1">
        <f>HYPERLINK("https://www.amazon.com/Shun-DM7240-Kitchen-Shears-Silver/dp/B001DINYHE/ref=sr_1_8?keywords=Shun+Kitchen+Herb+Shears&amp;qid=1695763925&amp;sr=8-8", "https://www.amazon.com/Shun-DM7240-Kitchen-Shears-Silver/dp/B001DINYHE/ref=sr_1_8?keywords=Shun+Kitchen+Herb+Shears&amp;qid=1695763925&amp;sr=8-8")</f>
        <v/>
      </c>
      <c r="F135" t="inlineStr">
        <is>
          <t>B001DINYHE</t>
        </is>
      </c>
      <c r="G135">
        <f>_xlfn.IMAGE("https://cdn.cutleryandmore.com/assets/product/main/25238.jpg")</f>
        <v/>
      </c>
      <c r="H135">
        <f>_xlfn.IMAGE("https://m.media-amazon.com/images/I/619Ny58qcKL._AC_UL320_.jpg")</f>
        <v/>
      </c>
      <c r="K135" t="inlineStr">
        <is>
          <t>34.95</t>
        </is>
      </c>
      <c r="L135" t="n">
        <v>63.95</v>
      </c>
      <c r="M135" s="2" t="inlineStr">
        <is>
          <t>82.98%</t>
        </is>
      </c>
      <c r="N135" t="n">
        <v>4.7</v>
      </c>
      <c r="O135" t="n">
        <v>499</v>
      </c>
      <c r="Q135" t="inlineStr">
        <is>
          <t>InStock</t>
        </is>
      </c>
      <c r="R135" t="inlineStr">
        <is>
          <t>44.95</t>
        </is>
      </c>
      <c r="S135" t="inlineStr">
        <is>
          <t>DM7100</t>
        </is>
      </c>
    </row>
    <row r="136" ht="75" customHeight="1">
      <c r="A136" s="1">
        <f>HYPERLINK("https://www.cutleryandmore.com/shun/multi-purpose-kitchen-shears-p132222", "https://www.cutleryandmore.com/shun/multi-purpose-kitchen-shears-p132222")</f>
        <v/>
      </c>
      <c r="B136" s="1">
        <f>HYPERLINK("https://www.cutleryandmore.com/shun/multi-purpose-kitchen-shears-p132222", "https://www.cutleryandmore.com/shun/multi-purpose-kitchen-shears-p132222")</f>
        <v/>
      </c>
      <c r="C136" t="inlineStr">
        <is>
          <t>Shun Multi-Purpose Kitchen Shears</t>
        </is>
      </c>
      <c r="D136" t="inlineStr">
        <is>
          <t>Shun Cutlery Classic Utility Knife 6" and Kai PRO Multi-Purpose Kitchen Shears Set, Handcrafted Japanese Kitchen Knives &amp; Shears</t>
        </is>
      </c>
      <c r="E136" s="1">
        <f>HYPERLINK("https://www.amazon.com/Shun-Cutlery-Multi-Purpose-Handcrafted-Japanese/dp/B08BQL9B18/ref=sr_1_3?keywords=Shun+Multi-Purpose+Kitchen+Shears&amp;qid=1695763933&amp;sr=8-3", "https://www.amazon.com/Shun-Cutlery-Multi-Purpose-Handcrafted-Japanese/dp/B08BQL9B18/ref=sr_1_3?keywords=Shun+Multi-Purpose+Kitchen+Shears&amp;qid=1695763933&amp;sr=8-3")</f>
        <v/>
      </c>
      <c r="F136" t="inlineStr">
        <is>
          <t>B08BQL9B18</t>
        </is>
      </c>
      <c r="G136">
        <f>_xlfn.IMAGE("https://cdn.cutleryandmore.com/assets/product/main/32222.jpg")</f>
        <v/>
      </c>
      <c r="H136">
        <f>_xlfn.IMAGE("https://m.media-amazon.com/images/I/712RSc2LWyL._AC_UL320_.jpg")</f>
        <v/>
      </c>
      <c r="K136" t="inlineStr">
        <is>
          <t>42.95</t>
        </is>
      </c>
      <c r="L136" t="n">
        <v>159.95</v>
      </c>
      <c r="M136" s="2" t="inlineStr">
        <is>
          <t>272.41%</t>
        </is>
      </c>
      <c r="N136" t="n">
        <v>4.5</v>
      </c>
      <c r="O136" t="n">
        <v>120</v>
      </c>
      <c r="Q136" t="inlineStr">
        <is>
          <t>InStock</t>
        </is>
      </c>
      <c r="R136" t="inlineStr">
        <is>
          <t>54.95</t>
        </is>
      </c>
      <c r="S136" t="inlineStr">
        <is>
          <t>DM7300</t>
        </is>
      </c>
    </row>
    <row r="137" ht="75" customHeight="1">
      <c r="A137" s="1">
        <f>HYPERLINK("https://www.cutleryandmore.com/shun-classic/bbq-knife-set-p136861", "https://www.cutleryandmore.com/shun-classic/bbq-knife-set-p136861")</f>
        <v/>
      </c>
      <c r="B137" s="1">
        <f>HYPERLINK("https://www.cutleryandmore.com/shun-classic/bbq-knife-set-p136861", "https://www.cutleryandmore.com/shun-classic/bbq-knife-set-p136861")</f>
        <v/>
      </c>
      <c r="C137" t="inlineStr">
        <is>
          <t>Shun Classic 4 Piece BBQ Knife Set</t>
        </is>
      </c>
      <c r="D137" t="inlineStr">
        <is>
          <t>Shun Cutlery Premier 7-Piece Essential Block Set, Kitchen Knife and Knife Block Set, Includes 8” Chef's Knife, 4” Paring Knife, 6.5” Utility Knife, &amp; More, Handcrafted Japanese Kitchen Knives</t>
        </is>
      </c>
      <c r="E137" s="1">
        <f>HYPERLINK("https://www.amazon.com/Shun-Premier-Essential-7-Piece-Block/dp/B003A7YUGK/ref=sr_1_10?keywords=Shun+Classic+4+Piece+BBQ+Knife+Set&amp;qid=1695763904&amp;sr=8-10", "https://www.amazon.com/Shun-Premier-Essential-7-Piece-Block/dp/B003A7YUGK/ref=sr_1_10?keywords=Shun+Classic+4+Piece+BBQ+Knife+Set&amp;qid=1695763904&amp;sr=8-10")</f>
        <v/>
      </c>
      <c r="F137" t="inlineStr">
        <is>
          <t>B003A7YUGK</t>
        </is>
      </c>
      <c r="G137">
        <f>_xlfn.IMAGE("https://cdn.cutleryandmore.com/assets/product/main/36861.jpg")</f>
        <v/>
      </c>
      <c r="H137">
        <f>_xlfn.IMAGE("https://m.media-amazon.com/images/I/81mSVJUL+tL._AC_UL320_.jpg")</f>
        <v/>
      </c>
      <c r="K137" t="inlineStr">
        <is>
          <t>391.95</t>
        </is>
      </c>
      <c r="L137" t="n">
        <v>739.95</v>
      </c>
      <c r="M137" s="2" t="inlineStr">
        <is>
          <t>88.79%</t>
        </is>
      </c>
      <c r="N137" t="n">
        <v>4.8</v>
      </c>
      <c r="O137" t="n">
        <v>47</v>
      </c>
      <c r="Q137" t="inlineStr">
        <is>
          <t>InStock</t>
        </is>
      </c>
      <c r="R137" t="inlineStr">
        <is>
          <t>489.95</t>
        </is>
      </c>
      <c r="S137" t="inlineStr">
        <is>
          <t>DMS0450</t>
        </is>
      </c>
    </row>
    <row r="138" ht="75" customHeight="1">
      <c r="A138" s="1">
        <f>HYPERLINK("https://www.cutleryandmore.com/shun-classic/bbq-knife-set-p136861", "https://www.cutleryandmore.com/shun-classic/bbq-knife-set-p136861")</f>
        <v/>
      </c>
      <c r="B138" s="1">
        <f>HYPERLINK("https://www.cutleryandmore.com/shun-classic/bbq-knife-set-p136861", "https://www.cutleryandmore.com/shun-classic/bbq-knife-set-p136861")</f>
        <v/>
      </c>
      <c r="C138" t="inlineStr">
        <is>
          <t>Shun Classic 4 Piece BBQ Knife Set</t>
        </is>
      </c>
      <c r="D138" t="inlineStr">
        <is>
          <t>Shun Cutlery Premier 7-Piece Essential Block Set, Kitchen Knife and Knife Block Set, Includes 8” Chef's Knife, 4” Paring Knife, 6.5” Utility Knife, &amp; More, Handcrafted Japanese Kitchen Knives</t>
        </is>
      </c>
      <c r="E138" s="1">
        <f>HYPERLINK("https://www.amazon.com/Shun-Premier-Essential-7-Piece-Block/dp/B003A7YUGK/ref=sr_1_10?keywords=Shun+Classic+4+Piece+BBQ+Knife+Set&amp;qid=1695763973&amp;sr=8-10", "https://www.amazon.com/Shun-Premier-Essential-7-Piece-Block/dp/B003A7YUGK/ref=sr_1_10?keywords=Shun+Classic+4+Piece+BBQ+Knife+Set&amp;qid=1695763973&amp;sr=8-10")</f>
        <v/>
      </c>
      <c r="F138" t="inlineStr">
        <is>
          <t>B003A7YUGK</t>
        </is>
      </c>
      <c r="G138">
        <f>_xlfn.IMAGE("https://cdn.cutleryandmore.com/assets/product/main/36861.jpg")</f>
        <v/>
      </c>
      <c r="H138">
        <f>_xlfn.IMAGE("https://m.media-amazon.com/images/I/81mSVJUL+tL._AC_UL320_.jpg")</f>
        <v/>
      </c>
      <c r="K138" t="inlineStr">
        <is>
          <t>391.95</t>
        </is>
      </c>
      <c r="L138" t="n">
        <v>739.95</v>
      </c>
      <c r="M138" s="2" t="inlineStr">
        <is>
          <t>88.79%</t>
        </is>
      </c>
      <c r="N138" t="n">
        <v>4.8</v>
      </c>
      <c r="O138" t="n">
        <v>47</v>
      </c>
      <c r="Q138" t="inlineStr">
        <is>
          <t>InStock</t>
        </is>
      </c>
      <c r="R138" t="inlineStr">
        <is>
          <t>489.95</t>
        </is>
      </c>
      <c r="S138" t="inlineStr">
        <is>
          <t>DMS0450</t>
        </is>
      </c>
    </row>
    <row r="139" ht="75" customHeight="1">
      <c r="A139" s="1">
        <f>HYPERLINK("https://www.cutleryandmore.com/shun-classic/chefs-knife-p15286", "https://www.cutleryandmore.com/shun-classic/chefs-knife-p15286")</f>
        <v/>
      </c>
      <c r="B139" s="1">
        <f>HYPERLINK("https://www.cutleryandmore.com/shun-classic/chefs-knife-p15286", "https://www.cutleryandmore.com/shun-classic/chefs-knife-p15286")</f>
        <v/>
      </c>
      <c r="C139" t="inlineStr">
        <is>
          <t>Shun Classic Chef's Knives</t>
        </is>
      </c>
      <c r="D139" t="inlineStr">
        <is>
          <t>Shun Cutlery Classic 3 Piece Starter Set, Includes 8" Chef's, 3.5" Paring, 6" Utility Knife, Handcrafted Japanese Kitchen Knives, 3 sizes</t>
        </is>
      </c>
      <c r="E139" s="1">
        <f>HYPERLINK("https://www.amazon.com/Shun-Multi-Purpose-Essential-Exquisitely-Handcrafted/dp/B000139H82/ref=sr_1_7?keywords=Shun+Classic+Chefs+Knives&amp;qid=1695763897&amp;sr=8-7", "https://www.amazon.com/Shun-Multi-Purpose-Essential-Exquisitely-Handcrafted/dp/B000139H82/ref=sr_1_7?keywords=Shun+Classic+Chefs+Knives&amp;qid=1695763897&amp;sr=8-7")</f>
        <v/>
      </c>
      <c r="F139" t="inlineStr">
        <is>
          <t>B000139H82</t>
        </is>
      </c>
      <c r="G139">
        <f>_xlfn.IMAGE("https://cdn.cutleryandmore.com/assets/product/main/5286.jpg")</f>
        <v/>
      </c>
      <c r="H139">
        <f>_xlfn.IMAGE("https://m.media-amazon.com/images/I/61OyizYVPgL._AC_UL320_.jpg")</f>
        <v/>
      </c>
      <c r="K139" t="inlineStr">
        <is>
          <t>135.95</t>
        </is>
      </c>
      <c r="L139" t="n">
        <v>271.95</v>
      </c>
      <c r="M139" s="2" t="inlineStr">
        <is>
          <t>100.04%</t>
        </is>
      </c>
      <c r="N139" t="n">
        <v>4.6</v>
      </c>
      <c r="O139" t="n">
        <v>294</v>
      </c>
      <c r="Q139" t="inlineStr">
        <is>
          <t>InStock</t>
        </is>
      </c>
      <c r="R139" t="inlineStr">
        <is>
          <t>169.95</t>
        </is>
      </c>
      <c r="S139" t="inlineStr">
        <is>
          <t>DM0706</t>
        </is>
      </c>
    </row>
    <row r="140" ht="75" customHeight="1">
      <c r="A140" s="1">
        <f>HYPERLINK("https://www.cutleryandmore.com/shun-classic/chefs-knife-p15287", "https://www.cutleryandmore.com/shun-classic/chefs-knife-p15287")</f>
        <v/>
      </c>
      <c r="B140" s="1">
        <f>HYPERLINK("https://www.cutleryandmore.com/shun-classic/chefs-knife-p15287", "https://www.cutleryandmore.com/shun-classic/chefs-knife-p15287")</f>
        <v/>
      </c>
      <c r="C140" t="inlineStr">
        <is>
          <t>Shun Classic Chef's Knives</t>
        </is>
      </c>
      <c r="D140" t="inlineStr">
        <is>
          <t>Shun Cutlery Classic 3 Piece Starter Set, Includes 8" Chef's, 3.5" Paring, 6" Utility Knife, Handcrafted Japanese Kitchen Knives, 3 sizes</t>
        </is>
      </c>
      <c r="E140" s="1">
        <f>HYPERLINK("https://www.amazon.com/Shun-Multi-Purpose-Essential-Exquisitely-Handcrafted/dp/B000139H82/ref=sr_1_7?keywords=Shun+Classic+Chefs+Knives&amp;qid=1695763897&amp;sr=8-7", "https://www.amazon.com/Shun-Multi-Purpose-Essential-Exquisitely-Handcrafted/dp/B000139H82/ref=sr_1_7?keywords=Shun+Classic+Chefs+Knives&amp;qid=1695763897&amp;sr=8-7")</f>
        <v/>
      </c>
      <c r="F140" t="inlineStr">
        <is>
          <t>B000139H82</t>
        </is>
      </c>
      <c r="G140">
        <f>_xlfn.IMAGE("https://cdn.cutleryandmore.com/assets/product/main/5287.jpg")</f>
        <v/>
      </c>
      <c r="H140">
        <f>_xlfn.IMAGE("https://m.media-amazon.com/images/I/61OyizYVPgL._AC_UL320_.jpg")</f>
        <v/>
      </c>
      <c r="K140" t="inlineStr">
        <is>
          <t>159.95</t>
        </is>
      </c>
      <c r="L140" t="n">
        <v>271.95</v>
      </c>
      <c r="M140" s="2" t="inlineStr">
        <is>
          <t>70.02%</t>
        </is>
      </c>
      <c r="N140" t="n">
        <v>4.6</v>
      </c>
      <c r="O140" t="n">
        <v>294</v>
      </c>
      <c r="Q140" t="inlineStr">
        <is>
          <t>InStock</t>
        </is>
      </c>
      <c r="R140" t="inlineStr">
        <is>
          <t>199.95</t>
        </is>
      </c>
      <c r="S140" t="inlineStr">
        <is>
          <t>DM0707</t>
        </is>
      </c>
    </row>
    <row r="141" ht="75" customHeight="1">
      <c r="A141" s="1">
        <f>HYPERLINK("https://www.cutleryandmore.com/shun-classic/chefs-knife-p16316", "https://www.cutleryandmore.com/shun-classic/chefs-knife-p16316")</f>
        <v/>
      </c>
      <c r="B141" s="1">
        <f>HYPERLINK("https://www.cutleryandmore.com/shun-classic/chefs-knife-p16316", "https://www.cutleryandmore.com/shun-classic/chefs-knife-p16316")</f>
        <v/>
      </c>
      <c r="C141" t="inlineStr">
        <is>
          <t>Shun Classic Chef's Knives</t>
        </is>
      </c>
      <c r="D141" t="inlineStr">
        <is>
          <t>Shun Cutlery Classic 3 Piece Starter Set, Includes 8" Chef's, 3.5" Paring, 6" Utility Knife, Handcrafted Japanese Kitchen Knives, 3 sizes</t>
        </is>
      </c>
      <c r="E141" s="1">
        <f>HYPERLINK("https://www.amazon.com/Shun-Multi-Purpose-Essential-Exquisitely-Handcrafted/dp/B000139H82/ref=sr_1_7?keywords=Shun+Classic+Chefs+Knives&amp;qid=1695763921&amp;sr=8-7", "https://www.amazon.com/Shun-Multi-Purpose-Essential-Exquisitely-Handcrafted/dp/B000139H82/ref=sr_1_7?keywords=Shun+Classic+Chefs+Knives&amp;qid=1695763921&amp;sr=8-7")</f>
        <v/>
      </c>
      <c r="F141" t="inlineStr">
        <is>
          <t>B000139H82</t>
        </is>
      </c>
      <c r="G141">
        <f>_xlfn.IMAGE("https://cdn.cutleryandmore.com/assets/product/main/6316.jpg")</f>
        <v/>
      </c>
      <c r="H141">
        <f>_xlfn.IMAGE("https://m.media-amazon.com/images/I/61OyizYVPgL._AC_UL320_.jpg")</f>
        <v/>
      </c>
      <c r="K141" t="inlineStr">
        <is>
          <t>119.95</t>
        </is>
      </c>
      <c r="L141" t="n">
        <v>271.95</v>
      </c>
      <c r="M141" s="2" t="inlineStr">
        <is>
          <t>126.72%</t>
        </is>
      </c>
      <c r="N141" t="n">
        <v>4.6</v>
      </c>
      <c r="O141" t="n">
        <v>294</v>
      </c>
      <c r="Q141" t="inlineStr">
        <is>
          <t>InStock</t>
        </is>
      </c>
      <c r="R141" t="inlineStr">
        <is>
          <t>149.95</t>
        </is>
      </c>
      <c r="S141" t="inlineStr">
        <is>
          <t>DM0723</t>
        </is>
      </c>
    </row>
    <row r="142" ht="75" customHeight="1">
      <c r="A142" s="1">
        <f>HYPERLINK("https://www.cutleryandmore.com/shun-classic/combination-sharpening-steel-p131922", "https://www.cutleryandmore.com/shun-classic/combination-sharpening-steel-p131922")</f>
        <v/>
      </c>
      <c r="B142" s="1">
        <f>HYPERLINK("https://www.cutleryandmore.com/shun-classic/combination-sharpening-steel-p131922", "https://www.cutleryandmore.com/shun-classic/combination-sharpening-steel-p131922")</f>
        <v/>
      </c>
      <c r="C142" t="inlineStr">
        <is>
          <t>Shun Classic 9" Combination Honing Steel</t>
        </is>
      </c>
      <c r="D142" t="inlineStr">
        <is>
          <t>Shun Cutlery Classic Bread Knife 9” &amp; Cutlery Classic Combination Honing Steel 9", Gently Corrects Rolled Knife Edges, Smooth &amp; Micro-Ribbed Honing Rod, Built-in Angle Guide</t>
        </is>
      </c>
      <c r="E142" s="1">
        <f>HYPERLINK("https://www.amazon.com/Shun-Cutlery-Combination-Corrects-Micro-Ribbed/dp/B0BS31CKZJ/ref=sr_1_7?keywords=Shun+Classic+9%22+Combination+Honing+Steel&amp;qid=1695763899&amp;sr=8-7", "https://www.amazon.com/Shun-Cutlery-Combination-Corrects-Micro-Ribbed/dp/B0BS31CKZJ/ref=sr_1_7?keywords=Shun+Classic+9%22+Combination+Honing+Steel&amp;qid=1695763899&amp;sr=8-7")</f>
        <v/>
      </c>
      <c r="F142" t="inlineStr">
        <is>
          <t>B0BS31CKZJ</t>
        </is>
      </c>
      <c r="G142">
        <f>_xlfn.IMAGE("https://cdn.cutleryandmore.com/assets/product/main/31922.jpg")</f>
        <v/>
      </c>
      <c r="H142">
        <f>_xlfn.IMAGE("https://m.media-amazon.com/images/I/41v4sm+kpKL._AC_UL320_.jpg")</f>
        <v/>
      </c>
      <c r="K142" t="inlineStr">
        <is>
          <t>39.95</t>
        </is>
      </c>
      <c r="L142" t="n">
        <v>175.9</v>
      </c>
      <c r="M142" s="2" t="inlineStr">
        <is>
          <t>340.30%</t>
        </is>
      </c>
      <c r="N142" t="n">
        <v>5</v>
      </c>
      <c r="O142" t="n">
        <v>1</v>
      </c>
      <c r="Q142" t="inlineStr">
        <is>
          <t>InStock</t>
        </is>
      </c>
      <c r="R142" t="inlineStr">
        <is>
          <t>49.95</t>
        </is>
      </c>
      <c r="S142" t="inlineStr">
        <is>
          <t>DM0790</t>
        </is>
      </c>
    </row>
    <row r="143" ht="75" customHeight="1">
      <c r="A143" s="1">
        <f>HYPERLINK("https://www.cutleryandmore.com/shun-classic/combination-sharpening-steel-p131922", "https://www.cutleryandmore.com/shun-classic/combination-sharpening-steel-p131922")</f>
        <v/>
      </c>
      <c r="B143" s="1">
        <f>HYPERLINK("https://www.cutleryandmore.com/shun-classic/combination-sharpening-steel-p131922", "https://www.cutleryandmore.com/shun-classic/combination-sharpening-steel-p131922")</f>
        <v/>
      </c>
      <c r="C143" t="inlineStr">
        <is>
          <t>Shun Classic 9" Combination Honing Steel</t>
        </is>
      </c>
      <c r="D143" t="inlineStr">
        <is>
          <t>Shun Cutlery Classic Utility Knife 6", Narrow &amp; Cutlery Classic Combination Honing Steel 9", Gently Corrects Rolled Knife Edges, Smooth &amp; Micro-Ribbed Honing Rod, Built-In Angle Guide</t>
        </is>
      </c>
      <c r="E143" s="1">
        <f>HYPERLINK("https://www.amazon.com/Shun-Cutlery-Combination-Corrects-Micro-Ribbed/dp/B0BS2YSHS3/ref=sr_1_9?keywords=Shun+Classic+9%22+Combination+Honing+Steel&amp;qid=1695763899&amp;sr=8-9", "https://www.amazon.com/Shun-Cutlery-Combination-Corrects-Micro-Ribbed/dp/B0BS2YSHS3/ref=sr_1_9?keywords=Shun+Classic+9%22+Combination+Honing+Steel&amp;qid=1695763899&amp;sr=8-9")</f>
        <v/>
      </c>
      <c r="F143" t="inlineStr">
        <is>
          <t>B0BS2YSHS3</t>
        </is>
      </c>
      <c r="G143">
        <f>_xlfn.IMAGE("https://cdn.cutleryandmore.com/assets/product/main/31922.jpg")</f>
        <v/>
      </c>
      <c r="H143">
        <f>_xlfn.IMAGE("https://m.media-amazon.com/images/I/31qHsiXHP-L._AC_UL320_.jpg")</f>
        <v/>
      </c>
      <c r="K143" t="inlineStr">
        <is>
          <t>39.95</t>
        </is>
      </c>
      <c r="L143" t="n">
        <v>131.9</v>
      </c>
      <c r="M143" s="2" t="inlineStr">
        <is>
          <t>230.16%</t>
        </is>
      </c>
      <c r="N143" t="n">
        <v>5</v>
      </c>
      <c r="O143" t="n">
        <v>1</v>
      </c>
      <c r="Q143" t="inlineStr">
        <is>
          <t>InStock</t>
        </is>
      </c>
      <c r="R143" t="inlineStr">
        <is>
          <t>49.95</t>
        </is>
      </c>
      <c r="S143" t="inlineStr">
        <is>
          <t>DM0790</t>
        </is>
      </c>
    </row>
    <row r="144" ht="75" customHeight="1">
      <c r="A144" s="1">
        <f>HYPERLINK("https://www.cutleryandmore.com/shun-classic/combination-sharpening-steel-p131922", "https://www.cutleryandmore.com/shun-classic/combination-sharpening-steel-p131922")</f>
        <v/>
      </c>
      <c r="B144" s="1">
        <f>HYPERLINK("https://www.cutleryandmore.com/shun-classic/combination-sharpening-steel-p131922", "https://www.cutleryandmore.com/shun-classic/combination-sharpening-steel-p131922")</f>
        <v/>
      </c>
      <c r="C144" t="inlineStr">
        <is>
          <t>Shun Classic 9" Combination Honing Steel</t>
        </is>
      </c>
      <c r="D144" t="inlineStr">
        <is>
          <t>Shun Cutlery Classic Bread Knife 9” &amp; Cutlery Classic Combination Honing Steel 9", Gently Corrects Rolled Knife Edges, Smooth &amp; Micro-Ribbed Honing Rod, Built-in Angle Guide</t>
        </is>
      </c>
      <c r="E144" s="1">
        <f>HYPERLINK("https://www.amazon.com/Shun-Cutlery-Combination-Corrects-Micro-Ribbed/dp/B0BS31CKZJ/ref=sr_1_8?keywords=Shun+Classic+9%22+Combination+Honing+Steel&amp;qid=1695763935&amp;sr=8-8", "https://www.amazon.com/Shun-Cutlery-Combination-Corrects-Micro-Ribbed/dp/B0BS31CKZJ/ref=sr_1_8?keywords=Shun+Classic+9%22+Combination+Honing+Steel&amp;qid=1695763935&amp;sr=8-8")</f>
        <v/>
      </c>
      <c r="F144" t="inlineStr">
        <is>
          <t>B0BS31CKZJ</t>
        </is>
      </c>
      <c r="G144">
        <f>_xlfn.IMAGE("https://cdn.cutleryandmore.com/assets/product/main/31922.jpg")</f>
        <v/>
      </c>
      <c r="H144">
        <f>_xlfn.IMAGE("https://m.media-amazon.com/images/I/41v4sm+kpKL._AC_UL320_.jpg")</f>
        <v/>
      </c>
      <c r="K144" t="inlineStr">
        <is>
          <t>39.95</t>
        </is>
      </c>
      <c r="L144" t="n">
        <v>175.9</v>
      </c>
      <c r="M144" s="2" t="inlineStr">
        <is>
          <t>340.30%</t>
        </is>
      </c>
      <c r="N144" t="n">
        <v>5</v>
      </c>
      <c r="O144" t="n">
        <v>1</v>
      </c>
      <c r="Q144" t="inlineStr">
        <is>
          <t>InStock</t>
        </is>
      </c>
      <c r="R144" t="inlineStr">
        <is>
          <t>49.95</t>
        </is>
      </c>
      <c r="S144" t="inlineStr">
        <is>
          <t>DM0790</t>
        </is>
      </c>
    </row>
    <row r="145" ht="75" customHeight="1">
      <c r="A145" s="1">
        <f>HYPERLINK("https://www.cutleryandmore.com/shun-classic/combination-sharpening-steel-p131922", "https://www.cutleryandmore.com/shun-classic/combination-sharpening-steel-p131922")</f>
        <v/>
      </c>
      <c r="B145" s="1">
        <f>HYPERLINK("https://www.cutleryandmore.com/shun-classic/combination-sharpening-steel-p131922", "https://www.cutleryandmore.com/shun-classic/combination-sharpening-steel-p131922")</f>
        <v/>
      </c>
      <c r="C145" t="inlineStr">
        <is>
          <t>Shun Classic 9" Combination Honing Steel</t>
        </is>
      </c>
      <c r="D145" t="inlineStr">
        <is>
          <t>Shun Cutlery Classic Utility Knife 6", Narrow &amp; Cutlery Classic Combination Honing Steel 9", Gently Corrects Rolled Knife Edges, Smooth &amp; Micro-Ribbed Honing Rod, Built-In Angle Guide</t>
        </is>
      </c>
      <c r="E145" s="1">
        <f>HYPERLINK("https://www.amazon.com/Shun-Cutlery-Combination-Corrects-Micro-Ribbed/dp/B0BS2YSHS3/ref=sr_1_9?keywords=Shun+Classic+9%22+Combination+Honing+Steel&amp;qid=1695763935&amp;sr=8-9", "https://www.amazon.com/Shun-Cutlery-Combination-Corrects-Micro-Ribbed/dp/B0BS2YSHS3/ref=sr_1_9?keywords=Shun+Classic+9%22+Combination+Honing+Steel&amp;qid=1695763935&amp;sr=8-9")</f>
        <v/>
      </c>
      <c r="F145" t="inlineStr">
        <is>
          <t>B0BS2YSHS3</t>
        </is>
      </c>
      <c r="G145">
        <f>_xlfn.IMAGE("https://cdn.cutleryandmore.com/assets/product/main/31922.jpg")</f>
        <v/>
      </c>
      <c r="H145">
        <f>_xlfn.IMAGE("https://m.media-amazon.com/images/I/31qHsiXHP-L._AC_UL320_.jpg")</f>
        <v/>
      </c>
      <c r="K145" t="inlineStr">
        <is>
          <t>39.95</t>
        </is>
      </c>
      <c r="L145" t="n">
        <v>131.9</v>
      </c>
      <c r="M145" s="2" t="inlineStr">
        <is>
          <t>230.16%</t>
        </is>
      </c>
      <c r="N145" t="n">
        <v>5</v>
      </c>
      <c r="O145" t="n">
        <v>1</v>
      </c>
      <c r="Q145" t="inlineStr">
        <is>
          <t>InStock</t>
        </is>
      </c>
      <c r="R145" t="inlineStr">
        <is>
          <t>49.95</t>
        </is>
      </c>
      <c r="S145" t="inlineStr">
        <is>
          <t>DM0790</t>
        </is>
      </c>
    </row>
    <row r="146" ht="75" customHeight="1">
      <c r="A146" s="1">
        <f>HYPERLINK("https://www.cutleryandmore.com/shun-classic/gokujo-boning-fillet-knife-p112430", "https://www.cutleryandmore.com/shun-classic/gokujo-boning-fillet-knife-p112430")</f>
        <v/>
      </c>
      <c r="B146" s="1">
        <f>HYPERLINK("https://www.cutleryandmore.com/shun-classic/gokujo-boning-fillet-knife-p112430", "https://www.cutleryandmore.com/shun-classic/gokujo-boning-fillet-knife-p112430")</f>
        <v/>
      </c>
      <c r="C146" t="inlineStr">
        <is>
          <t>Shun Classic 6" Gokujo Boning/Fillet Knife</t>
        </is>
      </c>
      <c r="D146" t="inlineStr">
        <is>
          <t>Shun Cutlery Classic 4 Piece BBQ Knife Set, Kitchen Knife Set with Knife Roll, Includes 4.5" Asian Multi-Prep Knife, 6" Boning/Fillet Knife, and 12" Brisket Knife, Handcrafted Japanese Kitchen Knives</t>
        </is>
      </c>
      <c r="E146" s="1">
        <f>HYPERLINK("https://www.amazon.com/Shun-Cutlery-Multi-Prep-Handcrafted-Japanese/dp/B06WLL5HP6/ref=sr_1_3?keywords=Shun+Classic+6%22+Gokujo+Boning%2FFillet+Knife&amp;qid=1695763896&amp;sr=8-3", "https://www.amazon.com/Shun-Cutlery-Multi-Prep-Handcrafted-Japanese/dp/B06WLL5HP6/ref=sr_1_3?keywords=Shun+Classic+6%22+Gokujo+Boning%2FFillet+Knife&amp;qid=1695763896&amp;sr=8-3")</f>
        <v/>
      </c>
      <c r="F146" t="inlineStr">
        <is>
          <t>B06WLL5HP6</t>
        </is>
      </c>
      <c r="G146">
        <f>_xlfn.IMAGE("https://cdn.cutleryandmore.com/assets/product/main/12430.jpg")</f>
        <v/>
      </c>
      <c r="H146">
        <f>_xlfn.IMAGE("https://m.media-amazon.com/images/I/81qQRL6sw6L._AC_UL320_.jpg")</f>
        <v/>
      </c>
      <c r="K146" t="inlineStr">
        <is>
          <t>111.95</t>
        </is>
      </c>
      <c r="L146" t="n">
        <v>391.95</v>
      </c>
      <c r="M146" s="2" t="inlineStr">
        <is>
          <t>250.11%</t>
        </is>
      </c>
      <c r="N146" t="n">
        <v>4.8</v>
      </c>
      <c r="O146" t="n">
        <v>16</v>
      </c>
      <c r="Q146" t="inlineStr">
        <is>
          <t>InStock</t>
        </is>
      </c>
      <c r="R146" t="inlineStr">
        <is>
          <t>139.95</t>
        </is>
      </c>
      <c r="S146" t="inlineStr">
        <is>
          <t>DM0743</t>
        </is>
      </c>
    </row>
    <row r="147" ht="75" customHeight="1">
      <c r="A147" s="1">
        <f>HYPERLINK("https://www.cutleryandmore.com/shun-classic/gokujo-boning-fillet-knife-p112430", "https://www.cutleryandmore.com/shun-classic/gokujo-boning-fillet-knife-p112430")</f>
        <v/>
      </c>
      <c r="B147" s="1">
        <f>HYPERLINK("https://www.cutleryandmore.com/shun-classic/gokujo-boning-fillet-knife-p112430", "https://www.cutleryandmore.com/shun-classic/gokujo-boning-fillet-knife-p112430")</f>
        <v/>
      </c>
      <c r="C147" t="inlineStr">
        <is>
          <t>Shun Classic 6" Gokujo Boning/Fillet Knife</t>
        </is>
      </c>
      <c r="D147" t="inlineStr">
        <is>
          <t>Shun Cutlery Classic 4 Piece BBQ Knife Set, Kitchen Knife Set with Knife Roll, Includes 4.5" Asian Multi-Prep Knife, 6" Boning/Fillet Knife, and 12" Brisket Knife, Handcrafted Japanese Kitchen Knives</t>
        </is>
      </c>
      <c r="E147" s="1">
        <f>HYPERLINK("https://www.amazon.com/Shun-Cutlery-Multi-Prep-Handcrafted-Japanese/dp/B06WLL5HP6/ref=sr_1_3?keywords=Shun+Classic+6%22+Gokujo+Boning%2FFillet+Knife&amp;qid=1695763923&amp;sr=8-3", "https://www.amazon.com/Shun-Cutlery-Multi-Prep-Handcrafted-Japanese/dp/B06WLL5HP6/ref=sr_1_3?keywords=Shun+Classic+6%22+Gokujo+Boning%2FFillet+Knife&amp;qid=1695763923&amp;sr=8-3")</f>
        <v/>
      </c>
      <c r="F147" t="inlineStr">
        <is>
          <t>B06WLL5HP6</t>
        </is>
      </c>
      <c r="G147">
        <f>_xlfn.IMAGE("https://cdn.cutleryandmore.com/assets/product/main/12430.jpg")</f>
        <v/>
      </c>
      <c r="H147">
        <f>_xlfn.IMAGE("https://m.media-amazon.com/images/I/81qQRL6sw6L._AC_UL320_.jpg")</f>
        <v/>
      </c>
      <c r="K147" t="inlineStr">
        <is>
          <t>111.95</t>
        </is>
      </c>
      <c r="L147" t="n">
        <v>391.95</v>
      </c>
      <c r="M147" s="2" t="inlineStr">
        <is>
          <t>250.11%</t>
        </is>
      </c>
      <c r="N147" t="n">
        <v>4.8</v>
      </c>
      <c r="O147" t="n">
        <v>16</v>
      </c>
      <c r="Q147" t="inlineStr">
        <is>
          <t>InStock</t>
        </is>
      </c>
      <c r="R147" t="inlineStr">
        <is>
          <t>139.95</t>
        </is>
      </c>
      <c r="S147" t="inlineStr">
        <is>
          <t>DM0743</t>
        </is>
      </c>
    </row>
    <row r="148" ht="75" customHeight="1">
      <c r="A148" s="1">
        <f>HYPERLINK("https://www.cutleryandmore.com/shun-classic/hollow-edge-chefs-knife-paring-knife-set-p138344", "https://www.cutleryandmore.com/shun-classic/hollow-edge-chefs-knife-paring-knife-set-p138344")</f>
        <v/>
      </c>
      <c r="B148" s="1">
        <f>HYPERLINK("https://www.cutleryandmore.com/shun-classic/hollow-edge-chefs-knife-paring-knife-set-p138344", "https://www.cutleryandmore.com/shun-classic/hollow-edge-chefs-knife-paring-knife-set-p138344")</f>
        <v/>
      </c>
      <c r="C148" t="inlineStr">
        <is>
          <t>Shun Classic 8" Hollow Edge Chef's Knife &amp; Paring Knife Set</t>
        </is>
      </c>
      <c r="D148" t="inlineStr">
        <is>
          <t>Shun Cutlery Classic 8 Piece Student Knife Set, Kitchen Knife Set with Knife Roll, Includes 8" Chef's Knife, 3.5" Paring Knife, 6" Utility Knife and More, Handmade Japanese Kitchen Knives</t>
        </is>
      </c>
      <c r="E148" s="1">
        <f>HYPERLINK("https://www.amazon.com/Shun-Classic-8-Piece-Student-Aspiring/dp/B007CLOSPI/ref=sr_1_1?keywords=Shun+Classic+8%22+Hollow+Edge+Chef%27s+Knife+%26+Paring+Knife+Set&amp;qid=1695763902&amp;sr=8-1", "https://www.amazon.com/Shun-Classic-8-Piece-Student-Aspiring/dp/B007CLOSPI/ref=sr_1_1?keywords=Shun+Classic+8%22+Hollow+Edge+Chef%27s+Knife+%26+Paring+Knife+Set&amp;qid=1695763902&amp;sr=8-1")</f>
        <v/>
      </c>
      <c r="F148" t="inlineStr">
        <is>
          <t>B007CLOSPI</t>
        </is>
      </c>
      <c r="G148">
        <f>_xlfn.IMAGE("https://cdn.cutleryandmore.com/assets/product/main/38344.jpg")</f>
        <v/>
      </c>
      <c r="H148">
        <f>_xlfn.IMAGE("https://m.media-amazon.com/images/I/71PI8Am3KsL._AC_UL320_.jpg")</f>
        <v/>
      </c>
      <c r="K148" t="inlineStr">
        <is>
          <t>207.95</t>
        </is>
      </c>
      <c r="L148" t="n">
        <v>639.95</v>
      </c>
      <c r="M148" s="2" t="inlineStr">
        <is>
          <t>207.74%</t>
        </is>
      </c>
      <c r="N148" t="n">
        <v>4.5</v>
      </c>
      <c r="O148" t="n">
        <v>102</v>
      </c>
      <c r="Q148" t="inlineStr">
        <is>
          <t>InStock</t>
        </is>
      </c>
      <c r="R148" t="inlineStr">
        <is>
          <t>259.95</t>
        </is>
      </c>
      <c r="S148" t="inlineStr">
        <is>
          <t>DM071900</t>
        </is>
      </c>
    </row>
    <row r="149" ht="75" customHeight="1">
      <c r="A149" s="1">
        <f>HYPERLINK("https://www.cutleryandmore.com/shun-classic/hollow-edge-chefs-knife-paring-knife-set-p138344", "https://www.cutleryandmore.com/shun-classic/hollow-edge-chefs-knife-paring-knife-set-p138344")</f>
        <v/>
      </c>
      <c r="B149" s="1">
        <f>HYPERLINK("https://www.cutleryandmore.com/shun-classic/hollow-edge-chefs-knife-paring-knife-set-p138344", "https://www.cutleryandmore.com/shun-classic/hollow-edge-chefs-knife-paring-knife-set-p138344")</f>
        <v/>
      </c>
      <c r="C149" t="inlineStr">
        <is>
          <t>Shun Classic 8" Hollow Edge Chef's Knife &amp; Paring Knife Set</t>
        </is>
      </c>
      <c r="D149" t="inlineStr">
        <is>
          <t>Shun Cutlery Classic 8 Piece Student Knife Set, Kitchen Knife Set with Knife Roll, Includes 8" Chef's Knife, 3.5" Paring Knife, 6" Utility Knife and More, Handmade Japanese Kitchen Knives</t>
        </is>
      </c>
      <c r="E149" s="1">
        <f>HYPERLINK("https://www.amazon.com/Shun-Classic-8-Piece-Student-Aspiring/dp/B007CLOSPI/ref=sr_1_1?keywords=Shun+Classic+8%22+Hollow+Edge+Chef%27s+Knife+%26+Paring+Knife+Set&amp;qid=1695763985&amp;sr=8-1", "https://www.amazon.com/Shun-Classic-8-Piece-Student-Aspiring/dp/B007CLOSPI/ref=sr_1_1?keywords=Shun+Classic+8%22+Hollow+Edge+Chef%27s+Knife+%26+Paring+Knife+Set&amp;qid=1695763985&amp;sr=8-1")</f>
        <v/>
      </c>
      <c r="F149" t="inlineStr">
        <is>
          <t>B007CLOSPI</t>
        </is>
      </c>
      <c r="G149">
        <f>_xlfn.IMAGE("https://cdn.cutleryandmore.com/assets/product/main/38344.jpg")</f>
        <v/>
      </c>
      <c r="H149">
        <f>_xlfn.IMAGE("https://m.media-amazon.com/images/I/71PI8Am3KsL._AC_UL320_.jpg")</f>
        <v/>
      </c>
      <c r="K149" t="inlineStr">
        <is>
          <t>207.95</t>
        </is>
      </c>
      <c r="L149" t="n">
        <v>639.95</v>
      </c>
      <c r="M149" s="2" t="inlineStr">
        <is>
          <t>207.74%</t>
        </is>
      </c>
      <c r="N149" t="n">
        <v>4.5</v>
      </c>
      <c r="O149" t="n">
        <v>102</v>
      </c>
      <c r="Q149" t="inlineStr">
        <is>
          <t>InStock</t>
        </is>
      </c>
      <c r="R149" t="inlineStr">
        <is>
          <t>259.95</t>
        </is>
      </c>
      <c r="S149" t="inlineStr">
        <is>
          <t>DM071900</t>
        </is>
      </c>
    </row>
    <row r="150" ht="75" customHeight="1">
      <c r="A150" s="1">
        <f>HYPERLINK("https://www.cutleryandmore.com/shun-classic/knife-block-set-p140583", "https://www.cutleryandmore.com/shun-classic/knife-block-set-p140583")</f>
        <v/>
      </c>
      <c r="B150" s="1">
        <f>HYPERLINK("https://www.cutleryandmore.com/shun-classic/knife-block-set-p140583", "https://www.cutleryandmore.com/shun-classic/knife-block-set-p140583")</f>
        <v/>
      </c>
      <c r="C150" t="inlineStr">
        <is>
          <t>Shun Classic 15 Piece Knife Block Set</t>
        </is>
      </c>
      <c r="D150" t="inlineStr">
        <is>
          <t>Shun Premier 15-piece Knife Block Set</t>
        </is>
      </c>
      <c r="E150" s="1">
        <f>HYPERLINK("https://www.amazon.com/Shun-Premier-15-piece-Knife-Block/dp/B081J46HBH/ref=sr_1_5?keywords=Shun+Classic+15+Piece+Knife+Block+Set&amp;qid=1695763904&amp;sr=8-5", "https://www.amazon.com/Shun-Premier-15-piece-Knife-Block/dp/B081J46HBH/ref=sr_1_5?keywords=Shun+Classic+15+Piece+Knife+Block+Set&amp;qid=1695763904&amp;sr=8-5")</f>
        <v/>
      </c>
      <c r="F150" t="inlineStr">
        <is>
          <t>B081J46HBH</t>
        </is>
      </c>
      <c r="G150">
        <f>_xlfn.IMAGE("https://cdn.cutleryandmore.com/assets/product/main/40583.jpg")</f>
        <v/>
      </c>
      <c r="H150">
        <f>_xlfn.IMAGE("https://m.media-amazon.com/images/I/81h-CNY16yL._AC_UL320_.jpg")</f>
        <v/>
      </c>
      <c r="K150" t="inlineStr">
        <is>
          <t>1199.95</t>
        </is>
      </c>
      <c r="L150" t="n">
        <v>1999.95</v>
      </c>
      <c r="M150" s="2" t="inlineStr">
        <is>
          <t>66.67%</t>
        </is>
      </c>
      <c r="N150" t="n">
        <v>4.4</v>
      </c>
      <c r="O150" t="n">
        <v>18</v>
      </c>
      <c r="Q150" t="inlineStr">
        <is>
          <t>InStock</t>
        </is>
      </c>
      <c r="R150" t="inlineStr">
        <is>
          <t>1499.95</t>
        </is>
      </c>
      <c r="S150" t="inlineStr">
        <is>
          <t>DMS1525</t>
        </is>
      </c>
    </row>
    <row r="151" ht="75" customHeight="1">
      <c r="A151" s="1">
        <f>HYPERLINK("https://www.cutleryandmore.com/shun-classic/knife-block-set-p140583", "https://www.cutleryandmore.com/shun-classic/knife-block-set-p140583")</f>
        <v/>
      </c>
      <c r="B151" s="1">
        <f>HYPERLINK("https://www.cutleryandmore.com/shun-classic/knife-block-set-p140583", "https://www.cutleryandmore.com/shun-classic/knife-block-set-p140583")</f>
        <v/>
      </c>
      <c r="C151" t="inlineStr">
        <is>
          <t>Shun Classic 15 Piece Knife Block Set</t>
        </is>
      </c>
      <c r="D151" t="inlineStr">
        <is>
          <t>Shun Premier 15-piece Knife Block Set</t>
        </is>
      </c>
      <c r="E151" s="1">
        <f>HYPERLINK("https://www.amazon.com/Shun-Premier-15-piece-Knife-Block/dp/B081J46HBH/ref=sr_1_5?keywords=Shun+Classic+15+Piece+Knife+Block+Set&amp;qid=1695763953&amp;sr=8-5", "https://www.amazon.com/Shun-Premier-15-piece-Knife-Block/dp/B081J46HBH/ref=sr_1_5?keywords=Shun+Classic+15+Piece+Knife+Block+Set&amp;qid=1695763953&amp;sr=8-5")</f>
        <v/>
      </c>
      <c r="F151" t="inlineStr">
        <is>
          <t>B081J46HBH</t>
        </is>
      </c>
      <c r="G151">
        <f>_xlfn.IMAGE("https://cdn.cutleryandmore.com/assets/product/main/40583.jpg")</f>
        <v/>
      </c>
      <c r="H151">
        <f>_xlfn.IMAGE("https://m.media-amazon.com/images/I/81h-CNY16yL._AC_UL320_.jpg")</f>
        <v/>
      </c>
      <c r="K151" t="inlineStr">
        <is>
          <t>1199.95</t>
        </is>
      </c>
      <c r="L151" t="n">
        <v>1999.95</v>
      </c>
      <c r="M151" s="2" t="inlineStr">
        <is>
          <t>66.67%</t>
        </is>
      </c>
      <c r="N151" t="n">
        <v>4.4</v>
      </c>
      <c r="O151" t="n">
        <v>18</v>
      </c>
      <c r="Q151" t="inlineStr">
        <is>
          <t>InStock</t>
        </is>
      </c>
      <c r="R151" t="inlineStr">
        <is>
          <t>1499.95</t>
        </is>
      </c>
      <c r="S151" t="inlineStr">
        <is>
          <t>DMS1525</t>
        </is>
      </c>
    </row>
    <row r="152" ht="75" customHeight="1">
      <c r="A152" s="1">
        <f>HYPERLINK("https://www.cutleryandmore.com/shun-classic/paring-knife-p15280", "https://www.cutleryandmore.com/shun-classic/paring-knife-p15280")</f>
        <v/>
      </c>
      <c r="B152" s="1">
        <f>HYPERLINK("https://www.cutleryandmore.com/shun-classic/paring-knife-p15280", "https://www.cutleryandmore.com/shun-classic/paring-knife-p15280")</f>
        <v/>
      </c>
      <c r="C152" t="inlineStr">
        <is>
          <t>Shun Classic Paring Knives</t>
        </is>
      </c>
      <c r="D152" t="inlineStr">
        <is>
          <t>Shun Cutlery Classic 3 Piece Starter Set, Includes 8" Chef's, 3.5" Paring, 6" Utility Knife, Handcrafted Japanese Kitchen Knives, 3 sizes</t>
        </is>
      </c>
      <c r="E152" s="1">
        <f>HYPERLINK("https://www.amazon.com/Shun-Multi-Purpose-Essential-Exquisitely-Handcrafted/dp/B000139H82/ref=sr_1_6?keywords=Shun+Classic+Paring+Knives&amp;qid=1695763897&amp;sr=8-6", "https://www.amazon.com/Shun-Multi-Purpose-Essential-Exquisitely-Handcrafted/dp/B000139H82/ref=sr_1_6?keywords=Shun+Classic+Paring+Knives&amp;qid=1695763897&amp;sr=8-6")</f>
        <v/>
      </c>
      <c r="F152" t="inlineStr">
        <is>
          <t>B000139H82</t>
        </is>
      </c>
      <c r="G152">
        <f>_xlfn.IMAGE("https://cdn.cutleryandmore.com/assets/product/main/5280.jpg")</f>
        <v/>
      </c>
      <c r="H152">
        <f>_xlfn.IMAGE("https://m.media-amazon.com/images/I/61OyizYVPgL._AC_UL320_.jpg")</f>
        <v/>
      </c>
      <c r="K152" t="inlineStr">
        <is>
          <t>79.95</t>
        </is>
      </c>
      <c r="L152" t="n">
        <v>271.95</v>
      </c>
      <c r="M152" s="2" t="inlineStr">
        <is>
          <t>240.15%</t>
        </is>
      </c>
      <c r="N152" t="n">
        <v>4.6</v>
      </c>
      <c r="O152" t="n">
        <v>294</v>
      </c>
      <c r="Q152" t="inlineStr">
        <is>
          <t>InStock</t>
        </is>
      </c>
      <c r="R152" t="inlineStr">
        <is>
          <t>99.95</t>
        </is>
      </c>
      <c r="S152" t="inlineStr">
        <is>
          <t>DM0700</t>
        </is>
      </c>
    </row>
    <row r="153" ht="75" customHeight="1">
      <c r="A153" s="1">
        <f>HYPERLINK("https://www.cutleryandmore.com/shun-classic/paring-knife-p15280", "https://www.cutleryandmore.com/shun-classic/paring-knife-p15280")</f>
        <v/>
      </c>
      <c r="B153" s="1">
        <f>HYPERLINK("https://www.cutleryandmore.com/shun-classic/paring-knife-p15280", "https://www.cutleryandmore.com/shun-classic/paring-knife-p15280")</f>
        <v/>
      </c>
      <c r="C153" t="inlineStr">
        <is>
          <t>Shun Classic Paring Knives</t>
        </is>
      </c>
      <c r="D153" t="inlineStr">
        <is>
          <t>Shun Cutlery Classic 2-Piece Starter Set 8, Multi-Purpose Hollow Ground Chef’s 3.5-inch Paring Knife are The Essential Kitchen Duo, Exquisitely Handcrafted Japanese</t>
        </is>
      </c>
      <c r="E153" s="1">
        <f>HYPERLINK("https://www.amazon.com/Shun-Cutlery-Classic-2-Piece-Starter/dp/B07TVT4HFR/ref=sr_1_7?keywords=Shun+Classic+Paring+Knives&amp;qid=1695763897&amp;sr=8-7", "https://www.amazon.com/Shun-Cutlery-Classic-2-Piece-Starter/dp/B07TVT4HFR/ref=sr_1_7?keywords=Shun+Classic+Paring+Knives&amp;qid=1695763897&amp;sr=8-7")</f>
        <v/>
      </c>
      <c r="F153" t="inlineStr">
        <is>
          <t>B07TVT4HFR</t>
        </is>
      </c>
      <c r="G153">
        <f>_xlfn.IMAGE("https://cdn.cutleryandmore.com/assets/product/main/5280.jpg")</f>
        <v/>
      </c>
      <c r="H153">
        <f>_xlfn.IMAGE("https://m.media-amazon.com/images/I/71DUbRaZ5qL._AC_UL320_.jpg")</f>
        <v/>
      </c>
      <c r="K153" t="inlineStr">
        <is>
          <t>79.95</t>
        </is>
      </c>
      <c r="L153" t="n">
        <v>207.95</v>
      </c>
      <c r="M153" s="2" t="inlineStr">
        <is>
          <t>160.10%</t>
        </is>
      </c>
      <c r="N153" t="n">
        <v>4.8</v>
      </c>
      <c r="O153" t="n">
        <v>54</v>
      </c>
      <c r="Q153" t="inlineStr">
        <is>
          <t>InStock</t>
        </is>
      </c>
      <c r="R153" t="inlineStr">
        <is>
          <t>99.95</t>
        </is>
      </c>
      <c r="S153" t="inlineStr">
        <is>
          <t>DM0700</t>
        </is>
      </c>
    </row>
    <row r="154" ht="75" customHeight="1">
      <c r="A154" s="1">
        <f>HYPERLINK("https://www.cutleryandmore.com/shun-classic/paring-knife-p15280", "https://www.cutleryandmore.com/shun-classic/paring-knife-p15280")</f>
        <v/>
      </c>
      <c r="B154" s="1">
        <f>HYPERLINK("https://www.cutleryandmore.com/shun-classic/paring-knife-p15280", "https://www.cutleryandmore.com/shun-classic/paring-knife-p15280")</f>
        <v/>
      </c>
      <c r="C154" t="inlineStr">
        <is>
          <t>Shun Classic Paring Knives</t>
        </is>
      </c>
      <c r="D154" t="inlineStr">
        <is>
          <t>Shun Cutlery Classic 3 Piece Starter Set, Includes 8" Chef's, 3.5" Paring, 6" Utility Knife, Handcrafted Japanese Kitchen Knives, 3 sizes</t>
        </is>
      </c>
      <c r="E154" s="1">
        <f>HYPERLINK("https://www.amazon.com/Shun-Multi-Purpose-Essential-Exquisitely-Handcrafted/dp/B000139H82/ref=sr_1_6?keywords=Shun+Classic+Paring+Knives&amp;qid=1695763935&amp;sr=8-6", "https://www.amazon.com/Shun-Multi-Purpose-Essential-Exquisitely-Handcrafted/dp/B000139H82/ref=sr_1_6?keywords=Shun+Classic+Paring+Knives&amp;qid=1695763935&amp;sr=8-6")</f>
        <v/>
      </c>
      <c r="F154" t="inlineStr">
        <is>
          <t>B000139H82</t>
        </is>
      </c>
      <c r="G154">
        <f>_xlfn.IMAGE("https://cdn.cutleryandmore.com/assets/product/main/5280.jpg")</f>
        <v/>
      </c>
      <c r="H154">
        <f>_xlfn.IMAGE("https://m.media-amazon.com/images/I/61OyizYVPgL._AC_UL320_.jpg")</f>
        <v/>
      </c>
      <c r="K154" t="inlineStr">
        <is>
          <t>79.95</t>
        </is>
      </c>
      <c r="L154" t="n">
        <v>271.95</v>
      </c>
      <c r="M154" s="2" t="inlineStr">
        <is>
          <t>240.15%</t>
        </is>
      </c>
      <c r="N154" t="n">
        <v>4.6</v>
      </c>
      <c r="O154" t="n">
        <v>294</v>
      </c>
      <c r="Q154" t="inlineStr">
        <is>
          <t>InStock</t>
        </is>
      </c>
      <c r="R154" t="inlineStr">
        <is>
          <t>99.95</t>
        </is>
      </c>
      <c r="S154" t="inlineStr">
        <is>
          <t>DM0700</t>
        </is>
      </c>
    </row>
    <row r="155" ht="75" customHeight="1">
      <c r="A155" s="1">
        <f>HYPERLINK("https://www.cutleryandmore.com/shun-classic/paring-knife-p15280", "https://www.cutleryandmore.com/shun-classic/paring-knife-p15280")</f>
        <v/>
      </c>
      <c r="B155" s="1">
        <f>HYPERLINK("https://www.cutleryandmore.com/shun-classic/paring-knife-p15280", "https://www.cutleryandmore.com/shun-classic/paring-knife-p15280")</f>
        <v/>
      </c>
      <c r="C155" t="inlineStr">
        <is>
          <t>Shun Classic Paring Knives</t>
        </is>
      </c>
      <c r="D155" t="inlineStr">
        <is>
          <t>Shun Cutlery Classic 2-Piece Starter Set 8, Multi-Purpose Hollow Ground Chef’s 3.5-inch Paring Knife are The Essential Kitchen Duo, Exquisitely Handcrafted Japanese</t>
        </is>
      </c>
      <c r="E155" s="1">
        <f>HYPERLINK("https://www.amazon.com/Shun-Cutlery-Classic-2-Piece-Starter/dp/B07TVT4HFR/ref=sr_1_8?keywords=Shun+Classic+Paring+Knives&amp;qid=1695763935&amp;sr=8-8", "https://www.amazon.com/Shun-Cutlery-Classic-2-Piece-Starter/dp/B07TVT4HFR/ref=sr_1_8?keywords=Shun+Classic+Paring+Knives&amp;qid=1695763935&amp;sr=8-8")</f>
        <v/>
      </c>
      <c r="F155" t="inlineStr">
        <is>
          <t>B07TVT4HFR</t>
        </is>
      </c>
      <c r="G155">
        <f>_xlfn.IMAGE("https://cdn.cutleryandmore.com/assets/product/main/5280.jpg")</f>
        <v/>
      </c>
      <c r="H155">
        <f>_xlfn.IMAGE("https://m.media-amazon.com/images/I/71DUbRaZ5qL._AC_UL320_.jpg")</f>
        <v/>
      </c>
      <c r="K155" t="inlineStr">
        <is>
          <t>79.95</t>
        </is>
      </c>
      <c r="L155" t="n">
        <v>207.95</v>
      </c>
      <c r="M155" s="2" t="inlineStr">
        <is>
          <t>160.10%</t>
        </is>
      </c>
      <c r="N155" t="n">
        <v>4.8</v>
      </c>
      <c r="O155" t="n">
        <v>54</v>
      </c>
      <c r="Q155" t="inlineStr">
        <is>
          <t>InStock</t>
        </is>
      </c>
      <c r="R155" t="inlineStr">
        <is>
          <t>99.95</t>
        </is>
      </c>
      <c r="S155" t="inlineStr">
        <is>
          <t>DM0700</t>
        </is>
      </c>
    </row>
    <row r="156" ht="75" customHeight="1">
      <c r="A156" s="1">
        <f>HYPERLINK("https://www.cutleryandmore.com/shun-classic/paring-knife-p15912", "https://www.cutleryandmore.com/shun-classic/paring-knife-p15912")</f>
        <v/>
      </c>
      <c r="B156" s="1">
        <f>HYPERLINK("https://www.cutleryandmore.com/shun-classic/paring-knife-p15912", "https://www.cutleryandmore.com/shun-classic/paring-knife-p15912")</f>
        <v/>
      </c>
      <c r="C156" t="inlineStr">
        <is>
          <t>Shun Classic Paring Knives</t>
        </is>
      </c>
      <c r="D156" t="inlineStr">
        <is>
          <t>Shun Cutlery Classic 3 Piece Starter Set, Includes 8" Chef's, 3.5" Paring, 6" Utility Knife, Handcrafted Japanese Kitchen Knives, 3 sizes</t>
        </is>
      </c>
      <c r="E156" s="1">
        <f>HYPERLINK("https://www.amazon.com/Shun-Multi-Purpose-Essential-Exquisitely-Handcrafted/dp/B000139H82/ref=sr_1_6?keywords=Shun+Classic+Paring+Knives&amp;qid=1695763897&amp;sr=8-6", "https://www.amazon.com/Shun-Multi-Purpose-Essential-Exquisitely-Handcrafted/dp/B000139H82/ref=sr_1_6?keywords=Shun+Classic+Paring+Knives&amp;qid=1695763897&amp;sr=8-6")</f>
        <v/>
      </c>
      <c r="F156" t="inlineStr">
        <is>
          <t>B000139H82</t>
        </is>
      </c>
      <c r="G156">
        <f>_xlfn.IMAGE("https://cdn.cutleryandmore.com/assets/product/main/5912.jpg")</f>
        <v/>
      </c>
      <c r="H156">
        <f>_xlfn.IMAGE("https://m.media-amazon.com/images/I/61OyizYVPgL._AC_UL320_.jpg")</f>
        <v/>
      </c>
      <c r="K156" t="inlineStr">
        <is>
          <t>87.95</t>
        </is>
      </c>
      <c r="L156" t="n">
        <v>271.95</v>
      </c>
      <c r="M156" s="2" t="inlineStr">
        <is>
          <t>209.21%</t>
        </is>
      </c>
      <c r="N156" t="n">
        <v>4.6</v>
      </c>
      <c r="O156" t="n">
        <v>294</v>
      </c>
      <c r="Q156" t="inlineStr">
        <is>
          <t>InStock</t>
        </is>
      </c>
      <c r="R156" t="inlineStr">
        <is>
          <t>109.95</t>
        </is>
      </c>
      <c r="S156" t="inlineStr">
        <is>
          <t>DM0716</t>
        </is>
      </c>
    </row>
    <row r="157" ht="75" customHeight="1">
      <c r="A157" s="1">
        <f>HYPERLINK("https://www.cutleryandmore.com/shun-classic/paring-knife-p15912", "https://www.cutleryandmore.com/shun-classic/paring-knife-p15912")</f>
        <v/>
      </c>
      <c r="B157" s="1">
        <f>HYPERLINK("https://www.cutleryandmore.com/shun-classic/paring-knife-p15912", "https://www.cutleryandmore.com/shun-classic/paring-knife-p15912")</f>
        <v/>
      </c>
      <c r="C157" t="inlineStr">
        <is>
          <t>Shun Classic Paring Knives</t>
        </is>
      </c>
      <c r="D157" t="inlineStr">
        <is>
          <t>Shun Cutlery Classic 2-Piece Starter Set 8, Multi-Purpose Hollow Ground Chef’s 3.5-inch Paring Knife are The Essential Kitchen Duo, Exquisitely Handcrafted Japanese</t>
        </is>
      </c>
      <c r="E157" s="1">
        <f>HYPERLINK("https://www.amazon.com/Shun-Cutlery-Classic-2-Piece-Starter/dp/B07TVT4HFR/ref=sr_1_7?keywords=Shun+Classic+Paring+Knives&amp;qid=1695763897&amp;sr=8-7", "https://www.amazon.com/Shun-Cutlery-Classic-2-Piece-Starter/dp/B07TVT4HFR/ref=sr_1_7?keywords=Shun+Classic+Paring+Knives&amp;qid=1695763897&amp;sr=8-7")</f>
        <v/>
      </c>
      <c r="F157" t="inlineStr">
        <is>
          <t>B07TVT4HFR</t>
        </is>
      </c>
      <c r="G157">
        <f>_xlfn.IMAGE("https://cdn.cutleryandmore.com/assets/product/main/5912.jpg")</f>
        <v/>
      </c>
      <c r="H157">
        <f>_xlfn.IMAGE("https://m.media-amazon.com/images/I/71DUbRaZ5qL._AC_UL320_.jpg")</f>
        <v/>
      </c>
      <c r="K157" t="inlineStr">
        <is>
          <t>87.95</t>
        </is>
      </c>
      <c r="L157" t="n">
        <v>207.95</v>
      </c>
      <c r="M157" s="2" t="inlineStr">
        <is>
          <t>136.44%</t>
        </is>
      </c>
      <c r="N157" t="n">
        <v>4.8</v>
      </c>
      <c r="O157" t="n">
        <v>54</v>
      </c>
      <c r="Q157" t="inlineStr">
        <is>
          <t>InStock</t>
        </is>
      </c>
      <c r="R157" t="inlineStr">
        <is>
          <t>109.95</t>
        </is>
      </c>
      <c r="S157" t="inlineStr">
        <is>
          <t>DM0716</t>
        </is>
      </c>
    </row>
    <row r="158" ht="75" customHeight="1">
      <c r="A158" s="1">
        <f>HYPERLINK("https://www.cutleryandmore.com/shun-classic/paring-knife-p15912", "https://www.cutleryandmore.com/shun-classic/paring-knife-p15912")</f>
        <v/>
      </c>
      <c r="B158" s="1">
        <f>HYPERLINK("https://www.cutleryandmore.com/shun-classic/paring-knife-p15912", "https://www.cutleryandmore.com/shun-classic/paring-knife-p15912")</f>
        <v/>
      </c>
      <c r="C158" t="inlineStr">
        <is>
          <t>Shun Classic Paring Knives</t>
        </is>
      </c>
      <c r="D158" t="inlineStr">
        <is>
          <t>Shun Cutlery Classic 3 Piece Starter Set, Includes 8" Chef's, 3.5" Paring, 6" Utility Knife, Handcrafted Japanese Kitchen Knives, 3 sizes</t>
        </is>
      </c>
      <c r="E158" s="1">
        <f>HYPERLINK("https://www.amazon.com/Shun-Multi-Purpose-Essential-Exquisitely-Handcrafted/dp/B000139H82/ref=sr_1_6?keywords=Shun+Classic+Paring+Knives&amp;qid=1695763930&amp;sr=8-6", "https://www.amazon.com/Shun-Multi-Purpose-Essential-Exquisitely-Handcrafted/dp/B000139H82/ref=sr_1_6?keywords=Shun+Classic+Paring+Knives&amp;qid=1695763930&amp;sr=8-6")</f>
        <v/>
      </c>
      <c r="F158" t="inlineStr">
        <is>
          <t>B000139H82</t>
        </is>
      </c>
      <c r="G158">
        <f>_xlfn.IMAGE("https://cdn.cutleryandmore.com/assets/product/main/5912.jpg")</f>
        <v/>
      </c>
      <c r="H158">
        <f>_xlfn.IMAGE("https://m.media-amazon.com/images/I/61OyizYVPgL._AC_UL320_.jpg")</f>
        <v/>
      </c>
      <c r="K158" t="inlineStr">
        <is>
          <t>87.95</t>
        </is>
      </c>
      <c r="L158" t="n">
        <v>271.95</v>
      </c>
      <c r="M158" s="2" t="inlineStr">
        <is>
          <t>209.21%</t>
        </is>
      </c>
      <c r="N158" t="n">
        <v>4.6</v>
      </c>
      <c r="O158" t="n">
        <v>294</v>
      </c>
      <c r="Q158" t="inlineStr">
        <is>
          <t>InStock</t>
        </is>
      </c>
      <c r="R158" t="inlineStr">
        <is>
          <t>109.95</t>
        </is>
      </c>
      <c r="S158" t="inlineStr">
        <is>
          <t>DM0716</t>
        </is>
      </c>
    </row>
    <row r="159" ht="75" customHeight="1">
      <c r="A159" s="1">
        <f>HYPERLINK("https://www.cutleryandmore.com/shun-classic/paring-knife-p15912", "https://www.cutleryandmore.com/shun-classic/paring-knife-p15912")</f>
        <v/>
      </c>
      <c r="B159" s="1">
        <f>HYPERLINK("https://www.cutleryandmore.com/shun-classic/paring-knife-p15912", "https://www.cutleryandmore.com/shun-classic/paring-knife-p15912")</f>
        <v/>
      </c>
      <c r="C159" t="inlineStr">
        <is>
          <t>Shun Classic Paring Knives</t>
        </is>
      </c>
      <c r="D159" t="inlineStr">
        <is>
          <t>Shun Cutlery Classic 2-Piece Starter Set 8, Multi-Purpose Hollow Ground Chef’s 3.5-inch Paring Knife are The Essential Kitchen Duo, Exquisitely Handcrafted Japanese</t>
        </is>
      </c>
      <c r="E159" s="1">
        <f>HYPERLINK("https://www.amazon.com/Shun-Cutlery-Classic-2-Piece-Starter/dp/B07TVT4HFR/ref=sr_1_8?keywords=Shun+Classic+Paring+Knives&amp;qid=1695763930&amp;sr=8-8", "https://www.amazon.com/Shun-Cutlery-Classic-2-Piece-Starter/dp/B07TVT4HFR/ref=sr_1_8?keywords=Shun+Classic+Paring+Knives&amp;qid=1695763930&amp;sr=8-8")</f>
        <v/>
      </c>
      <c r="F159" t="inlineStr">
        <is>
          <t>B07TVT4HFR</t>
        </is>
      </c>
      <c r="G159">
        <f>_xlfn.IMAGE("https://cdn.cutleryandmore.com/assets/product/main/5912.jpg")</f>
        <v/>
      </c>
      <c r="H159">
        <f>_xlfn.IMAGE("https://m.media-amazon.com/images/I/71DUbRaZ5qL._AC_UL320_.jpg")</f>
        <v/>
      </c>
      <c r="K159" t="inlineStr">
        <is>
          <t>87.95</t>
        </is>
      </c>
      <c r="L159" t="n">
        <v>207.95</v>
      </c>
      <c r="M159" s="2" t="inlineStr">
        <is>
          <t>136.44%</t>
        </is>
      </c>
      <c r="N159" t="n">
        <v>4.8</v>
      </c>
      <c r="O159" t="n">
        <v>54</v>
      </c>
      <c r="Q159" t="inlineStr">
        <is>
          <t>InStock</t>
        </is>
      </c>
      <c r="R159" t="inlineStr">
        <is>
          <t>109.95</t>
        </is>
      </c>
      <c r="S159" t="inlineStr">
        <is>
          <t>DM0716</t>
        </is>
      </c>
    </row>
    <row r="160" ht="75" customHeight="1">
      <c r="A160" s="1">
        <f>HYPERLINK("https://www.cutleryandmore.com/shun-classic/slim-knife-block-set-p135683", "https://www.cutleryandmore.com/shun-classic/slim-knife-block-set-p135683")</f>
        <v/>
      </c>
      <c r="B160" s="1">
        <f>HYPERLINK("https://www.cutleryandmore.com/shun-classic/slim-knife-block-set-p135683", "https://www.cutleryandmore.com/shun-classic/slim-knife-block-set-p135683")</f>
        <v/>
      </c>
      <c r="C160" t="inlineStr">
        <is>
          <t>Shun Classic 6 Piece Slim Knife Block Set</t>
        </is>
      </c>
      <c r="D160" t="inlineStr">
        <is>
          <t>Shun Classic 10-piece Knife Block Set</t>
        </is>
      </c>
      <c r="E160" s="1">
        <f>HYPERLINK("https://www.amazon.com/Shun-Classic-10-piece-Knife-Block/dp/B01M1O6GOX/ref=sr_1_5?keywords=Shun+Classic+6+Piece+Slim+Knife+Block+Set&amp;qid=1695763896&amp;sr=8-5", "https://www.amazon.com/Shun-Classic-10-piece-Knife-Block/dp/B01M1O6GOX/ref=sr_1_5?keywords=Shun+Classic+6+Piece+Slim+Knife+Block+Set&amp;qid=1695763896&amp;sr=8-5")</f>
        <v/>
      </c>
      <c r="F160" t="inlineStr">
        <is>
          <t>B01M1O6GOX</t>
        </is>
      </c>
      <c r="G160">
        <f>_xlfn.IMAGE("https://cdn.cutleryandmore.com/assets/product/main/35683.jpg")</f>
        <v/>
      </c>
      <c r="H160">
        <f>_xlfn.IMAGE("https://m.media-amazon.com/images/I/81nz9Ir5tzL._AC_UL320_.jpg")</f>
        <v/>
      </c>
      <c r="K160" t="inlineStr">
        <is>
          <t>383.95</t>
        </is>
      </c>
      <c r="L160" t="n">
        <v>799.95</v>
      </c>
      <c r="M160" s="2" t="inlineStr">
        <is>
          <t>108.35%</t>
        </is>
      </c>
      <c r="N160" t="n">
        <v>4.6</v>
      </c>
      <c r="O160" t="n">
        <v>87</v>
      </c>
      <c r="Q160" t="inlineStr">
        <is>
          <t>InStock</t>
        </is>
      </c>
      <c r="R160" t="inlineStr">
        <is>
          <t>479.95</t>
        </is>
      </c>
      <c r="S160" t="inlineStr">
        <is>
          <t>DMS0620</t>
        </is>
      </c>
    </row>
    <row r="161" ht="75" customHeight="1">
      <c r="A161" s="1">
        <f>HYPERLINK("https://www.cutleryandmore.com/shun-classic/slim-knife-block-set-p135683", "https://www.cutleryandmore.com/shun-classic/slim-knife-block-set-p135683")</f>
        <v/>
      </c>
      <c r="B161" s="1">
        <f>HYPERLINK("https://www.cutleryandmore.com/shun-classic/slim-knife-block-set-p135683", "https://www.cutleryandmore.com/shun-classic/slim-knife-block-set-p135683")</f>
        <v/>
      </c>
      <c r="C161" t="inlineStr">
        <is>
          <t>Shun Classic 6 Piece Slim Knife Block Set</t>
        </is>
      </c>
      <c r="D161" t="inlineStr">
        <is>
          <t>Shun Cutlery Classic 9-Piece Chef's Choice Block Set, Kitchen Knife and Knife Block Set, Includes 7 Shun Classic Handcrafted Japanese Kitchen Knives + Honing Steel</t>
        </is>
      </c>
      <c r="E161" s="1">
        <f>HYPERLINK("https://www.amazon.com/Shun-DMS0934-Classic-Block-Cutlery/dp/B07PWTJZMB/ref=sr_1_6?keywords=Shun+Classic+6+Piece+Slim+Knife+Block+Set&amp;qid=1695763896&amp;sr=8-6", "https://www.amazon.com/Shun-DMS0934-Classic-Block-Cutlery/dp/B07PWTJZMB/ref=sr_1_6?keywords=Shun+Classic+6+Piece+Slim+Knife+Block+Set&amp;qid=1695763896&amp;sr=8-6")</f>
        <v/>
      </c>
      <c r="F161" t="inlineStr">
        <is>
          <t>B07PWTJZMB</t>
        </is>
      </c>
      <c r="G161">
        <f>_xlfn.IMAGE("https://cdn.cutleryandmore.com/assets/product/main/35683.jpg")</f>
        <v/>
      </c>
      <c r="H161">
        <f>_xlfn.IMAGE("https://m.media-amazon.com/images/I/81x0sAX3CrL._AC_UL320_.jpg")</f>
        <v/>
      </c>
      <c r="K161" t="inlineStr">
        <is>
          <t>383.95</t>
        </is>
      </c>
      <c r="L161" t="n">
        <v>783.95</v>
      </c>
      <c r="M161" s="2" t="inlineStr">
        <is>
          <t>104.18%</t>
        </is>
      </c>
      <c r="N161" t="n">
        <v>5</v>
      </c>
      <c r="O161" t="n">
        <v>6</v>
      </c>
      <c r="Q161" t="inlineStr">
        <is>
          <t>InStock</t>
        </is>
      </c>
      <c r="R161" t="inlineStr">
        <is>
          <t>479.95</t>
        </is>
      </c>
      <c r="S161" t="inlineStr">
        <is>
          <t>DMS0620</t>
        </is>
      </c>
    </row>
    <row r="162" ht="75" customHeight="1">
      <c r="A162" s="1">
        <f>HYPERLINK("https://www.cutleryandmore.com/shun-classic/slim-knife-block-set-p135683", "https://www.cutleryandmore.com/shun-classic/slim-knife-block-set-p135683")</f>
        <v/>
      </c>
      <c r="B162" s="1">
        <f>HYPERLINK("https://www.cutleryandmore.com/shun-classic/slim-knife-block-set-p135683", "https://www.cutleryandmore.com/shun-classic/slim-knife-block-set-p135683")</f>
        <v/>
      </c>
      <c r="C162" t="inlineStr">
        <is>
          <t>Shun Classic 6 Piece Slim Knife Block Set</t>
        </is>
      </c>
      <c r="D162" t="inlineStr">
        <is>
          <t>Shun Cutlery Classic 8 Piece Student Knife Set, Kitchen Knife Set with Knife Roll, Includes 8" Chef's Knife, 3.5" Paring Knife, 6" Utility Knife and More, Handmade Japanese Kitchen Knives</t>
        </is>
      </c>
      <c r="E162" s="1">
        <f>HYPERLINK("https://www.amazon.com/Shun-Classic-8-Piece-Student-Aspiring/dp/B007CLOSPI/ref=sr_1_9?keywords=Shun+Classic+6+Piece+Slim+Knife+Block+Set&amp;qid=1695763896&amp;sr=8-9", "https://www.amazon.com/Shun-Classic-8-Piece-Student-Aspiring/dp/B007CLOSPI/ref=sr_1_9?keywords=Shun+Classic+6+Piece+Slim+Knife+Block+Set&amp;qid=1695763896&amp;sr=8-9")</f>
        <v/>
      </c>
      <c r="F162" t="inlineStr">
        <is>
          <t>B007CLOSPI</t>
        </is>
      </c>
      <c r="G162">
        <f>_xlfn.IMAGE("https://cdn.cutleryandmore.com/assets/product/main/35683.jpg")</f>
        <v/>
      </c>
      <c r="H162">
        <f>_xlfn.IMAGE("https://m.media-amazon.com/images/I/71PI8Am3KsL._AC_UL320_.jpg")</f>
        <v/>
      </c>
      <c r="K162" t="inlineStr">
        <is>
          <t>383.95</t>
        </is>
      </c>
      <c r="L162" t="n">
        <v>639.95</v>
      </c>
      <c r="M162" s="2" t="inlineStr">
        <is>
          <t>66.68%</t>
        </is>
      </c>
      <c r="N162" t="n">
        <v>4.5</v>
      </c>
      <c r="O162" t="n">
        <v>102</v>
      </c>
      <c r="Q162" t="inlineStr">
        <is>
          <t>InStock</t>
        </is>
      </c>
      <c r="R162" t="inlineStr">
        <is>
          <t>479.95</t>
        </is>
      </c>
      <c r="S162" t="inlineStr">
        <is>
          <t>DMS0620</t>
        </is>
      </c>
    </row>
    <row r="163" ht="75" customHeight="1">
      <c r="A163" s="1">
        <f>HYPERLINK("https://www.cutleryandmore.com/shun-classic/slim-knife-block-set-p135683", "https://www.cutleryandmore.com/shun-classic/slim-knife-block-set-p135683")</f>
        <v/>
      </c>
      <c r="B163" s="1">
        <f>HYPERLINK("https://www.cutleryandmore.com/shun-classic/slim-knife-block-set-p135683", "https://www.cutleryandmore.com/shun-classic/slim-knife-block-set-p135683")</f>
        <v/>
      </c>
      <c r="C163" t="inlineStr">
        <is>
          <t>Shun Classic 6 Piece Slim Knife Block Set</t>
        </is>
      </c>
      <c r="D163" t="inlineStr">
        <is>
          <t>Shun Classic 10-piece Knife Block Set</t>
        </is>
      </c>
      <c r="E163" s="1" t="n"/>
      <c r="F163" t="inlineStr">
        <is>
          <t>B01M1O6GOX</t>
        </is>
      </c>
      <c r="G163">
        <f>_xlfn.IMAGE("https://cdn.cutleryandmore.com/assets/product/main/35683.jpg")</f>
        <v/>
      </c>
      <c r="H163">
        <f>_xlfn.IMAGE("https://m.media-amazon.com/images/I/81nz9Ir5tzL._AC_UL320_.jpg")</f>
        <v/>
      </c>
      <c r="K163" t="inlineStr">
        <is>
          <t>383.95</t>
        </is>
      </c>
      <c r="L163" t="n">
        <v>799.95</v>
      </c>
      <c r="M163" s="2" t="inlineStr">
        <is>
          <t>108.35%</t>
        </is>
      </c>
      <c r="N163" t="n">
        <v>4.6</v>
      </c>
      <c r="O163" t="n">
        <v>87</v>
      </c>
      <c r="Q163" t="inlineStr">
        <is>
          <t>InStock</t>
        </is>
      </c>
      <c r="R163" t="inlineStr">
        <is>
          <t>479.95</t>
        </is>
      </c>
      <c r="S163" t="inlineStr">
        <is>
          <t>DMS0620</t>
        </is>
      </c>
    </row>
    <row r="164" ht="75" customHeight="1">
      <c r="A164" s="1">
        <f>HYPERLINK("https://www.cutleryandmore.com/shun-classic/slim-knife-block-set-p135683", "https://www.cutleryandmore.com/shun-classic/slim-knife-block-set-p135683")</f>
        <v/>
      </c>
      <c r="B164" s="1">
        <f>HYPERLINK("https://www.cutleryandmore.com/shun-classic/slim-knife-block-set-p135683", "https://www.cutleryandmore.com/shun-classic/slim-knife-block-set-p135683")</f>
        <v/>
      </c>
      <c r="C164" t="inlineStr">
        <is>
          <t>Shun Classic 6 Piece Slim Knife Block Set</t>
        </is>
      </c>
      <c r="D164" t="inlineStr">
        <is>
          <t>Shun Classic 10-piece Knife Block Set</t>
        </is>
      </c>
      <c r="E164" s="1">
        <f>HYPERLINK("https://www.amazon.com/Shun-Classic-10-piece-Knife-Block/dp/B01M1O6GOX/ref=sr_1_9?keywords=Shun+Classic+6+Piece+Slim+Knife+Block+Set&amp;qid=1695763922&amp;sr=8-9", "https://www.amazon.com/Shun-Classic-10-piece-Knife-Block/dp/B01M1O6GOX/ref=sr_1_9?keywords=Shun+Classic+6+Piece+Slim+Knife+Block+Set&amp;qid=1695763922&amp;sr=8-9")</f>
        <v/>
      </c>
      <c r="F164" t="inlineStr">
        <is>
          <t>B01M1O6GOX</t>
        </is>
      </c>
      <c r="G164">
        <f>_xlfn.IMAGE("https://cdn.cutleryandmore.com/assets/product/main/35683.jpg")</f>
        <v/>
      </c>
      <c r="H164">
        <f>_xlfn.IMAGE("https://m.media-amazon.com/images/I/81nz9Ir5tzL._AC_UL320_.jpg")</f>
        <v/>
      </c>
      <c r="K164" t="inlineStr">
        <is>
          <t>383.95</t>
        </is>
      </c>
      <c r="L164" t="n">
        <v>799.95</v>
      </c>
      <c r="M164" s="2" t="inlineStr">
        <is>
          <t>108.35%</t>
        </is>
      </c>
      <c r="N164" t="n">
        <v>4.6</v>
      </c>
      <c r="O164" t="n">
        <v>87</v>
      </c>
      <c r="Q164" t="inlineStr">
        <is>
          <t>InStock</t>
        </is>
      </c>
      <c r="R164" t="inlineStr">
        <is>
          <t>479.95</t>
        </is>
      </c>
      <c r="S164" t="inlineStr">
        <is>
          <t>DMS0620</t>
        </is>
      </c>
    </row>
    <row r="165" ht="75" customHeight="1">
      <c r="A165" s="1">
        <f>HYPERLINK("https://www.cutleryandmore.com/shun-classic/slim-knife-block-set-p135683", "https://www.cutleryandmore.com/shun-classic/slim-knife-block-set-p135683")</f>
        <v/>
      </c>
      <c r="B165" s="1">
        <f>HYPERLINK("https://www.cutleryandmore.com/shun-classic/slim-knife-block-set-p135683", "https://www.cutleryandmore.com/shun-classic/slim-knife-block-set-p135683")</f>
        <v/>
      </c>
      <c r="C165" t="inlineStr">
        <is>
          <t>Shun Classic 6 Piece Slim Knife Block Set</t>
        </is>
      </c>
      <c r="D165" t="inlineStr">
        <is>
          <t>Shun Cutlery Classic 9-Piece Chef's Choice Block Set, Kitchen Knife and Knife Block Set, Includes 7 Shun Classic Handcrafted Japanese Kitchen Knives + Honing Steel</t>
        </is>
      </c>
      <c r="E165" s="1">
        <f>HYPERLINK("https://www.amazon.com/Shun-DMS0934-Classic-Block-Cutlery/dp/B07PWTJZMB/ref=sr_1_10?keywords=Shun+Classic+6+Piece+Slim+Knife+Block+Set&amp;qid=1695763922&amp;sr=8-10", "https://www.amazon.com/Shun-DMS0934-Classic-Block-Cutlery/dp/B07PWTJZMB/ref=sr_1_10?keywords=Shun+Classic+6+Piece+Slim+Knife+Block+Set&amp;qid=1695763922&amp;sr=8-10")</f>
        <v/>
      </c>
      <c r="F165" t="inlineStr">
        <is>
          <t>B07PWTJZMB</t>
        </is>
      </c>
      <c r="G165">
        <f>_xlfn.IMAGE("https://cdn.cutleryandmore.com/assets/product/main/35683.jpg")</f>
        <v/>
      </c>
      <c r="H165">
        <f>_xlfn.IMAGE("https://m.media-amazon.com/images/I/81x0sAX3CrL._AC_UL320_.jpg")</f>
        <v/>
      </c>
      <c r="K165" t="inlineStr">
        <is>
          <t>383.95</t>
        </is>
      </c>
      <c r="L165" t="n">
        <v>783.95</v>
      </c>
      <c r="M165" s="2" t="inlineStr">
        <is>
          <t>104.18%</t>
        </is>
      </c>
      <c r="N165" t="n">
        <v>5</v>
      </c>
      <c r="O165" t="n">
        <v>6</v>
      </c>
      <c r="Q165" t="inlineStr">
        <is>
          <t>InStock</t>
        </is>
      </c>
      <c r="R165" t="inlineStr">
        <is>
          <t>479.95</t>
        </is>
      </c>
      <c r="S165" t="inlineStr">
        <is>
          <t>DMS0620</t>
        </is>
      </c>
    </row>
    <row r="166" ht="75" customHeight="1">
      <c r="A166" s="1">
        <f>HYPERLINK("https://www.cutleryandmore.com/shun-classic/slimline-knife-block-set-p139408", "https://www.cutleryandmore.com/shun-classic/slimline-knife-block-set-p139408")</f>
        <v/>
      </c>
      <c r="B166" s="1">
        <f>HYPERLINK("https://www.cutleryandmore.com/shun-classic/slimline-knife-block-set-p139408", "https://www.cutleryandmore.com/shun-classic/slimline-knife-block-set-p139408")</f>
        <v/>
      </c>
      <c r="C166" t="inlineStr">
        <is>
          <t>Shun Classic 5 Piece Slimline Knife Block Set</t>
        </is>
      </c>
      <c r="D166" t="inlineStr">
        <is>
          <t>Shun Cutlery Premier 8-Piece Professional Block Set, Kitchen Knife and Knife Block Set, Includes 8” Chef's Knife, 4” Paring Knife, 6.5” Utility Knife, &amp; More, Handcrafted Japanese Kitchen Knives</t>
        </is>
      </c>
      <c r="E166" s="1">
        <f>HYPERLINK("https://www.amazon.com/Shun-Premier-Knife-Cutlery-TDMS0808/dp/B07PY122C1/ref=sr_1_10?keywords=Shun+Classic+5+Piece+Slimline+Knife+Block+Set&amp;qid=1695763905&amp;sr=8-10", "https://www.amazon.com/Shun-Premier-Knife-Cutlery-TDMS0808/dp/B07PY122C1/ref=sr_1_10?keywords=Shun+Classic+5+Piece+Slimline+Knife+Block+Set&amp;qid=1695763905&amp;sr=8-10")</f>
        <v/>
      </c>
      <c r="F166" t="inlineStr">
        <is>
          <t>B07PY122C1</t>
        </is>
      </c>
      <c r="G166">
        <f>_xlfn.IMAGE("https://cdn.cutleryandmore.com/assets/product/main/39408.jpg")</f>
        <v/>
      </c>
      <c r="H166">
        <f>_xlfn.IMAGE("https://m.media-amazon.com/images/I/81QLZaKPvlL._AC_UL320_.jpg")</f>
        <v/>
      </c>
      <c r="K166" t="inlineStr">
        <is>
          <t>319.95</t>
        </is>
      </c>
      <c r="L166" t="n">
        <v>999.95</v>
      </c>
      <c r="M166" s="2" t="inlineStr">
        <is>
          <t>212.53%</t>
        </is>
      </c>
      <c r="N166" t="n">
        <v>4.5</v>
      </c>
      <c r="O166" t="n">
        <v>30</v>
      </c>
      <c r="Q166" t="inlineStr">
        <is>
          <t>InStock</t>
        </is>
      </c>
      <c r="R166" t="inlineStr">
        <is>
          <t>399.95</t>
        </is>
      </c>
      <c r="S166" t="inlineStr">
        <is>
          <t>DMS0530</t>
        </is>
      </c>
    </row>
    <row r="167" ht="75" customHeight="1">
      <c r="A167" s="1">
        <f>HYPERLINK("https://www.cutleryandmore.com/shun-classic/slimline-knife-block-set-p139408", "https://www.cutleryandmore.com/shun-classic/slimline-knife-block-set-p139408")</f>
        <v/>
      </c>
      <c r="B167" s="1">
        <f>HYPERLINK("https://www.cutleryandmore.com/shun-classic/slimline-knife-block-set-p139408", "https://www.cutleryandmore.com/shun-classic/slimline-knife-block-set-p139408")</f>
        <v/>
      </c>
      <c r="C167" t="inlineStr">
        <is>
          <t>Shun Classic 5 Piece Slimline Knife Block Set</t>
        </is>
      </c>
      <c r="D167" t="inlineStr">
        <is>
          <t>Shun Classic 10-piece Knife Block Set</t>
        </is>
      </c>
      <c r="E167" s="1">
        <f>HYPERLINK("https://www.amazon.com/Shun-Classic-10-piece-Knife-Block/dp/B01M1O6GOX/ref=sr_1_4?keywords=Shun+Classic+5+Piece+Slimline+Knife+Block+Set&amp;qid=1695763905&amp;sr=8-4", "https://www.amazon.com/Shun-Classic-10-piece-Knife-Block/dp/B01M1O6GOX/ref=sr_1_4?keywords=Shun+Classic+5+Piece+Slimline+Knife+Block+Set&amp;qid=1695763905&amp;sr=8-4")</f>
        <v/>
      </c>
      <c r="F167" t="inlineStr">
        <is>
          <t>B01M1O6GOX</t>
        </is>
      </c>
      <c r="G167">
        <f>_xlfn.IMAGE("https://cdn.cutleryandmore.com/assets/product/main/39408.jpg")</f>
        <v/>
      </c>
      <c r="H167">
        <f>_xlfn.IMAGE("https://m.media-amazon.com/images/I/81nz9Ir5tzL._AC_UL320_.jpg")</f>
        <v/>
      </c>
      <c r="K167" t="inlineStr">
        <is>
          <t>319.95</t>
        </is>
      </c>
      <c r="L167" t="n">
        <v>799.95</v>
      </c>
      <c r="M167" s="2" t="inlineStr">
        <is>
          <t>150.02%</t>
        </is>
      </c>
      <c r="N167" t="n">
        <v>4.6</v>
      </c>
      <c r="O167" t="n">
        <v>87</v>
      </c>
      <c r="Q167" t="inlineStr">
        <is>
          <t>InStock</t>
        </is>
      </c>
      <c r="R167" t="inlineStr">
        <is>
          <t>399.95</t>
        </is>
      </c>
      <c r="S167" t="inlineStr">
        <is>
          <t>DMS0530</t>
        </is>
      </c>
    </row>
    <row r="168" ht="75" customHeight="1">
      <c r="A168" s="1">
        <f>HYPERLINK("https://www.cutleryandmore.com/shun-classic/slimline-knife-block-set-p139408", "https://www.cutleryandmore.com/shun-classic/slimline-knife-block-set-p139408")</f>
        <v/>
      </c>
      <c r="B168" s="1">
        <f>HYPERLINK("https://www.cutleryandmore.com/shun-classic/slimline-knife-block-set-p139408", "https://www.cutleryandmore.com/shun-classic/slimline-knife-block-set-p139408")</f>
        <v/>
      </c>
      <c r="C168" t="inlineStr">
        <is>
          <t>Shun Classic 5 Piece Slimline Knife Block Set</t>
        </is>
      </c>
      <c r="D168" t="inlineStr">
        <is>
          <t>Shun Cutlery Classic 9-Piece Chef's Choice Block Set, Kitchen Knife and Knife Block Set, Includes 7 Shun Classic Handcrafted Japanese Kitchen Knives + Honing Steel</t>
        </is>
      </c>
      <c r="E168" s="1">
        <f>HYPERLINK("https://www.amazon.com/Shun-DMS0934-Classic-Block-Cutlery/dp/B07PWTJZMB/ref=sr_1_9?keywords=Shun+Classic+5+Piece+Slimline+Knife+Block+Set&amp;qid=1695763905&amp;sr=8-9", "https://www.amazon.com/Shun-DMS0934-Classic-Block-Cutlery/dp/B07PWTJZMB/ref=sr_1_9?keywords=Shun+Classic+5+Piece+Slimline+Knife+Block+Set&amp;qid=1695763905&amp;sr=8-9")</f>
        <v/>
      </c>
      <c r="F168" t="inlineStr">
        <is>
          <t>B07PWTJZMB</t>
        </is>
      </c>
      <c r="G168">
        <f>_xlfn.IMAGE("https://cdn.cutleryandmore.com/assets/product/main/39408.jpg")</f>
        <v/>
      </c>
      <c r="H168">
        <f>_xlfn.IMAGE("https://m.media-amazon.com/images/I/81x0sAX3CrL._AC_UL320_.jpg")</f>
        <v/>
      </c>
      <c r="K168" t="inlineStr">
        <is>
          <t>319.95</t>
        </is>
      </c>
      <c r="L168" t="n">
        <v>783.95</v>
      </c>
      <c r="M168" s="2" t="inlineStr">
        <is>
          <t>145.02%</t>
        </is>
      </c>
      <c r="N168" t="n">
        <v>5</v>
      </c>
      <c r="O168" t="n">
        <v>6</v>
      </c>
      <c r="Q168" t="inlineStr">
        <is>
          <t>InStock</t>
        </is>
      </c>
      <c r="R168" t="inlineStr">
        <is>
          <t>399.95</t>
        </is>
      </c>
      <c r="S168" t="inlineStr">
        <is>
          <t>DMS0530</t>
        </is>
      </c>
    </row>
    <row r="169" ht="75" customHeight="1">
      <c r="A169" s="1">
        <f>HYPERLINK("https://www.cutleryandmore.com/shun-classic/slimline-knife-block-set-p139408", "https://www.cutleryandmore.com/shun-classic/slimline-knife-block-set-p139408")</f>
        <v/>
      </c>
      <c r="B169" s="1">
        <f>HYPERLINK("https://www.cutleryandmore.com/shun-classic/slimline-knife-block-set-p139408", "https://www.cutleryandmore.com/shun-classic/slimline-knife-block-set-p139408")</f>
        <v/>
      </c>
      <c r="C169" t="inlineStr">
        <is>
          <t>Shun Classic 5 Piece Slimline Knife Block Set</t>
        </is>
      </c>
      <c r="D169" t="inlineStr">
        <is>
          <t>Shun Cutlery Premier 8-Piece Professional Block Set, Kitchen Knife and Knife Block Set, Includes 8” Chef's Knife, 4” Paring Knife, 6.5” Utility Knife, &amp; More, Handcrafted Japanese Kitchen Knives</t>
        </is>
      </c>
      <c r="E169" s="1">
        <f>HYPERLINK("https://www.amazon.com/Shun-Premier-Knife-Cutlery-TDMS0808/dp/B07PY122C1/ref=sr_1_10?keywords=Shun+Classic+5+Piece+Slimline+Knife+Block+Set&amp;qid=1695763966&amp;sr=8-10", "https://www.amazon.com/Shun-Premier-Knife-Cutlery-TDMS0808/dp/B07PY122C1/ref=sr_1_10?keywords=Shun+Classic+5+Piece+Slimline+Knife+Block+Set&amp;qid=1695763966&amp;sr=8-10")</f>
        <v/>
      </c>
      <c r="F169" t="inlineStr">
        <is>
          <t>B07PY122C1</t>
        </is>
      </c>
      <c r="G169">
        <f>_xlfn.IMAGE("https://cdn.cutleryandmore.com/assets/product/main/39408.jpg")</f>
        <v/>
      </c>
      <c r="H169">
        <f>_xlfn.IMAGE("https://m.media-amazon.com/images/I/81QLZaKPvlL._AC_UL320_.jpg")</f>
        <v/>
      </c>
      <c r="K169" t="inlineStr">
        <is>
          <t>319.95</t>
        </is>
      </c>
      <c r="L169" t="n">
        <v>999.95</v>
      </c>
      <c r="M169" s="2" t="inlineStr">
        <is>
          <t>212.53%</t>
        </is>
      </c>
      <c r="N169" t="n">
        <v>4.5</v>
      </c>
      <c r="O169" t="n">
        <v>30</v>
      </c>
      <c r="Q169" t="inlineStr">
        <is>
          <t>InStock</t>
        </is>
      </c>
      <c r="R169" t="inlineStr">
        <is>
          <t>399.95</t>
        </is>
      </c>
      <c r="S169" t="inlineStr">
        <is>
          <t>DMS0530</t>
        </is>
      </c>
    </row>
    <row r="170" ht="75" customHeight="1">
      <c r="A170" s="1">
        <f>HYPERLINK("https://www.cutleryandmore.com/shun-classic/slimline-knife-block-set-p139408", "https://www.cutleryandmore.com/shun-classic/slimline-knife-block-set-p139408")</f>
        <v/>
      </c>
      <c r="B170" s="1">
        <f>HYPERLINK("https://www.cutleryandmore.com/shun-classic/slimline-knife-block-set-p139408", "https://www.cutleryandmore.com/shun-classic/slimline-knife-block-set-p139408")</f>
        <v/>
      </c>
      <c r="C170" t="inlineStr">
        <is>
          <t>Shun Classic 5 Piece Slimline Knife Block Set</t>
        </is>
      </c>
      <c r="D170" t="inlineStr">
        <is>
          <t>Shun Classic 10-piece Knife Block Set</t>
        </is>
      </c>
      <c r="E170" s="1">
        <f>HYPERLINK("https://www.amazon.com/Shun-Classic-10-piece-Knife-Block/dp/B01M1O6GOX/ref=sr_1_4?keywords=Shun+Classic+5+Piece+Slimline+Knife+Block+Set&amp;qid=1695763966&amp;sr=8-4", "https://www.amazon.com/Shun-Classic-10-piece-Knife-Block/dp/B01M1O6GOX/ref=sr_1_4?keywords=Shun+Classic+5+Piece+Slimline+Knife+Block+Set&amp;qid=1695763966&amp;sr=8-4")</f>
        <v/>
      </c>
      <c r="F170" t="inlineStr">
        <is>
          <t>B01M1O6GOX</t>
        </is>
      </c>
      <c r="G170">
        <f>_xlfn.IMAGE("https://cdn.cutleryandmore.com/assets/product/main/39408.jpg")</f>
        <v/>
      </c>
      <c r="H170">
        <f>_xlfn.IMAGE("https://m.media-amazon.com/images/I/81nz9Ir5tzL._AC_UL320_.jpg")</f>
        <v/>
      </c>
      <c r="K170" t="inlineStr">
        <is>
          <t>319.95</t>
        </is>
      </c>
      <c r="L170" t="n">
        <v>799.95</v>
      </c>
      <c r="M170" s="2" t="inlineStr">
        <is>
          <t>150.02%</t>
        </is>
      </c>
      <c r="N170" t="n">
        <v>4.6</v>
      </c>
      <c r="O170" t="n">
        <v>87</v>
      </c>
      <c r="Q170" t="inlineStr">
        <is>
          <t>InStock</t>
        </is>
      </c>
      <c r="R170" t="inlineStr">
        <is>
          <t>399.95</t>
        </is>
      </c>
      <c r="S170" t="inlineStr">
        <is>
          <t>DMS0530</t>
        </is>
      </c>
    </row>
    <row r="171" ht="75" customHeight="1">
      <c r="A171" s="1">
        <f>HYPERLINK("https://www.cutleryandmore.com/shun-classic/slimline-knife-block-set-p139408", "https://www.cutleryandmore.com/shun-classic/slimline-knife-block-set-p139408")</f>
        <v/>
      </c>
      <c r="B171" s="1">
        <f>HYPERLINK("https://www.cutleryandmore.com/shun-classic/slimline-knife-block-set-p139408", "https://www.cutleryandmore.com/shun-classic/slimline-knife-block-set-p139408")</f>
        <v/>
      </c>
      <c r="C171" t="inlineStr">
        <is>
          <t>Shun Classic 5 Piece Slimline Knife Block Set</t>
        </is>
      </c>
      <c r="D171" t="inlineStr">
        <is>
          <t>Shun Cutlery Classic 9-Piece Chef's Choice Block Set, Kitchen Knife and Knife Block Set, Includes 7 Shun Classic Handcrafted Japanese Kitchen Knives + Honing Steel</t>
        </is>
      </c>
      <c r="E171" s="1">
        <f>HYPERLINK("https://www.amazon.com/Shun-DMS0934-Classic-Block-Cutlery/dp/B07PWTJZMB/ref=sr_1_9?keywords=Shun+Classic+5+Piece+Slimline+Knife+Block+Set&amp;qid=1695763966&amp;sr=8-9", "https://www.amazon.com/Shun-DMS0934-Classic-Block-Cutlery/dp/B07PWTJZMB/ref=sr_1_9?keywords=Shun+Classic+5+Piece+Slimline+Knife+Block+Set&amp;qid=1695763966&amp;sr=8-9")</f>
        <v/>
      </c>
      <c r="F171" t="inlineStr">
        <is>
          <t>B07PWTJZMB</t>
        </is>
      </c>
      <c r="G171">
        <f>_xlfn.IMAGE("https://cdn.cutleryandmore.com/assets/product/main/39408.jpg")</f>
        <v/>
      </c>
      <c r="H171">
        <f>_xlfn.IMAGE("https://m.media-amazon.com/images/I/81x0sAX3CrL._AC_UL320_.jpg")</f>
        <v/>
      </c>
      <c r="K171" t="inlineStr">
        <is>
          <t>319.95</t>
        </is>
      </c>
      <c r="L171" t="n">
        <v>783.95</v>
      </c>
      <c r="M171" s="2" t="inlineStr">
        <is>
          <t>145.02%</t>
        </is>
      </c>
      <c r="N171" t="n">
        <v>5</v>
      </c>
      <c r="O171" t="n">
        <v>6</v>
      </c>
      <c r="Q171" t="inlineStr">
        <is>
          <t>InStock</t>
        </is>
      </c>
      <c r="R171" t="inlineStr">
        <is>
          <t>399.95</t>
        </is>
      </c>
      <c r="S171" t="inlineStr">
        <is>
          <t>DMS0530</t>
        </is>
      </c>
    </row>
    <row r="172" ht="75" customHeight="1">
      <c r="A172" s="1">
        <f>HYPERLINK("https://www.cutleryandmore.com/shun-classic/starter-knife-set-p15900", "https://www.cutleryandmore.com/shun-classic/starter-knife-set-p15900")</f>
        <v/>
      </c>
      <c r="B172" s="1">
        <f>HYPERLINK("https://www.cutleryandmore.com/shun-classic/starter-knife-set-p15900", "https://www.cutleryandmore.com/shun-classic/starter-knife-set-p15900")</f>
        <v/>
      </c>
      <c r="C172" t="inlineStr">
        <is>
          <t>Shun Classic 3 Piece Knife Set</t>
        </is>
      </c>
      <c r="D172" t="inlineStr">
        <is>
          <t>Shun Cutlery 7-Piece Essential Knife Block Set, Includes Classic 8” Chef, 6” Utility, 9” Bread &amp; 3.5” Paring Herb Shears, Handcrafted Japanese Kitchen Knives, Black</t>
        </is>
      </c>
      <c r="E172" s="1">
        <f>HYPERLINK("https://www.amazon.com/Shun-Cutlery-Essential-3-5-inch-Combination/dp/B00022YJKS/ref=sr_1_6?keywords=Shun+Classic+3+Piece+Knife+Set&amp;qid=1695763897&amp;sr=8-6", "https://www.amazon.com/Shun-Cutlery-Essential-3-5-inch-Combination/dp/B00022YJKS/ref=sr_1_6?keywords=Shun+Classic+3+Piece+Knife+Set&amp;qid=1695763897&amp;sr=8-6")</f>
        <v/>
      </c>
      <c r="F172" t="inlineStr">
        <is>
          <t>B00022YJKS</t>
        </is>
      </c>
      <c r="G172">
        <f>_xlfn.IMAGE("https://cdn.cutleryandmore.com/assets/product/main/5900.jpg")</f>
        <v/>
      </c>
      <c r="H172">
        <f>_xlfn.IMAGE("https://m.media-amazon.com/images/I/81YxCjCReML._AC_UL320_.jpg")</f>
        <v/>
      </c>
      <c r="K172" t="inlineStr">
        <is>
          <t>271.95</t>
        </is>
      </c>
      <c r="L172" t="n">
        <v>491.95</v>
      </c>
      <c r="M172" s="2" t="inlineStr">
        <is>
          <t>80.90%</t>
        </is>
      </c>
      <c r="N172" t="n">
        <v>4.5</v>
      </c>
      <c r="O172" t="n">
        <v>66</v>
      </c>
      <c r="Q172" t="inlineStr">
        <is>
          <t>InStock</t>
        </is>
      </c>
      <c r="R172" t="inlineStr">
        <is>
          <t>339.95</t>
        </is>
      </c>
      <c r="S172" t="inlineStr">
        <is>
          <t>DMS300</t>
        </is>
      </c>
    </row>
    <row r="173" ht="75" customHeight="1">
      <c r="A173" s="1">
        <f>HYPERLINK("https://www.cutleryandmore.com/shun-classic/starter-knife-set-p15900", "https://www.cutleryandmore.com/shun-classic/starter-knife-set-p15900")</f>
        <v/>
      </c>
      <c r="B173" s="1">
        <f>HYPERLINK("https://www.cutleryandmore.com/shun-classic/starter-knife-set-p15900", "https://www.cutleryandmore.com/shun-classic/starter-knife-set-p15900")</f>
        <v/>
      </c>
      <c r="C173" t="inlineStr">
        <is>
          <t>Shun Classic 3 Piece Knife Set</t>
        </is>
      </c>
      <c r="D173" t="inlineStr">
        <is>
          <t>Shun Cutlery 7-Piece Essential Knife Block Set, Includes Classic 8” Chef, 6” Utility, 9” Bread &amp; 3.5” Paring Herb Shears, Handcrafted Japanese Kitchen Knives, Black</t>
        </is>
      </c>
      <c r="E173" s="1">
        <f>HYPERLINK("https://www.amazon.com/Shun-Cutlery-Essential-3-5-inch-Combination/dp/B00022YJKS/ref=sr_1_9?keywords=Shun+Classic+3+Piece+Knife+Set&amp;qid=1695763945&amp;sr=8-9", "https://www.amazon.com/Shun-Cutlery-Essential-3-5-inch-Combination/dp/B00022YJKS/ref=sr_1_9?keywords=Shun+Classic+3+Piece+Knife+Set&amp;qid=1695763945&amp;sr=8-9")</f>
        <v/>
      </c>
      <c r="F173" t="inlineStr">
        <is>
          <t>B00022YJKS</t>
        </is>
      </c>
      <c r="G173">
        <f>_xlfn.IMAGE("https://cdn.cutleryandmore.com/assets/product/main/5900.jpg")</f>
        <v/>
      </c>
      <c r="H173">
        <f>_xlfn.IMAGE("https://m.media-amazon.com/images/I/81YxCjCReML._AC_UL320_.jpg")</f>
        <v/>
      </c>
      <c r="K173" t="inlineStr">
        <is>
          <t>271.95</t>
        </is>
      </c>
      <c r="L173" t="n">
        <v>491.95</v>
      </c>
      <c r="M173" s="2" t="inlineStr">
        <is>
          <t>80.90%</t>
        </is>
      </c>
      <c r="N173" t="n">
        <v>4.5</v>
      </c>
      <c r="O173" t="n">
        <v>66</v>
      </c>
      <c r="Q173" t="inlineStr">
        <is>
          <t>InStock</t>
        </is>
      </c>
      <c r="R173" t="inlineStr">
        <is>
          <t>339.95</t>
        </is>
      </c>
      <c r="S173" t="inlineStr">
        <is>
          <t>DMS300</t>
        </is>
      </c>
    </row>
    <row r="174" ht="75" customHeight="1">
      <c r="A174" s="1">
        <f>HYPERLINK("https://www.cutleryandmore.com/shun-classic/steak-knife-set-p15898", "https://www.cutleryandmore.com/shun-classic/steak-knife-set-p15898")</f>
        <v/>
      </c>
      <c r="B174" s="1">
        <f>HYPERLINK("https://www.cutleryandmore.com/shun-classic/steak-knife-set-p15898", "https://www.cutleryandmore.com/shun-classic/steak-knife-set-p15898")</f>
        <v/>
      </c>
      <c r="C174" t="inlineStr">
        <is>
          <t>Shun Classic 4 Piece Steak Knife Set</t>
        </is>
      </c>
      <c r="D174" t="inlineStr">
        <is>
          <t>Shun Premier 6-Piece Steak Knife Set with Sidecar Block, Handcrafted Japanese Cutlery, Steel</t>
        </is>
      </c>
      <c r="E174" s="1">
        <f>HYPERLINK("https://www.amazon.com/Shun-Premier-6-Piece-Handcrafted-Japanese/dp/B07ZPDDKRM/ref=sr_1_5?keywords=Shun+Classic+4+Piece+Steak+Knife+Set&amp;qid=1695763901&amp;sr=8-5", "https://www.amazon.com/Shun-Premier-6-Piece-Handcrafted-Japanese/dp/B07ZPDDKRM/ref=sr_1_5?keywords=Shun+Classic+4+Piece+Steak+Knife+Set&amp;qid=1695763901&amp;sr=8-5")</f>
        <v/>
      </c>
      <c r="F174" t="inlineStr">
        <is>
          <t>B07ZPDDKRM</t>
        </is>
      </c>
      <c r="G174">
        <f>_xlfn.IMAGE("https://cdn.cutleryandmore.com/assets/product/main/5898.jpg")</f>
        <v/>
      </c>
      <c r="H174">
        <f>_xlfn.IMAGE("https://m.media-amazon.com/images/I/718Nr5QJFHL._AC_UL320_.jpg")</f>
        <v/>
      </c>
      <c r="K174" t="inlineStr">
        <is>
          <t>279.95</t>
        </is>
      </c>
      <c r="L174" t="n">
        <v>559.95</v>
      </c>
      <c r="M174" s="2" t="inlineStr">
        <is>
          <t>100.02%</t>
        </is>
      </c>
      <c r="N174" t="n">
        <v>4.5</v>
      </c>
      <c r="O174" t="n">
        <v>26</v>
      </c>
      <c r="Q174" t="inlineStr">
        <is>
          <t>InStock</t>
        </is>
      </c>
      <c r="R174" t="inlineStr">
        <is>
          <t>349.95</t>
        </is>
      </c>
      <c r="S174" t="inlineStr">
        <is>
          <t>DMS400</t>
        </is>
      </c>
    </row>
    <row r="175" ht="75" customHeight="1">
      <c r="A175" s="1">
        <f>HYPERLINK("https://www.cutleryandmore.com/shun-classic/steak-knife-set-p15898", "https://www.cutleryandmore.com/shun-classic/steak-knife-set-p15898")</f>
        <v/>
      </c>
      <c r="B175" s="1">
        <f>HYPERLINK("https://www.cutleryandmore.com/shun-classic/steak-knife-set-p15898", "https://www.cutleryandmore.com/shun-classic/steak-knife-set-p15898")</f>
        <v/>
      </c>
      <c r="C175" t="inlineStr">
        <is>
          <t>Shun Classic 4 Piece Steak Knife Set</t>
        </is>
      </c>
      <c r="D175" t="inlineStr">
        <is>
          <t>Shun Kanso 6 Piece Steak Knife Set with Bamboo Storage Box</t>
        </is>
      </c>
      <c r="E175" s="1">
        <f>HYPERLINK("https://www.amazon.com/Shun-Kanso-Piece-Bamboo-Storage/dp/B08B9LJ8JZ/ref=sr_1_3?keywords=Shun+Classic+4+Piece+Steak+Knife+Set&amp;qid=1695763901&amp;sr=8-3", "https://www.amazon.com/Shun-Kanso-Piece-Bamboo-Storage/dp/B08B9LJ8JZ/ref=sr_1_3?keywords=Shun+Classic+4+Piece+Steak+Knife+Set&amp;qid=1695763901&amp;sr=8-3")</f>
        <v/>
      </c>
      <c r="F175" t="inlineStr">
        <is>
          <t>B08B9LJ8JZ</t>
        </is>
      </c>
      <c r="G175">
        <f>_xlfn.IMAGE("https://cdn.cutleryandmore.com/assets/product/main/5898.jpg")</f>
        <v/>
      </c>
      <c r="H175">
        <f>_xlfn.IMAGE("https://m.media-amazon.com/images/I/41jahYFpfIL._AC_UL320_.jpg")</f>
        <v/>
      </c>
      <c r="K175" t="inlineStr">
        <is>
          <t>279.95</t>
        </is>
      </c>
      <c r="L175" t="n">
        <v>489.95</v>
      </c>
      <c r="M175" s="2" t="inlineStr">
        <is>
          <t>75.01%</t>
        </is>
      </c>
      <c r="N175" t="n">
        <v>5</v>
      </c>
      <c r="O175" t="n">
        <v>3</v>
      </c>
      <c r="Q175" t="inlineStr">
        <is>
          <t>InStock</t>
        </is>
      </c>
      <c r="R175" t="inlineStr">
        <is>
          <t>349.95</t>
        </is>
      </c>
      <c r="S175" t="inlineStr">
        <is>
          <t>DMS400</t>
        </is>
      </c>
    </row>
    <row r="176" ht="75" customHeight="1">
      <c r="A176" s="1">
        <f>HYPERLINK("https://www.cutleryandmore.com/shun-classic/steak-knife-set-p15898", "https://www.cutleryandmore.com/shun-classic/steak-knife-set-p15898")</f>
        <v/>
      </c>
      <c r="B176" s="1">
        <f>HYPERLINK("https://www.cutleryandmore.com/shun-classic/steak-knife-set-p15898", "https://www.cutleryandmore.com/shun-classic/steak-knife-set-p15898")</f>
        <v/>
      </c>
      <c r="C176" t="inlineStr">
        <is>
          <t>Shun Classic 4 Piece Steak Knife Set</t>
        </is>
      </c>
      <c r="D176" t="inlineStr">
        <is>
          <t>Shun Kanso 6-Piece Steak Knife Set with Sidecar Block, Handcrafted Japanese Cutlery, Steel</t>
        </is>
      </c>
      <c r="E176" s="1">
        <f>HYPERLINK("https://www.amazon.com/Shun-6-Piece-Sidecar-Handcrafted-Japanese/dp/B07ZPGFTQL/ref=sr_1_7?keywords=Shun+Classic+4+Piece+Steak+Knife+Set&amp;qid=1695763901&amp;sr=8-7", "https://www.amazon.com/Shun-6-Piece-Sidecar-Handcrafted-Japanese/dp/B07ZPGFTQL/ref=sr_1_7?keywords=Shun+Classic+4+Piece+Steak+Knife+Set&amp;qid=1695763901&amp;sr=8-7")</f>
        <v/>
      </c>
      <c r="F176" t="inlineStr">
        <is>
          <t>B07ZPGFTQL</t>
        </is>
      </c>
      <c r="G176">
        <f>_xlfn.IMAGE("https://cdn.cutleryandmore.com/assets/product/main/5898.jpg")</f>
        <v/>
      </c>
      <c r="H176">
        <f>_xlfn.IMAGE("https://m.media-amazon.com/images/I/61XvXahSr1L._AC_UL320_.jpg")</f>
        <v/>
      </c>
      <c r="K176" t="inlineStr">
        <is>
          <t>279.95</t>
        </is>
      </c>
      <c r="L176" t="n">
        <v>489.95</v>
      </c>
      <c r="M176" s="2" t="inlineStr">
        <is>
          <t>75.01%</t>
        </is>
      </c>
      <c r="N176" t="n">
        <v>4</v>
      </c>
      <c r="O176" t="n">
        <v>13</v>
      </c>
      <c r="Q176" t="inlineStr">
        <is>
          <t>InStock</t>
        </is>
      </c>
      <c r="R176" t="inlineStr">
        <is>
          <t>349.95</t>
        </is>
      </c>
      <c r="S176" t="inlineStr">
        <is>
          <t>DMS400</t>
        </is>
      </c>
    </row>
    <row r="177" ht="75" customHeight="1">
      <c r="A177" s="1">
        <f>HYPERLINK("https://www.cutleryandmore.com/shun-classic/steak-knife-set-p15898", "https://www.cutleryandmore.com/shun-classic/steak-knife-set-p15898")</f>
        <v/>
      </c>
      <c r="B177" s="1">
        <f>HYPERLINK("https://www.cutleryandmore.com/shun-classic/steak-knife-set-p15898", "https://www.cutleryandmore.com/shun-classic/steak-knife-set-p15898")</f>
        <v/>
      </c>
      <c r="C177" t="inlineStr">
        <is>
          <t>Shun Classic 4 Piece Steak Knife Set</t>
        </is>
      </c>
      <c r="D177" t="inlineStr">
        <is>
          <t>Shun TDMS0400 Premier 4-Piece Steak Knife Set, Silver, Small</t>
        </is>
      </c>
      <c r="E177" s="1">
        <f>HYPERLINK("https://www.amazon.com/Shun-TDMS0400-Premier-4-Piece-Steak/dp/B004M3XAPS/ref=sr_1_10?keywords=Shun+Classic+4+Piece+Steak+Knife+Set&amp;qid=1695763901&amp;sr=8-10", "https://www.amazon.com/Shun-TDMS0400-Premier-4-Piece-Steak/dp/B004M3XAPS/ref=sr_1_10?keywords=Shun+Classic+4+Piece+Steak+Knife+Set&amp;qid=1695763901&amp;sr=8-10")</f>
        <v/>
      </c>
      <c r="F177" t="inlineStr">
        <is>
          <t>B004M3XAPS</t>
        </is>
      </c>
      <c r="G177">
        <f>_xlfn.IMAGE("https://cdn.cutleryandmore.com/assets/product/main/5898.jpg")</f>
        <v/>
      </c>
      <c r="H177">
        <f>_xlfn.IMAGE("https://m.media-amazon.com/images/I/81e-GexmrwL._AC_UL320_.jpg")</f>
        <v/>
      </c>
      <c r="K177" t="inlineStr">
        <is>
          <t>279.95</t>
        </is>
      </c>
      <c r="L177" t="n">
        <v>469.95</v>
      </c>
      <c r="M177" s="2" t="inlineStr">
        <is>
          <t>67.87%</t>
        </is>
      </c>
      <c r="N177" t="n">
        <v>4.6</v>
      </c>
      <c r="O177" t="n">
        <v>71</v>
      </c>
      <c r="Q177" t="inlineStr">
        <is>
          <t>InStock</t>
        </is>
      </c>
      <c r="R177" t="inlineStr">
        <is>
          <t>349.95</t>
        </is>
      </c>
      <c r="S177" t="inlineStr">
        <is>
          <t>DMS400</t>
        </is>
      </c>
    </row>
    <row r="178" ht="75" customHeight="1">
      <c r="A178" s="1">
        <f>HYPERLINK("https://www.cutleryandmore.com/shun-classic/steak-knife-set-p15898", "https://www.cutleryandmore.com/shun-classic/steak-knife-set-p15898")</f>
        <v/>
      </c>
      <c r="B178" s="1">
        <f>HYPERLINK("https://www.cutleryandmore.com/shun-classic/steak-knife-set-p15898", "https://www.cutleryandmore.com/shun-classic/steak-knife-set-p15898")</f>
        <v/>
      </c>
      <c r="C178" t="inlineStr">
        <is>
          <t>Shun Classic 4 Piece Steak Knife Set</t>
        </is>
      </c>
      <c r="D178" t="inlineStr">
        <is>
          <t>Shun Premier 6-Piece Steak Knife Set with Sidecar Block, Handcrafted Japanese Cutlery, Steel</t>
        </is>
      </c>
      <c r="E178" s="1">
        <f>HYPERLINK("https://www.amazon.com/Shun-Premier-6-Piece-Handcrafted-Japanese/dp/B07ZPDDKRM/ref=sr_1_5?keywords=Shun+Classic+4+Piece+Steak+Knife+Set&amp;qid=1695763931&amp;sr=8-5", "https://www.amazon.com/Shun-Premier-6-Piece-Handcrafted-Japanese/dp/B07ZPDDKRM/ref=sr_1_5?keywords=Shun+Classic+4+Piece+Steak+Knife+Set&amp;qid=1695763931&amp;sr=8-5")</f>
        <v/>
      </c>
      <c r="F178" t="inlineStr">
        <is>
          <t>B07ZPDDKRM</t>
        </is>
      </c>
      <c r="G178">
        <f>_xlfn.IMAGE("https://cdn.cutleryandmore.com/assets/product/main/5898.jpg")</f>
        <v/>
      </c>
      <c r="H178">
        <f>_xlfn.IMAGE("https://m.media-amazon.com/images/I/718Nr5QJFHL._AC_UL320_.jpg")</f>
        <v/>
      </c>
      <c r="K178" t="inlineStr">
        <is>
          <t>279.95</t>
        </is>
      </c>
      <c r="L178" t="n">
        <v>559.95</v>
      </c>
      <c r="M178" s="2" t="inlineStr">
        <is>
          <t>100.02%</t>
        </is>
      </c>
      <c r="N178" t="n">
        <v>4.5</v>
      </c>
      <c r="O178" t="n">
        <v>26</v>
      </c>
      <c r="Q178" t="inlineStr">
        <is>
          <t>InStock</t>
        </is>
      </c>
      <c r="R178" t="inlineStr">
        <is>
          <t>349.95</t>
        </is>
      </c>
      <c r="S178" t="inlineStr">
        <is>
          <t>DMS400</t>
        </is>
      </c>
    </row>
    <row r="179" ht="75" customHeight="1">
      <c r="A179" s="1">
        <f>HYPERLINK("https://www.cutleryandmore.com/shun-classic/steak-knife-set-p15898", "https://www.cutleryandmore.com/shun-classic/steak-knife-set-p15898")</f>
        <v/>
      </c>
      <c r="B179" s="1">
        <f>HYPERLINK("https://www.cutleryandmore.com/shun-classic/steak-knife-set-p15898", "https://www.cutleryandmore.com/shun-classic/steak-knife-set-p15898")</f>
        <v/>
      </c>
      <c r="C179" t="inlineStr">
        <is>
          <t>Shun Classic 4 Piece Steak Knife Set</t>
        </is>
      </c>
      <c r="D179" t="inlineStr">
        <is>
          <t>Shun Kanso 6 Piece Steak Knife Set with Bamboo Storage Box</t>
        </is>
      </c>
      <c r="E179" s="1">
        <f>HYPERLINK("https://www.amazon.com/Shun-Kanso-Piece-Bamboo-Storage/dp/B08B9LJ8JZ/ref=sr_1_3?keywords=Shun+Classic+4+Piece+Steak+Knife+Set&amp;qid=1695763931&amp;sr=8-3", "https://www.amazon.com/Shun-Kanso-Piece-Bamboo-Storage/dp/B08B9LJ8JZ/ref=sr_1_3?keywords=Shun+Classic+4+Piece+Steak+Knife+Set&amp;qid=1695763931&amp;sr=8-3")</f>
        <v/>
      </c>
      <c r="F179" t="inlineStr">
        <is>
          <t>B08B9LJ8JZ</t>
        </is>
      </c>
      <c r="G179">
        <f>_xlfn.IMAGE("https://cdn.cutleryandmore.com/assets/product/main/5898.jpg")</f>
        <v/>
      </c>
      <c r="H179">
        <f>_xlfn.IMAGE("https://m.media-amazon.com/images/I/41jahYFpfIL._AC_UL320_.jpg")</f>
        <v/>
      </c>
      <c r="K179" t="inlineStr">
        <is>
          <t>279.95</t>
        </is>
      </c>
      <c r="L179" t="n">
        <v>489.95</v>
      </c>
      <c r="M179" s="2" t="inlineStr">
        <is>
          <t>75.01%</t>
        </is>
      </c>
      <c r="N179" t="n">
        <v>5</v>
      </c>
      <c r="O179" t="n">
        <v>3</v>
      </c>
      <c r="Q179" t="inlineStr">
        <is>
          <t>InStock</t>
        </is>
      </c>
      <c r="R179" t="inlineStr">
        <is>
          <t>349.95</t>
        </is>
      </c>
      <c r="S179" t="inlineStr">
        <is>
          <t>DMS400</t>
        </is>
      </c>
    </row>
    <row r="180" ht="75" customHeight="1">
      <c r="A180" s="1">
        <f>HYPERLINK("https://www.cutleryandmore.com/shun-classic/steak-knife-set-p15898", "https://www.cutleryandmore.com/shun-classic/steak-knife-set-p15898")</f>
        <v/>
      </c>
      <c r="B180" s="1">
        <f>HYPERLINK("https://www.cutleryandmore.com/shun-classic/steak-knife-set-p15898", "https://www.cutleryandmore.com/shun-classic/steak-knife-set-p15898")</f>
        <v/>
      </c>
      <c r="C180" t="inlineStr">
        <is>
          <t>Shun Classic 4 Piece Steak Knife Set</t>
        </is>
      </c>
      <c r="D180" t="inlineStr">
        <is>
          <t>Shun Kanso 6-Piece Steak Knife Set with Sidecar Block, Handcrafted Japanese Cutlery, Steel</t>
        </is>
      </c>
      <c r="E180" s="1">
        <f>HYPERLINK("https://www.amazon.com/Shun-6-Piece-Sidecar-Handcrafted-Japanese/dp/B07ZPGFTQL/ref=sr_1_7?keywords=Shun+Classic+4+Piece+Steak+Knife+Set&amp;qid=1695763931&amp;sr=8-7", "https://www.amazon.com/Shun-6-Piece-Sidecar-Handcrafted-Japanese/dp/B07ZPGFTQL/ref=sr_1_7?keywords=Shun+Classic+4+Piece+Steak+Knife+Set&amp;qid=1695763931&amp;sr=8-7")</f>
        <v/>
      </c>
      <c r="F180" t="inlineStr">
        <is>
          <t>B07ZPGFTQL</t>
        </is>
      </c>
      <c r="G180">
        <f>_xlfn.IMAGE("https://cdn.cutleryandmore.com/assets/product/main/5898.jpg")</f>
        <v/>
      </c>
      <c r="H180">
        <f>_xlfn.IMAGE("https://m.media-amazon.com/images/I/61XvXahSr1L._AC_UL320_.jpg")</f>
        <v/>
      </c>
      <c r="K180" t="inlineStr">
        <is>
          <t>279.95</t>
        </is>
      </c>
      <c r="L180" t="n">
        <v>489.95</v>
      </c>
      <c r="M180" s="2" t="inlineStr">
        <is>
          <t>75.01%</t>
        </is>
      </c>
      <c r="N180" t="n">
        <v>4</v>
      </c>
      <c r="O180" t="n">
        <v>13</v>
      </c>
      <c r="Q180" t="inlineStr">
        <is>
          <t>InStock</t>
        </is>
      </c>
      <c r="R180" t="inlineStr">
        <is>
          <t>349.95</t>
        </is>
      </c>
      <c r="S180" t="inlineStr">
        <is>
          <t>DMS400</t>
        </is>
      </c>
    </row>
    <row r="181" ht="75" customHeight="1">
      <c r="A181" s="1">
        <f>HYPERLINK("https://www.cutleryandmore.com/shun-classic/steak-knife-set-p15898", "https://www.cutleryandmore.com/shun-classic/steak-knife-set-p15898")</f>
        <v/>
      </c>
      <c r="B181" s="1">
        <f>HYPERLINK("https://www.cutleryandmore.com/shun-classic/steak-knife-set-p15898", "https://www.cutleryandmore.com/shun-classic/steak-knife-set-p15898")</f>
        <v/>
      </c>
      <c r="C181" t="inlineStr">
        <is>
          <t>Shun Classic 4 Piece Steak Knife Set</t>
        </is>
      </c>
      <c r="D181" t="inlineStr">
        <is>
          <t>Shun TDMS0400 Premier 4-Piece Steak Knife Set, Silver, Small</t>
        </is>
      </c>
      <c r="E181" s="1">
        <f>HYPERLINK("https://www.amazon.com/Shun-TDMS0400-Premier-4-Piece-Steak/dp/B004M3XAPS/ref=sr_1_10?keywords=Shun+Classic+4+Piece+Steak+Knife+Set&amp;qid=1695763931&amp;sr=8-10", "https://www.amazon.com/Shun-TDMS0400-Premier-4-Piece-Steak/dp/B004M3XAPS/ref=sr_1_10?keywords=Shun+Classic+4+Piece+Steak+Knife+Set&amp;qid=1695763931&amp;sr=8-10")</f>
        <v/>
      </c>
      <c r="F181" t="inlineStr">
        <is>
          <t>B004M3XAPS</t>
        </is>
      </c>
      <c r="G181">
        <f>_xlfn.IMAGE("https://cdn.cutleryandmore.com/assets/product/main/5898.jpg")</f>
        <v/>
      </c>
      <c r="H181">
        <f>_xlfn.IMAGE("https://m.media-amazon.com/images/I/81e-GexmrwL._AC_UL320_.jpg")</f>
        <v/>
      </c>
      <c r="K181" t="inlineStr">
        <is>
          <t>279.95</t>
        </is>
      </c>
      <c r="L181" t="n">
        <v>469.95</v>
      </c>
      <c r="M181" s="2" t="inlineStr">
        <is>
          <t>67.87%</t>
        </is>
      </c>
      <c r="N181" t="n">
        <v>4.6</v>
      </c>
      <c r="O181" t="n">
        <v>71</v>
      </c>
      <c r="Q181" t="inlineStr">
        <is>
          <t>InStock</t>
        </is>
      </c>
      <c r="R181" t="inlineStr">
        <is>
          <t>349.95</t>
        </is>
      </c>
      <c r="S181" t="inlineStr">
        <is>
          <t>DMS400</t>
        </is>
      </c>
    </row>
    <row r="182" ht="75" customHeight="1">
      <c r="A182" s="1">
        <f>HYPERLINK("https://www.cutleryandmore.com/shun-classic/utility-knife-p15281", "https://www.cutleryandmore.com/shun-classic/utility-knife-p15281")</f>
        <v/>
      </c>
      <c r="B182" s="1">
        <f>HYPERLINK("https://www.cutleryandmore.com/shun-classic/utility-knife-p15281", "https://www.cutleryandmore.com/shun-classic/utility-knife-p15281")</f>
        <v/>
      </c>
      <c r="C182" t="inlineStr">
        <is>
          <t>Shun Classic 6" Utility Knife</t>
        </is>
      </c>
      <c r="D182" t="inlineStr">
        <is>
          <t>Shun Cutlery 7-Piece Essential Knife Block Set, Includes Classic 8” Chef, 6” Utility, 9” Bread &amp; 3.5” Paring Herb Shears, Handcrafted Japanese Kitchen Knives, Black</t>
        </is>
      </c>
      <c r="E182" s="1">
        <f>HYPERLINK("https://www.amazon.com/Shun-Cutlery-Essential-3-5-inch-Combination/dp/B00022YJKS/ref=sr_1_8?keywords=Shun+Classic+6%22+Utility+Knife&amp;qid=1695763896&amp;sr=8-8", "https://www.amazon.com/Shun-Cutlery-Essential-3-5-inch-Combination/dp/B00022YJKS/ref=sr_1_8?keywords=Shun+Classic+6%22+Utility+Knife&amp;qid=1695763896&amp;sr=8-8")</f>
        <v/>
      </c>
      <c r="F182" t="inlineStr">
        <is>
          <t>B00022YJKS</t>
        </is>
      </c>
      <c r="G182">
        <f>_xlfn.IMAGE("https://cdn.cutleryandmore.com/assets/product/main/5281.jpg")</f>
        <v/>
      </c>
      <c r="H182">
        <f>_xlfn.IMAGE("https://m.media-amazon.com/images/I/81YxCjCReML._AC_UL320_.jpg")</f>
        <v/>
      </c>
      <c r="K182" t="inlineStr">
        <is>
          <t>91.95</t>
        </is>
      </c>
      <c r="L182" t="n">
        <v>491.95</v>
      </c>
      <c r="M182" s="2" t="inlineStr">
        <is>
          <t>435.02%</t>
        </is>
      </c>
      <c r="N182" t="n">
        <v>4.5</v>
      </c>
      <c r="O182" t="n">
        <v>66</v>
      </c>
      <c r="Q182" t="inlineStr">
        <is>
          <t>InStock</t>
        </is>
      </c>
      <c r="R182" t="inlineStr">
        <is>
          <t>114.95</t>
        </is>
      </c>
      <c r="S182" t="inlineStr">
        <is>
          <t>DM0701</t>
        </is>
      </c>
    </row>
    <row r="183" ht="75" customHeight="1">
      <c r="A183" s="1">
        <f>HYPERLINK("https://www.cutleryandmore.com/shun-classic/utility-knife-p15281", "https://www.cutleryandmore.com/shun-classic/utility-knife-p15281")</f>
        <v/>
      </c>
      <c r="B183" s="1">
        <f>HYPERLINK("https://www.cutleryandmore.com/shun-classic/utility-knife-p15281", "https://www.cutleryandmore.com/shun-classic/utility-knife-p15281")</f>
        <v/>
      </c>
      <c r="C183" t="inlineStr">
        <is>
          <t>Shun Classic 6" Utility Knife</t>
        </is>
      </c>
      <c r="D183" t="inlineStr">
        <is>
          <t>Shun Cutlery Classic 5-Piece Starter Block Set, Kitchen Knife and Block Set, Includes Classic 8” Chef, 6” Utility &amp; 3.5” Paring Knives, Handcrafted Japanese Kitchen Knives</t>
        </is>
      </c>
      <c r="E183" s="1">
        <f>HYPERLINK("https://www.amazon.com/Shun-Classic-Piece-Slimline-Block/dp/B07DF9H3MS/ref=sr_1_10?keywords=Shun+Classic+6%22+Utility+Knife&amp;qid=1695763896&amp;sr=8-10", "https://www.amazon.com/Shun-Classic-Piece-Slimline-Block/dp/B07DF9H3MS/ref=sr_1_10?keywords=Shun+Classic+6%22+Utility+Knife&amp;qid=1695763896&amp;sr=8-10")</f>
        <v/>
      </c>
      <c r="F183" t="inlineStr">
        <is>
          <t>B07DF9H3MS</t>
        </is>
      </c>
      <c r="G183">
        <f>_xlfn.IMAGE("https://cdn.cutleryandmore.com/assets/product/main/5281.jpg")</f>
        <v/>
      </c>
      <c r="H183">
        <f>_xlfn.IMAGE("https://m.media-amazon.com/images/I/71XyZl-9dFL._AC_UL320_.jpg")</f>
        <v/>
      </c>
      <c r="K183" t="inlineStr">
        <is>
          <t>91.95</t>
        </is>
      </c>
      <c r="L183" t="n">
        <v>319.95</v>
      </c>
      <c r="M183" s="2" t="inlineStr">
        <is>
          <t>247.96%</t>
        </is>
      </c>
      <c r="N183" t="n">
        <v>4.4</v>
      </c>
      <c r="O183" t="n">
        <v>68</v>
      </c>
      <c r="Q183" t="inlineStr">
        <is>
          <t>InStock</t>
        </is>
      </c>
      <c r="R183" t="inlineStr">
        <is>
          <t>114.95</t>
        </is>
      </c>
      <c r="S183" t="inlineStr">
        <is>
          <t>DM0701</t>
        </is>
      </c>
    </row>
    <row r="184" ht="75" customHeight="1">
      <c r="A184" s="1">
        <f>HYPERLINK("https://www.cutleryandmore.com/shun-classic/utility-knife-p15281", "https://www.cutleryandmore.com/shun-classic/utility-knife-p15281")</f>
        <v/>
      </c>
      <c r="B184" s="1">
        <f>HYPERLINK("https://www.cutleryandmore.com/shun-classic/utility-knife-p15281", "https://www.cutleryandmore.com/shun-classic/utility-knife-p15281")</f>
        <v/>
      </c>
      <c r="C184" t="inlineStr">
        <is>
          <t>Shun Classic 6" Utility Knife</t>
        </is>
      </c>
      <c r="D184" t="inlineStr">
        <is>
          <t>Shun Cutlery Classic Blonde 5-Piece Starter Block Set, Kitchen Knife and Knife Block Set, Includes Classic 8” Chef, 6” Utility &amp; 3.5” Paring Knives, Handcrafted Japanese Kitchen Knives , 17 x 10 x 8</t>
        </is>
      </c>
      <c r="E184" s="1">
        <f>HYPERLINK("https://www.amazon.com/Shun-Classic-Starter-Utility-PakkaWood/dp/B086PWHS6L/ref=sr_1_9?keywords=Shun+Classic+6%22+Utility+Knife&amp;qid=1695763896&amp;sr=8-9", "https://www.amazon.com/Shun-Classic-Starter-Utility-PakkaWood/dp/B086PWHS6L/ref=sr_1_9?keywords=Shun+Classic+6%22+Utility+Knife&amp;qid=1695763896&amp;sr=8-9")</f>
        <v/>
      </c>
      <c r="F184" t="inlineStr">
        <is>
          <t>B086PWHS6L</t>
        </is>
      </c>
      <c r="G184">
        <f>_xlfn.IMAGE("https://cdn.cutleryandmore.com/assets/product/main/5281.jpg")</f>
        <v/>
      </c>
      <c r="H184">
        <f>_xlfn.IMAGE("https://m.media-amazon.com/images/I/61Cx0hPtOoL._AC_UL320_.jpg")</f>
        <v/>
      </c>
      <c r="K184" t="inlineStr">
        <is>
          <t>91.95</t>
        </is>
      </c>
      <c r="L184" t="n">
        <v>319.95</v>
      </c>
      <c r="M184" s="2" t="inlineStr">
        <is>
          <t>247.96%</t>
        </is>
      </c>
      <c r="N184" t="n">
        <v>4.7</v>
      </c>
      <c r="O184" t="n">
        <v>139</v>
      </c>
      <c r="Q184" t="inlineStr">
        <is>
          <t>InStock</t>
        </is>
      </c>
      <c r="R184" t="inlineStr">
        <is>
          <t>114.95</t>
        </is>
      </c>
      <c r="S184" t="inlineStr">
        <is>
          <t>DM0701</t>
        </is>
      </c>
    </row>
    <row r="185" ht="75" customHeight="1">
      <c r="A185" s="1">
        <f>HYPERLINK("https://www.cutleryandmore.com/shun-classic/utility-knife-p15281", "https://www.cutleryandmore.com/shun-classic/utility-knife-p15281")</f>
        <v/>
      </c>
      <c r="B185" s="1">
        <f>HYPERLINK("https://www.cutleryandmore.com/shun-classic/utility-knife-p15281", "https://www.cutleryandmore.com/shun-classic/utility-knife-p15281")</f>
        <v/>
      </c>
      <c r="C185" t="inlineStr">
        <is>
          <t>Shun Classic 6" Utility Knife</t>
        </is>
      </c>
      <c r="D185" t="inlineStr">
        <is>
          <t>Shun Cutlery Classic 3 Piece Starter Set, Includes 8" Chef's, 3.5" Paring, 6" Utility Knife, Handcrafted Japanese Kitchen Knives, 3 sizes</t>
        </is>
      </c>
      <c r="E185" s="1">
        <f>HYPERLINK("https://www.amazon.com/Shun-Multi-Purpose-Essential-Exquisitely-Handcrafted/dp/B000139H82/ref=sr_1_7?keywords=Shun+Classic+6%22+Utility+Knife&amp;qid=1695763896&amp;sr=8-7", "https://www.amazon.com/Shun-Multi-Purpose-Essential-Exquisitely-Handcrafted/dp/B000139H82/ref=sr_1_7?keywords=Shun+Classic+6%22+Utility+Knife&amp;qid=1695763896&amp;sr=8-7")</f>
        <v/>
      </c>
      <c r="F185" t="inlineStr">
        <is>
          <t>B000139H82</t>
        </is>
      </c>
      <c r="G185">
        <f>_xlfn.IMAGE("https://cdn.cutleryandmore.com/assets/product/main/5281.jpg")</f>
        <v/>
      </c>
      <c r="H185">
        <f>_xlfn.IMAGE("https://m.media-amazon.com/images/I/61OyizYVPgL._AC_UL320_.jpg")</f>
        <v/>
      </c>
      <c r="K185" t="inlineStr">
        <is>
          <t>91.95</t>
        </is>
      </c>
      <c r="L185" t="n">
        <v>271.95</v>
      </c>
      <c r="M185" s="2" t="inlineStr">
        <is>
          <t>195.76%</t>
        </is>
      </c>
      <c r="N185" t="n">
        <v>4.6</v>
      </c>
      <c r="O185" t="n">
        <v>294</v>
      </c>
      <c r="Q185" t="inlineStr">
        <is>
          <t>InStock</t>
        </is>
      </c>
      <c r="R185" t="inlineStr">
        <is>
          <t>114.95</t>
        </is>
      </c>
      <c r="S185" t="inlineStr">
        <is>
          <t>DM0701</t>
        </is>
      </c>
    </row>
    <row r="186" ht="75" customHeight="1">
      <c r="A186" s="1">
        <f>HYPERLINK("https://www.cutleryandmore.com/shun-classic/utility-knife-p15281", "https://www.cutleryandmore.com/shun-classic/utility-knife-p15281")</f>
        <v/>
      </c>
      <c r="B186" s="1">
        <f>HYPERLINK("https://www.cutleryandmore.com/shun-classic/utility-knife-p15281", "https://www.cutleryandmore.com/shun-classic/utility-knife-p15281")</f>
        <v/>
      </c>
      <c r="C186" t="inlineStr">
        <is>
          <t>Shun Classic 6" Utility Knife</t>
        </is>
      </c>
      <c r="D186" t="inlineStr">
        <is>
          <t>Shun Cutlery Classic Utility Knife 6" and Kai PRO Multi-Purpose Kitchen Shears Set, Handcrafted Japanese Kitchen Knives &amp; Shears</t>
        </is>
      </c>
      <c r="E186" s="1">
        <f>HYPERLINK("https://www.amazon.com/Shun-Cutlery-Multi-Purpose-Handcrafted-Japanese/dp/B08BQL9B18/ref=sr_1_6?keywords=Shun+Classic+6%22+Utility+Knife&amp;qid=1695763896&amp;sr=8-6", "https://www.amazon.com/Shun-Cutlery-Multi-Purpose-Handcrafted-Japanese/dp/B08BQL9B18/ref=sr_1_6?keywords=Shun+Classic+6%22+Utility+Knife&amp;qid=1695763896&amp;sr=8-6")</f>
        <v/>
      </c>
      <c r="F186" t="inlineStr">
        <is>
          <t>B08BQL9B18</t>
        </is>
      </c>
      <c r="G186">
        <f>_xlfn.IMAGE("https://cdn.cutleryandmore.com/assets/product/main/5281.jpg")</f>
        <v/>
      </c>
      <c r="H186">
        <f>_xlfn.IMAGE("https://m.media-amazon.com/images/I/712RSc2LWyL._AC_UL320_.jpg")</f>
        <v/>
      </c>
      <c r="K186" t="inlineStr">
        <is>
          <t>91.95</t>
        </is>
      </c>
      <c r="L186" t="n">
        <v>159.95</v>
      </c>
      <c r="M186" s="2" t="inlineStr">
        <is>
          <t>73.95%</t>
        </is>
      </c>
      <c r="N186" t="n">
        <v>4.5</v>
      </c>
      <c r="O186" t="n">
        <v>120</v>
      </c>
      <c r="Q186" t="inlineStr">
        <is>
          <t>InStock</t>
        </is>
      </c>
      <c r="R186" t="inlineStr">
        <is>
          <t>114.95</t>
        </is>
      </c>
      <c r="S186" t="inlineStr">
        <is>
          <t>DM0701</t>
        </is>
      </c>
    </row>
    <row r="187" ht="75" customHeight="1">
      <c r="A187" s="1">
        <f>HYPERLINK("https://www.cutleryandmore.com/shun-classic/utility-knife-p15281", "https://www.cutleryandmore.com/shun-classic/utility-knife-p15281")</f>
        <v/>
      </c>
      <c r="B187" s="1">
        <f>HYPERLINK("https://www.cutleryandmore.com/shun-classic/utility-knife-p15281", "https://www.cutleryandmore.com/shun-classic/utility-knife-p15281")</f>
        <v/>
      </c>
      <c r="C187" t="inlineStr">
        <is>
          <t>Shun Classic 6" Utility Knife</t>
        </is>
      </c>
      <c r="D187" t="inlineStr">
        <is>
          <t>Shun Cutlery 7-Piece Essential Knife Block Set, Includes Classic 8” Chef, 6” Utility, 9” Bread &amp; 3.5” Paring Herb Shears, Handcrafted Japanese Kitchen Knives, Black</t>
        </is>
      </c>
      <c r="E187" s="1">
        <f>HYPERLINK("https://www.amazon.com/Shun-Cutlery-Essential-3-5-inch-Combination/dp/B00022YJKS/ref=sr_1_7?keywords=Shun+Classic+6%22+Utility+Knife&amp;qid=1695763934&amp;sr=8-7", "https://www.amazon.com/Shun-Cutlery-Essential-3-5-inch-Combination/dp/B00022YJKS/ref=sr_1_7?keywords=Shun+Classic+6%22+Utility+Knife&amp;qid=1695763934&amp;sr=8-7")</f>
        <v/>
      </c>
      <c r="F187" t="inlineStr">
        <is>
          <t>B00022YJKS</t>
        </is>
      </c>
      <c r="G187">
        <f>_xlfn.IMAGE("https://cdn.cutleryandmore.com/assets/product/main/5281.jpg")</f>
        <v/>
      </c>
      <c r="H187">
        <f>_xlfn.IMAGE("https://m.media-amazon.com/images/I/81YxCjCReML._AC_UL320_.jpg")</f>
        <v/>
      </c>
      <c r="K187" t="inlineStr">
        <is>
          <t>91.95</t>
        </is>
      </c>
      <c r="L187" t="n">
        <v>491.95</v>
      </c>
      <c r="M187" s="2" t="inlineStr">
        <is>
          <t>435.02%</t>
        </is>
      </c>
      <c r="N187" t="n">
        <v>4.5</v>
      </c>
      <c r="O187" t="n">
        <v>66</v>
      </c>
      <c r="Q187" t="inlineStr">
        <is>
          <t>InStock</t>
        </is>
      </c>
      <c r="R187" t="inlineStr">
        <is>
          <t>114.95</t>
        </is>
      </c>
      <c r="S187" t="inlineStr">
        <is>
          <t>DM0701</t>
        </is>
      </c>
    </row>
    <row r="188" ht="75" customHeight="1">
      <c r="A188" s="1">
        <f>HYPERLINK("https://www.cutleryandmore.com/shun-classic/utility-knife-p15281", "https://www.cutleryandmore.com/shun-classic/utility-knife-p15281")</f>
        <v/>
      </c>
      <c r="B188" s="1">
        <f>HYPERLINK("https://www.cutleryandmore.com/shun-classic/utility-knife-p15281", "https://www.cutleryandmore.com/shun-classic/utility-knife-p15281")</f>
        <v/>
      </c>
      <c r="C188" t="inlineStr">
        <is>
          <t>Shun Classic 6" Utility Knife</t>
        </is>
      </c>
      <c r="D188" t="inlineStr">
        <is>
          <t>Shun Cutlery Classic 5-Piece Starter Block Set, Kitchen Knife and Block Set, Includes Classic 8” Chef, 6” Utility &amp; 3.5” Paring Knives, Handcrafted Japanese Kitchen Knives</t>
        </is>
      </c>
      <c r="E188" s="1">
        <f>HYPERLINK("https://www.amazon.com/Shun-Classic-Piece-Slimline-Block/dp/B07DF9H3MS/ref=sr_1_9?keywords=Shun+Classic+6%22+Utility+Knife&amp;qid=1695763934&amp;sr=8-9", "https://www.amazon.com/Shun-Classic-Piece-Slimline-Block/dp/B07DF9H3MS/ref=sr_1_9?keywords=Shun+Classic+6%22+Utility+Knife&amp;qid=1695763934&amp;sr=8-9")</f>
        <v/>
      </c>
      <c r="F188" t="inlineStr">
        <is>
          <t>B07DF9H3MS</t>
        </is>
      </c>
      <c r="G188">
        <f>_xlfn.IMAGE("https://cdn.cutleryandmore.com/assets/product/main/5281.jpg")</f>
        <v/>
      </c>
      <c r="H188">
        <f>_xlfn.IMAGE("https://m.media-amazon.com/images/I/71XyZl-9dFL._AC_UL320_.jpg")</f>
        <v/>
      </c>
      <c r="K188" t="inlineStr">
        <is>
          <t>91.95</t>
        </is>
      </c>
      <c r="L188" t="n">
        <v>319.95</v>
      </c>
      <c r="M188" s="2" t="inlineStr">
        <is>
          <t>247.96%</t>
        </is>
      </c>
      <c r="N188" t="n">
        <v>4.4</v>
      </c>
      <c r="O188" t="n">
        <v>68</v>
      </c>
      <c r="Q188" t="inlineStr">
        <is>
          <t>InStock</t>
        </is>
      </c>
      <c r="R188" t="inlineStr">
        <is>
          <t>114.95</t>
        </is>
      </c>
      <c r="S188" t="inlineStr">
        <is>
          <t>DM0701</t>
        </is>
      </c>
    </row>
    <row r="189" ht="75" customHeight="1">
      <c r="A189" s="1">
        <f>HYPERLINK("https://www.cutleryandmore.com/shun-classic/utility-knife-p15281", "https://www.cutleryandmore.com/shun-classic/utility-knife-p15281")</f>
        <v/>
      </c>
      <c r="B189" s="1">
        <f>HYPERLINK("https://www.cutleryandmore.com/shun-classic/utility-knife-p15281", "https://www.cutleryandmore.com/shun-classic/utility-knife-p15281")</f>
        <v/>
      </c>
      <c r="C189" t="inlineStr">
        <is>
          <t>Shun Classic 6" Utility Knife</t>
        </is>
      </c>
      <c r="D189" t="inlineStr">
        <is>
          <t>Shun Cutlery Classic Blonde 5-Piece Starter Block Set, Kitchen Knife and Knife Block Set, Includes Classic 8” Chef, 6” Utility &amp; 3.5” Paring Knives, Handcrafted Japanese Kitchen Knives , 17 x 10 x 8</t>
        </is>
      </c>
      <c r="E189" s="1">
        <f>HYPERLINK("https://www.amazon.com/Shun-Classic-Starter-Utility-PakkaWood/dp/B086PWHS6L/ref=sr_1_8?keywords=Shun+Classic+6%22+Utility+Knife&amp;qid=1695763934&amp;sr=8-8", "https://www.amazon.com/Shun-Classic-Starter-Utility-PakkaWood/dp/B086PWHS6L/ref=sr_1_8?keywords=Shun+Classic+6%22+Utility+Knife&amp;qid=1695763934&amp;sr=8-8")</f>
        <v/>
      </c>
      <c r="F189" t="inlineStr">
        <is>
          <t>B086PWHS6L</t>
        </is>
      </c>
      <c r="G189">
        <f>_xlfn.IMAGE("https://cdn.cutleryandmore.com/assets/product/main/5281.jpg")</f>
        <v/>
      </c>
      <c r="H189">
        <f>_xlfn.IMAGE("https://m.media-amazon.com/images/I/61Cx0hPtOoL._AC_UL320_.jpg")</f>
        <v/>
      </c>
      <c r="K189" t="inlineStr">
        <is>
          <t>91.95</t>
        </is>
      </c>
      <c r="L189" t="n">
        <v>319.95</v>
      </c>
      <c r="M189" s="2" t="inlineStr">
        <is>
          <t>247.96%</t>
        </is>
      </c>
      <c r="N189" t="n">
        <v>4.7</v>
      </c>
      <c r="O189" t="n">
        <v>139</v>
      </c>
      <c r="Q189" t="inlineStr">
        <is>
          <t>InStock</t>
        </is>
      </c>
      <c r="R189" t="inlineStr">
        <is>
          <t>114.95</t>
        </is>
      </c>
      <c r="S189" t="inlineStr">
        <is>
          <t>DM0701</t>
        </is>
      </c>
    </row>
    <row r="190" ht="75" customHeight="1">
      <c r="A190" s="1">
        <f>HYPERLINK("https://www.cutleryandmore.com/shun-classic/utility-knife-p15281", "https://www.cutleryandmore.com/shun-classic/utility-knife-p15281")</f>
        <v/>
      </c>
      <c r="B190" s="1">
        <f>HYPERLINK("https://www.cutleryandmore.com/shun-classic/utility-knife-p15281", "https://www.cutleryandmore.com/shun-classic/utility-knife-p15281")</f>
        <v/>
      </c>
      <c r="C190" t="inlineStr">
        <is>
          <t>Shun Classic 6" Utility Knife</t>
        </is>
      </c>
      <c r="D190" t="inlineStr">
        <is>
          <t>Shun Cutlery Classic 3 Piece Starter Set, Includes 8" Chef's, 3.5" Paring, 6" Utility Knife, Handcrafted Japanese Kitchen Knives, 3 sizes</t>
        </is>
      </c>
      <c r="E190" s="1">
        <f>HYPERLINK("https://www.amazon.com/Shun-Multi-Purpose-Essential-Exquisitely-Handcrafted/dp/B000139H82/ref=sr_1_6?keywords=Shun+Classic+6%22+Utility+Knife&amp;qid=1695763934&amp;sr=8-6", "https://www.amazon.com/Shun-Multi-Purpose-Essential-Exquisitely-Handcrafted/dp/B000139H82/ref=sr_1_6?keywords=Shun+Classic+6%22+Utility+Knife&amp;qid=1695763934&amp;sr=8-6")</f>
        <v/>
      </c>
      <c r="F190" t="inlineStr">
        <is>
          <t>B000139H82</t>
        </is>
      </c>
      <c r="G190">
        <f>_xlfn.IMAGE("https://cdn.cutleryandmore.com/assets/product/main/5281.jpg")</f>
        <v/>
      </c>
      <c r="H190">
        <f>_xlfn.IMAGE("https://m.media-amazon.com/images/I/61OyizYVPgL._AC_UL320_.jpg")</f>
        <v/>
      </c>
      <c r="K190" t="inlineStr">
        <is>
          <t>91.95</t>
        </is>
      </c>
      <c r="L190" t="n">
        <v>271.95</v>
      </c>
      <c r="M190" s="2" t="inlineStr">
        <is>
          <t>195.76%</t>
        </is>
      </c>
      <c r="N190" t="n">
        <v>4.6</v>
      </c>
      <c r="O190" t="n">
        <v>294</v>
      </c>
      <c r="Q190" t="inlineStr">
        <is>
          <t>InStock</t>
        </is>
      </c>
      <c r="R190" t="inlineStr">
        <is>
          <t>114.95</t>
        </is>
      </c>
      <c r="S190" t="inlineStr">
        <is>
          <t>DM0701</t>
        </is>
      </c>
    </row>
    <row r="191" ht="75" customHeight="1">
      <c r="A191" s="1">
        <f>HYPERLINK("https://www.cutleryandmore.com/shun-classic/utility-knife-p15281", "https://www.cutleryandmore.com/shun-classic/utility-knife-p15281")</f>
        <v/>
      </c>
      <c r="B191" s="1">
        <f>HYPERLINK("https://www.cutleryandmore.com/shun-classic/utility-knife-p15281", "https://www.cutleryandmore.com/shun-classic/utility-knife-p15281")</f>
        <v/>
      </c>
      <c r="C191" t="inlineStr">
        <is>
          <t>Shun Classic 6" Utility Knife</t>
        </is>
      </c>
      <c r="D191" t="inlineStr">
        <is>
          <t>Shun Cutlery Classic Bread Knife 9” &amp; Cutlery Classic Utility Knife 6", Narrow, Straight-Bladed Kitchen Knife Perfect for Precise Cuts, Ideal for Preparing Sandwiches or Trimming Small Vegetables</t>
        </is>
      </c>
      <c r="E191" s="1">
        <f>HYPERLINK("https://www.amazon.com/Shun-Straight-Bladed-Preparing-Sandwiches-Vegetables/dp/B0BS2WGM9V/ref=sr_1_10?keywords=Shun+Classic+6%22+Utility+Knife&amp;qid=1695763934&amp;sr=8-10", "https://www.amazon.com/Shun-Straight-Bladed-Preparing-Sandwiches-Vegetables/dp/B0BS2WGM9V/ref=sr_1_10?keywords=Shun+Classic+6%22+Utility+Knife&amp;qid=1695763934&amp;sr=8-10")</f>
        <v/>
      </c>
      <c r="F191" t="inlineStr">
        <is>
          <t>B0BS2WGM9V</t>
        </is>
      </c>
      <c r="G191">
        <f>_xlfn.IMAGE("https://cdn.cutleryandmore.com/assets/product/main/5281.jpg")</f>
        <v/>
      </c>
      <c r="H191">
        <f>_xlfn.IMAGE("https://m.media-amazon.com/images/I/418+Yyzs8pL._AC_UL320_.jpg")</f>
        <v/>
      </c>
      <c r="K191" t="inlineStr">
        <is>
          <t>91.95</t>
        </is>
      </c>
      <c r="L191" t="n">
        <v>227.9</v>
      </c>
      <c r="M191" s="2" t="inlineStr">
        <is>
          <t>147.85%</t>
        </is>
      </c>
      <c r="N191" t="n">
        <v>5</v>
      </c>
      <c r="O191" t="n">
        <v>1</v>
      </c>
      <c r="Q191" t="inlineStr">
        <is>
          <t>InStock</t>
        </is>
      </c>
      <c r="R191" t="inlineStr">
        <is>
          <t>114.95</t>
        </is>
      </c>
      <c r="S191" t="inlineStr">
        <is>
          <t>DM0701</t>
        </is>
      </c>
    </row>
    <row r="192" ht="75" customHeight="1">
      <c r="A192" s="1">
        <f>HYPERLINK("https://www.cutleryandmore.com/shun-classic/utility-knife-p15281", "https://www.cutleryandmore.com/shun-classic/utility-knife-p15281")</f>
        <v/>
      </c>
      <c r="B192" s="1">
        <f>HYPERLINK("https://www.cutleryandmore.com/shun-classic/utility-knife-p15281", "https://www.cutleryandmore.com/shun-classic/utility-knife-p15281")</f>
        <v/>
      </c>
      <c r="C192" t="inlineStr">
        <is>
          <t>Shun Classic 6" Utility Knife</t>
        </is>
      </c>
      <c r="D192" t="inlineStr">
        <is>
          <t>Shun Cutlery Classic Utility Knife 6" and Kai PRO Multi-Purpose Kitchen Shears Set, Handcrafted Japanese Kitchen Knives &amp; Shears</t>
        </is>
      </c>
      <c r="E192" s="1">
        <f>HYPERLINK("https://www.amazon.com/Shun-Cutlery-Multi-Purpose-Handcrafted-Japanese/dp/B08BQL9B18/ref=sr_1_5?keywords=Shun+Classic+6%22+Utility+Knife&amp;qid=1695763934&amp;sr=8-5", "https://www.amazon.com/Shun-Cutlery-Multi-Purpose-Handcrafted-Japanese/dp/B08BQL9B18/ref=sr_1_5?keywords=Shun+Classic+6%22+Utility+Knife&amp;qid=1695763934&amp;sr=8-5")</f>
        <v/>
      </c>
      <c r="F192" t="inlineStr">
        <is>
          <t>B08BQL9B18</t>
        </is>
      </c>
      <c r="G192">
        <f>_xlfn.IMAGE("https://cdn.cutleryandmore.com/assets/product/main/5281.jpg")</f>
        <v/>
      </c>
      <c r="H192">
        <f>_xlfn.IMAGE("https://m.media-amazon.com/images/I/712RSc2LWyL._AC_UL320_.jpg")</f>
        <v/>
      </c>
      <c r="K192" t="inlineStr">
        <is>
          <t>91.95</t>
        </is>
      </c>
      <c r="L192" t="n">
        <v>159.95</v>
      </c>
      <c r="M192" s="2" t="inlineStr">
        <is>
          <t>73.95%</t>
        </is>
      </c>
      <c r="N192" t="n">
        <v>4.5</v>
      </c>
      <c r="O192" t="n">
        <v>120</v>
      </c>
      <c r="Q192" t="inlineStr">
        <is>
          <t>InStock</t>
        </is>
      </c>
      <c r="R192" t="inlineStr">
        <is>
          <t>114.95</t>
        </is>
      </c>
      <c r="S192" t="inlineStr">
        <is>
          <t>DM0701</t>
        </is>
      </c>
    </row>
    <row r="193" ht="75" customHeight="1">
      <c r="A193" s="1">
        <f>HYPERLINK("https://www.cutleryandmore.com/shun-classic/western-chefs-knife-p125192", "https://www.cutleryandmore.com/shun-classic/western-chefs-knife-p125192")</f>
        <v/>
      </c>
      <c r="B193" s="1">
        <f>HYPERLINK("https://www.cutleryandmore.com/shun-classic/western-chefs-knife-p125192", "https://www.cutleryandmore.com/shun-classic/western-chefs-knife-p125192")</f>
        <v/>
      </c>
      <c r="C193" t="inlineStr">
        <is>
          <t>Shun Classic 8" Heavy Chef's Knife</t>
        </is>
      </c>
      <c r="D193" t="inlineStr">
        <is>
          <t>Shun Cutlery Classic 3 Piece Starter Set, Includes 8" Chef's, 3.5" Paring, 6" Utility Knife, Handcrafted Japanese Kitchen Knives, 3 sizes</t>
        </is>
      </c>
      <c r="E193" s="1">
        <f>HYPERLINK("https://www.amazon.com/Shun-Multi-Purpose-Essential-Exquisitely-Handcrafted/dp/B000139H82/ref=sr_1_6?keywords=Shun+Classic+8%22+Heavy+Chef%27s+Knife&amp;qid=1695763896&amp;sr=8-6", "https://www.amazon.com/Shun-Multi-Purpose-Essential-Exquisitely-Handcrafted/dp/B000139H82/ref=sr_1_6?keywords=Shun+Classic+8%22+Heavy+Chef%27s+Knife&amp;qid=1695763896&amp;sr=8-6")</f>
        <v/>
      </c>
      <c r="F193" t="inlineStr">
        <is>
          <t>B000139H82</t>
        </is>
      </c>
      <c r="G193">
        <f>_xlfn.IMAGE("https://cdn.cutleryandmore.com/assets/product/main/25192.jpg")</f>
        <v/>
      </c>
      <c r="H193">
        <f>_xlfn.IMAGE("https://m.media-amazon.com/images/I/61OyizYVPgL._AC_UL320_.jpg")</f>
        <v/>
      </c>
      <c r="K193" t="inlineStr">
        <is>
          <t>147.95</t>
        </is>
      </c>
      <c r="L193" t="n">
        <v>271.95</v>
      </c>
      <c r="M193" s="2" t="inlineStr">
        <is>
          <t>83.81%</t>
        </is>
      </c>
      <c r="N193" t="n">
        <v>4.6</v>
      </c>
      <c r="O193" t="n">
        <v>294</v>
      </c>
      <c r="Q193" t="inlineStr">
        <is>
          <t>InStock</t>
        </is>
      </c>
      <c r="R193" t="inlineStr">
        <is>
          <t>184.95</t>
        </is>
      </c>
      <c r="S193" t="inlineStr">
        <is>
          <t>DM0766</t>
        </is>
      </c>
    </row>
    <row r="194" ht="75" customHeight="1">
      <c r="A194" s="1">
        <f>HYPERLINK("https://www.cutleryandmore.com/shun-classic/western-chefs-knife-p125192", "https://www.cutleryandmore.com/shun-classic/western-chefs-knife-p125192")</f>
        <v/>
      </c>
      <c r="B194" s="1">
        <f>HYPERLINK("https://www.cutleryandmore.com/shun-classic/western-chefs-knife-p125192", "https://www.cutleryandmore.com/shun-classic/western-chefs-knife-p125192")</f>
        <v/>
      </c>
      <c r="C194" t="inlineStr">
        <is>
          <t>Shun Classic 8" Heavy Chef's Knife</t>
        </is>
      </c>
      <c r="D194" t="inlineStr">
        <is>
          <t>Shun Cutlery Classic 3 Piece Starter Set, Includes 8" Chef's, 3.5" Paring, 6" Utility Knife, Handcrafted Japanese Kitchen Knives, 3 sizes</t>
        </is>
      </c>
      <c r="E194" s="1">
        <f>HYPERLINK("https://www.amazon.com/Shun-Multi-Purpose-Essential-Exquisitely-Handcrafted/dp/B000139H82/ref=sr_1_6?keywords=Shun+Classic+8%22+Heavy+Chef%27s+Knife&amp;qid=1695763953&amp;sr=8-6", "https://www.amazon.com/Shun-Multi-Purpose-Essential-Exquisitely-Handcrafted/dp/B000139H82/ref=sr_1_6?keywords=Shun+Classic+8%22+Heavy+Chef%27s+Knife&amp;qid=1695763953&amp;sr=8-6")</f>
        <v/>
      </c>
      <c r="F194" t="inlineStr">
        <is>
          <t>B000139H82</t>
        </is>
      </c>
      <c r="G194">
        <f>_xlfn.IMAGE("https://cdn.cutleryandmore.com/assets/product/main/25192.jpg")</f>
        <v/>
      </c>
      <c r="H194">
        <f>_xlfn.IMAGE("https://m.media-amazon.com/images/I/61OyizYVPgL._AC_UL320_.jpg")</f>
        <v/>
      </c>
      <c r="K194" t="inlineStr">
        <is>
          <t>147.95</t>
        </is>
      </c>
      <c r="L194" t="n">
        <v>271.95</v>
      </c>
      <c r="M194" s="2" t="inlineStr">
        <is>
          <t>83.81%</t>
        </is>
      </c>
      <c r="N194" t="n">
        <v>4.6</v>
      </c>
      <c r="O194" t="n">
        <v>294</v>
      </c>
      <c r="Q194" t="inlineStr">
        <is>
          <t>InStock</t>
        </is>
      </c>
      <c r="R194" t="inlineStr">
        <is>
          <t>184.95</t>
        </is>
      </c>
      <c r="S194" t="inlineStr">
        <is>
          <t>DM0766</t>
        </is>
      </c>
    </row>
    <row r="195" ht="75" customHeight="1">
      <c r="A195" s="1">
        <f>HYPERLINK("https://www.cutleryandmore.com/shun-classic-blonde/chefs-knife-p139159", "https://www.cutleryandmore.com/shun-classic-blonde/chefs-knife-p139159")</f>
        <v/>
      </c>
      <c r="B195" s="1">
        <f>HYPERLINK("https://www.cutleryandmore.com/shun-classic-blonde/chefs-knife-p139159", "https://www.cutleryandmore.com/shun-classic-blonde/chefs-knife-p139159")</f>
        <v/>
      </c>
      <c r="C195" t="inlineStr">
        <is>
          <t>Shun Classic Blonde Chef's Knives</t>
        </is>
      </c>
      <c r="D195" t="inlineStr">
        <is>
          <t>Shun Cutlery Classic 3 Piece Starter Set, Includes 8" Chef's, 3.5" Paring, 6" Utility Knife, Handcrafted Japanese Kitchen Knives, 3 sizes</t>
        </is>
      </c>
      <c r="E195" s="1">
        <f>HYPERLINK("https://www.amazon.com/Shun-Multi-Purpose-Essential-Exquisitely-Handcrafted/dp/B000139H82/ref=sr_1_7?keywords=Shun+Classic+Blonde+Chef%27s+Knives&amp;qid=1695763952&amp;sr=8-7", "https://www.amazon.com/Shun-Multi-Purpose-Essential-Exquisitely-Handcrafted/dp/B000139H82/ref=sr_1_7?keywords=Shun+Classic+Blonde+Chef%27s+Knives&amp;qid=1695763952&amp;sr=8-7")</f>
        <v/>
      </c>
      <c r="F195" t="inlineStr">
        <is>
          <t>B000139H82</t>
        </is>
      </c>
      <c r="G195">
        <f>_xlfn.IMAGE("https://cdn.cutleryandmore.com/assets/product/main/39159.jpg")</f>
        <v/>
      </c>
      <c r="H195">
        <f>_xlfn.IMAGE("https://m.media-amazon.com/images/I/61OyizYVPgL._AC_UL320_.jpg")</f>
        <v/>
      </c>
      <c r="K195" t="inlineStr">
        <is>
          <t>135.95</t>
        </is>
      </c>
      <c r="L195" t="n">
        <v>271.95</v>
      </c>
      <c r="M195" s="2" t="inlineStr">
        <is>
          <t>100.04%</t>
        </is>
      </c>
      <c r="N195" t="n">
        <v>4.6</v>
      </c>
      <c r="O195" t="n">
        <v>294</v>
      </c>
      <c r="Q195" t="inlineStr">
        <is>
          <t>InStock</t>
        </is>
      </c>
      <c r="R195" t="inlineStr">
        <is>
          <t>169.95</t>
        </is>
      </c>
      <c r="S195" t="inlineStr">
        <is>
          <t>DM0706W</t>
        </is>
      </c>
    </row>
    <row r="196" ht="75" customHeight="1">
      <c r="A196" s="1">
        <f>HYPERLINK("https://www.cutleryandmore.com/shun-classic-blonde/chefs-knife-p139412", "https://www.cutleryandmore.com/shun-classic-blonde/chefs-knife-p139412")</f>
        <v/>
      </c>
      <c r="B196" s="1">
        <f>HYPERLINK("https://www.cutleryandmore.com/shun-classic-blonde/chefs-knife-p139412", "https://www.cutleryandmore.com/shun-classic-blonde/chefs-knife-p139412")</f>
        <v/>
      </c>
      <c r="C196" t="inlineStr">
        <is>
          <t>Shun Classic Blonde Chef's Knives</t>
        </is>
      </c>
      <c r="D196" t="inlineStr">
        <is>
          <t>Shun Cutlery Classic 3 Piece Starter Set, Includes 8" Chef's, 3.5" Paring, 6" Utility Knife, Handcrafted Japanese Kitchen Knives, 3 sizes</t>
        </is>
      </c>
      <c r="E196" s="1">
        <f>HYPERLINK("https://www.amazon.com/Shun-Multi-Purpose-Essential-Exquisitely-Handcrafted/dp/B000139H82/ref=sr_1_7?keywords=Shun+Classic+Blonde+Chef%27s+Knives&amp;qid=1695763901&amp;sr=8-7", "https://www.amazon.com/Shun-Multi-Purpose-Essential-Exquisitely-Handcrafted/dp/B000139H82/ref=sr_1_7?keywords=Shun+Classic+Blonde+Chef%27s+Knives&amp;qid=1695763901&amp;sr=8-7")</f>
        <v/>
      </c>
      <c r="F196" t="inlineStr">
        <is>
          <t>B000139H82</t>
        </is>
      </c>
      <c r="G196">
        <f>_xlfn.IMAGE("https://cdn.cutleryandmore.com/assets/product/main/39412.jpg")</f>
        <v/>
      </c>
      <c r="H196">
        <f>_xlfn.IMAGE("https://m.media-amazon.com/images/I/61OyizYVPgL._AC_UL320_.jpg")</f>
        <v/>
      </c>
      <c r="K196" t="inlineStr">
        <is>
          <t>119.95</t>
        </is>
      </c>
      <c r="L196" t="n">
        <v>271.95</v>
      </c>
      <c r="M196" s="2" t="inlineStr">
        <is>
          <t>126.72%</t>
        </is>
      </c>
      <c r="N196" t="n">
        <v>4.6</v>
      </c>
      <c r="O196" t="n">
        <v>294</v>
      </c>
      <c r="Q196" t="inlineStr">
        <is>
          <t>InStock</t>
        </is>
      </c>
      <c r="R196" t="inlineStr">
        <is>
          <t>149.95</t>
        </is>
      </c>
      <c r="S196" t="inlineStr">
        <is>
          <t>DM0723W</t>
        </is>
      </c>
    </row>
    <row r="197" ht="75" customHeight="1">
      <c r="A197" s="1">
        <f>HYPERLINK("https://www.cutleryandmore.com/shun-classic-blonde/knife-set-p140283", "https://www.cutleryandmore.com/shun-classic-blonde/knife-set-p140283")</f>
        <v/>
      </c>
      <c r="B197" s="1">
        <f>HYPERLINK("https://www.cutleryandmore.com/shun-classic-blonde/knife-set-p140283", "https://www.cutleryandmore.com/shun-classic-blonde/knife-set-p140283")</f>
        <v/>
      </c>
      <c r="C197" t="inlineStr">
        <is>
          <t>Shun Classic Blonde 3 Piece Knife Set</t>
        </is>
      </c>
      <c r="D197" t="inlineStr">
        <is>
          <t>Shun Classic 10-piece Knife Block Set</t>
        </is>
      </c>
      <c r="E197" s="1" t="n"/>
      <c r="F197" t="inlineStr">
        <is>
          <t>B01M1O6GOX</t>
        </is>
      </c>
      <c r="G197">
        <f>_xlfn.IMAGE("https://cdn.cutleryandmore.com/assets/product/main/40283.jpg")</f>
        <v/>
      </c>
      <c r="H197">
        <f>_xlfn.IMAGE("https://m.media-amazon.com/images/I/81nz9Ir5tzL._AC_UL320_.jpg")</f>
        <v/>
      </c>
      <c r="K197" t="inlineStr">
        <is>
          <t>271.95</t>
        </is>
      </c>
      <c r="L197" t="n">
        <v>799.95</v>
      </c>
      <c r="M197" s="2" t="inlineStr">
        <is>
          <t>194.15%</t>
        </is>
      </c>
      <c r="N197" t="n">
        <v>4.6</v>
      </c>
      <c r="O197" t="n">
        <v>87</v>
      </c>
      <c r="Q197" t="inlineStr">
        <is>
          <t>InStock</t>
        </is>
      </c>
      <c r="R197" t="inlineStr">
        <is>
          <t>339.95</t>
        </is>
      </c>
      <c r="S197" t="inlineStr">
        <is>
          <t>DMS300W</t>
        </is>
      </c>
    </row>
    <row r="198" ht="75" customHeight="1">
      <c r="A198" s="1">
        <f>HYPERLINK("https://www.cutleryandmore.com/shun-classic-blonde/paring-knife-p139154", "https://www.cutleryandmore.com/shun-classic-blonde/paring-knife-p139154")</f>
        <v/>
      </c>
      <c r="B198" s="1">
        <f>HYPERLINK("https://www.cutleryandmore.com/shun-classic-blonde/paring-knife-p139154", "https://www.cutleryandmore.com/shun-classic-blonde/paring-knife-p139154")</f>
        <v/>
      </c>
      <c r="C198" t="inlineStr">
        <is>
          <t>Shun Classic Blonde 3.5" Paring Knife</t>
        </is>
      </c>
      <c r="D198" t="inlineStr">
        <is>
          <t>Shun Cutlery Classic 3 Piece Starter Set, Includes 8" Chef's, 3.5" Paring, 6" Utility Knife, Handcrafted Japanese Kitchen Knives, 3 sizes</t>
        </is>
      </c>
      <c r="E198" s="1">
        <f>HYPERLINK("https://www.amazon.com/Shun-Multi-Purpose-Essential-Exquisitely-Handcrafted/dp/B000139H82/ref=sr_1_7?keywords=Shun+Classic+Blonde+3.5%22+Paring+Knife&amp;qid=1695763952&amp;sr=8-7", "https://www.amazon.com/Shun-Multi-Purpose-Essential-Exquisitely-Handcrafted/dp/B000139H82/ref=sr_1_7?keywords=Shun+Classic+Blonde+3.5%22+Paring+Knife&amp;qid=1695763952&amp;sr=8-7")</f>
        <v/>
      </c>
      <c r="F198" t="inlineStr">
        <is>
          <t>B000139H82</t>
        </is>
      </c>
      <c r="G198">
        <f>_xlfn.IMAGE("https://cdn.cutleryandmore.com/assets/product/main/39154.jpg")</f>
        <v/>
      </c>
      <c r="H198">
        <f>_xlfn.IMAGE("https://m.media-amazon.com/images/I/61OyizYVPgL._AC_UL320_.jpg")</f>
        <v/>
      </c>
      <c r="K198" t="inlineStr">
        <is>
          <t>79.95</t>
        </is>
      </c>
      <c r="L198" t="n">
        <v>271.95</v>
      </c>
      <c r="M198" s="2" t="inlineStr">
        <is>
          <t>240.15%</t>
        </is>
      </c>
      <c r="N198" t="n">
        <v>4.6</v>
      </c>
      <c r="O198" t="n">
        <v>294</v>
      </c>
      <c r="Q198" t="inlineStr">
        <is>
          <t>InStock</t>
        </is>
      </c>
      <c r="R198" t="inlineStr">
        <is>
          <t>99.95</t>
        </is>
      </c>
      <c r="S198" t="inlineStr">
        <is>
          <t>DM0700W</t>
        </is>
      </c>
    </row>
    <row r="199" ht="75" customHeight="1">
      <c r="A199" s="1">
        <f>HYPERLINK("https://www.cutleryandmore.com/shun-classic-blonde/utility-knife-p139157", "https://www.cutleryandmore.com/shun-classic-blonde/utility-knife-p139157")</f>
        <v/>
      </c>
      <c r="B199" s="1">
        <f>HYPERLINK("https://www.cutleryandmore.com/shun-classic-blonde/utility-knife-p139157", "https://www.cutleryandmore.com/shun-classic-blonde/utility-knife-p139157")</f>
        <v/>
      </c>
      <c r="C199" t="inlineStr">
        <is>
          <t>Shun Classic Blonde 6" Utility Knife</t>
        </is>
      </c>
      <c r="D199" t="inlineStr">
        <is>
          <t>Shun Cutlery Classic Blonde 5-Piece Starter Block Set, Kitchen Knife and Knife Block Set, Includes Classic 8” Chef, 6” Utility &amp; 3.5” Paring Knives, Handcrafted Japanese Kitchen Knives , 17 x 10 x 8</t>
        </is>
      </c>
      <c r="E199" s="1">
        <f>HYPERLINK("https://www.amazon.com/Shun-Classic-Starter-Utility-PakkaWood/dp/B086PWHS6L/ref=sr_1_4?keywords=Shun+Classic+Blonde+6%22+Utility+Knife&amp;qid=1695763897&amp;sr=8-4", "https://www.amazon.com/Shun-Classic-Starter-Utility-PakkaWood/dp/B086PWHS6L/ref=sr_1_4?keywords=Shun+Classic+Blonde+6%22+Utility+Knife&amp;qid=1695763897&amp;sr=8-4")</f>
        <v/>
      </c>
      <c r="F199" t="inlineStr">
        <is>
          <t>B086PWHS6L</t>
        </is>
      </c>
      <c r="G199">
        <f>_xlfn.IMAGE("https://cdn.cutleryandmore.com/assets/product/main/39157.jpg")</f>
        <v/>
      </c>
      <c r="H199">
        <f>_xlfn.IMAGE("https://m.media-amazon.com/images/I/61Cx0hPtOoL._AC_UL320_.jpg")</f>
        <v/>
      </c>
      <c r="K199" t="inlineStr">
        <is>
          <t>91.95</t>
        </is>
      </c>
      <c r="L199" t="n">
        <v>319.95</v>
      </c>
      <c r="M199" s="2" t="inlineStr">
        <is>
          <t>247.96%</t>
        </is>
      </c>
      <c r="N199" t="n">
        <v>4.7</v>
      </c>
      <c r="O199" t="n">
        <v>139</v>
      </c>
      <c r="Q199" t="inlineStr">
        <is>
          <t>InStock</t>
        </is>
      </c>
      <c r="R199" t="inlineStr">
        <is>
          <t>114.95</t>
        </is>
      </c>
      <c r="S199" t="inlineStr">
        <is>
          <t>DM0701W</t>
        </is>
      </c>
    </row>
    <row r="200" ht="75" customHeight="1">
      <c r="A200" s="1">
        <f>HYPERLINK("https://www.cutleryandmore.com/shun-classic-blonde/utility-knife-p139157", "https://www.cutleryandmore.com/shun-classic-blonde/utility-knife-p139157")</f>
        <v/>
      </c>
      <c r="B200" s="1">
        <f>HYPERLINK("https://www.cutleryandmore.com/shun-classic-blonde/utility-knife-p139157", "https://www.cutleryandmore.com/shun-classic-blonde/utility-knife-p139157")</f>
        <v/>
      </c>
      <c r="C200" t="inlineStr">
        <is>
          <t>Shun Classic Blonde 6" Utility Knife</t>
        </is>
      </c>
      <c r="D200" t="inlineStr">
        <is>
          <t>Shun Cutlery Classic Blonde 5-Piece Starter Block Set, Kitchen Knife and Knife Block Set, Includes Classic 8” Chef, 6” Utility &amp; 3.5” Paring Knives, Handcrafted Japanese Kitchen Knives , 17 x 10 x 8</t>
        </is>
      </c>
      <c r="E200" s="1">
        <f>HYPERLINK("https://www.amazon.com/Shun-Classic-Starter-Utility-PakkaWood/dp/B086PWHS6L/ref=sr_1_3?keywords=Shun+Classic+Blonde+6%22+Utility+Knife&amp;qid=1695763934&amp;sr=8-3", "https://www.amazon.com/Shun-Classic-Starter-Utility-PakkaWood/dp/B086PWHS6L/ref=sr_1_3?keywords=Shun+Classic+Blonde+6%22+Utility+Knife&amp;qid=1695763934&amp;sr=8-3")</f>
        <v/>
      </c>
      <c r="F200" t="inlineStr">
        <is>
          <t>B086PWHS6L</t>
        </is>
      </c>
      <c r="G200">
        <f>_xlfn.IMAGE("https://cdn.cutleryandmore.com/assets/product/main/39157.jpg")</f>
        <v/>
      </c>
      <c r="H200">
        <f>_xlfn.IMAGE("https://m.media-amazon.com/images/I/61Cx0hPtOoL._AC_UL320_.jpg")</f>
        <v/>
      </c>
      <c r="K200" t="inlineStr">
        <is>
          <t>91.95</t>
        </is>
      </c>
      <c r="L200" t="n">
        <v>319.95</v>
      </c>
      <c r="M200" s="2" t="inlineStr">
        <is>
          <t>247.96%</t>
        </is>
      </c>
      <c r="N200" t="n">
        <v>4.7</v>
      </c>
      <c r="O200" t="n">
        <v>139</v>
      </c>
      <c r="Q200" t="inlineStr">
        <is>
          <t>InStock</t>
        </is>
      </c>
      <c r="R200" t="inlineStr">
        <is>
          <t>114.95</t>
        </is>
      </c>
      <c r="S200" t="inlineStr">
        <is>
          <t>DM0701W</t>
        </is>
      </c>
    </row>
    <row r="201" ht="75" customHeight="1">
      <c r="A201" s="1">
        <f>HYPERLINK("https://www.cutleryandmore.com/shun-edo/sharpening-steel-p129050", "https://www.cutleryandmore.com/shun-edo/sharpening-steel-p129050")</f>
        <v/>
      </c>
      <c r="B201" s="1">
        <f>HYPERLINK("https://www.cutleryandmore.com/shun-edo/sharpening-steel-p129050", "https://www.cutleryandmore.com/shun-edo/sharpening-steel-p129050")</f>
        <v/>
      </c>
      <c r="C201" t="inlineStr">
        <is>
          <t>Shun 9" Combination Honing Steel</t>
        </is>
      </c>
      <c r="D201" t="inlineStr">
        <is>
          <t>Shun Cutlery Classic Bread Knife 9” &amp; Cutlery Classic Combination Honing Steel 9", Gently Corrects Rolled Knife Edges, Smooth &amp; Micro-Ribbed Honing Rod, Built-in Angle Guide</t>
        </is>
      </c>
      <c r="E201" s="1">
        <f>HYPERLINK("https://www.amazon.com/Shun-Cutlery-Combination-Corrects-Micro-Ribbed/dp/B0BS31CKZJ/ref=sr_1_9?keywords=Shun+9%22+Combination+Honing+Steel&amp;qid=1695763991&amp;sr=8-9", "https://www.amazon.com/Shun-Cutlery-Combination-Corrects-Micro-Ribbed/dp/B0BS31CKZJ/ref=sr_1_9?keywords=Shun+9%22+Combination+Honing+Steel&amp;qid=1695763991&amp;sr=8-9")</f>
        <v/>
      </c>
      <c r="F201" t="inlineStr">
        <is>
          <t>B0BS31CKZJ</t>
        </is>
      </c>
      <c r="G201">
        <f>_xlfn.IMAGE("https://cdn.cutleryandmore.com/assets/product/main/29050.jpg")</f>
        <v/>
      </c>
      <c r="H201">
        <f>_xlfn.IMAGE("https://m.media-amazon.com/images/I/41v4sm+kpKL._AC_UL320_.jpg")</f>
        <v/>
      </c>
      <c r="K201" t="inlineStr">
        <is>
          <t>29.99</t>
        </is>
      </c>
      <c r="L201" t="n">
        <v>175.9</v>
      </c>
      <c r="M201" s="2" t="inlineStr">
        <is>
          <t>486.53%</t>
        </is>
      </c>
      <c r="N201" t="n">
        <v>5</v>
      </c>
      <c r="O201" t="n">
        <v>1</v>
      </c>
      <c r="Q201" t="inlineStr">
        <is>
          <t>InStock</t>
        </is>
      </c>
      <c r="R201" t="inlineStr">
        <is>
          <t>undefined</t>
        </is>
      </c>
      <c r="S201" t="inlineStr">
        <is>
          <t>EDM0790</t>
        </is>
      </c>
    </row>
    <row r="202" ht="75" customHeight="1">
      <c r="A202" s="1">
        <f>HYPERLINK("https://www.cutleryandmore.com/shun-edo/sharpening-steel-p129050", "https://www.cutleryandmore.com/shun-edo/sharpening-steel-p129050")</f>
        <v/>
      </c>
      <c r="B202" s="1">
        <f>HYPERLINK("https://www.cutleryandmore.com/shun-edo/sharpening-steel-p129050", "https://www.cutleryandmore.com/shun-edo/sharpening-steel-p129050")</f>
        <v/>
      </c>
      <c r="C202" t="inlineStr">
        <is>
          <t>Shun 9" Combination Honing Steel</t>
        </is>
      </c>
      <c r="D202" t="inlineStr">
        <is>
          <t>Shun Cutlery Classic Utility Knife 6", Narrow &amp; Cutlery Classic Combination Honing Steel 9", Gently Corrects Rolled Knife Edges, Smooth &amp; Micro-Ribbed Honing Rod, Built-In Angle Guide</t>
        </is>
      </c>
      <c r="E202" s="1">
        <f>HYPERLINK("https://www.amazon.com/Shun-Cutlery-Combination-Corrects-Micro-Ribbed/dp/B0BS2YSHS3/ref=sr_1_7?keywords=Shun+9%22+Combination+Honing+Steel&amp;qid=1695763991&amp;sr=8-7", "https://www.amazon.com/Shun-Cutlery-Combination-Corrects-Micro-Ribbed/dp/B0BS2YSHS3/ref=sr_1_7?keywords=Shun+9%22+Combination+Honing+Steel&amp;qid=1695763991&amp;sr=8-7")</f>
        <v/>
      </c>
      <c r="F202" t="inlineStr">
        <is>
          <t>B0BS2YSHS3</t>
        </is>
      </c>
      <c r="G202">
        <f>_xlfn.IMAGE("https://cdn.cutleryandmore.com/assets/product/main/29050.jpg")</f>
        <v/>
      </c>
      <c r="H202">
        <f>_xlfn.IMAGE("https://m.media-amazon.com/images/I/31qHsiXHP-L._AC_UL320_.jpg")</f>
        <v/>
      </c>
      <c r="K202" t="inlineStr">
        <is>
          <t>29.99</t>
        </is>
      </c>
      <c r="L202" t="n">
        <v>131.9</v>
      </c>
      <c r="M202" s="2" t="inlineStr">
        <is>
          <t>339.81%</t>
        </is>
      </c>
      <c r="N202" t="n">
        <v>5</v>
      </c>
      <c r="O202" t="n">
        <v>1</v>
      </c>
      <c r="Q202" t="inlineStr">
        <is>
          <t>InStock</t>
        </is>
      </c>
      <c r="R202" t="inlineStr">
        <is>
          <t>undefined</t>
        </is>
      </c>
      <c r="S202" t="inlineStr">
        <is>
          <t>EDM0790</t>
        </is>
      </c>
    </row>
    <row r="203" ht="75" customHeight="1">
      <c r="A203" s="1">
        <f>HYPERLINK("https://www.cutleryandmore.com/shun-edo/sharpening-steel-p129050", "https://www.cutleryandmore.com/shun-edo/sharpening-steel-p129050")</f>
        <v/>
      </c>
      <c r="B203" s="1">
        <f>HYPERLINK("https://www.cutleryandmore.com/shun-edo/sharpening-steel-p129050", "https://www.cutleryandmore.com/shun-edo/sharpening-steel-p129050")</f>
        <v/>
      </c>
      <c r="C203" t="inlineStr">
        <is>
          <t>Shun 9" Combination Honing Steel</t>
        </is>
      </c>
      <c r="D203" t="inlineStr">
        <is>
          <t>Shun Cutlery Premier Combination Honing Steel 9", Gently Corrects Rolled Knife Edges, Smooth &amp; Micro-Ribbed Honing Rod, Built-In Angle Guide, Professional Japanese Honing Steel</t>
        </is>
      </c>
      <c r="E203" s="1">
        <f>HYPERLINK("https://www.amazon.com/Shun-TDM0790-Premier-Combination-Honing/dp/B00KO6146O/ref=sr_1_4?keywords=Shun+9%22+Combination+Honing+Steel&amp;qid=1695763991&amp;sr=8-4", "https://www.amazon.com/Shun-TDM0790-Premier-Combination-Honing/dp/B00KO6146O/ref=sr_1_4?keywords=Shun+9%22+Combination+Honing+Steel&amp;qid=1695763991&amp;sr=8-4")</f>
        <v/>
      </c>
      <c r="F203" t="inlineStr">
        <is>
          <t>B00KO6146O</t>
        </is>
      </c>
      <c r="G203">
        <f>_xlfn.IMAGE("https://cdn.cutleryandmore.com/assets/product/main/29050.jpg")</f>
        <v/>
      </c>
      <c r="H203">
        <f>_xlfn.IMAGE("https://m.media-amazon.com/images/I/61Pj3O5pCOL._AC_UL320_.jpg")</f>
        <v/>
      </c>
      <c r="K203" t="inlineStr">
        <is>
          <t>29.99</t>
        </is>
      </c>
      <c r="L203" t="n">
        <v>59.95</v>
      </c>
      <c r="M203" s="2" t="inlineStr">
        <is>
          <t>99.90%</t>
        </is>
      </c>
      <c r="N203" t="n">
        <v>4.6</v>
      </c>
      <c r="O203" t="n">
        <v>389</v>
      </c>
      <c r="Q203" t="inlineStr">
        <is>
          <t>InStock</t>
        </is>
      </c>
      <c r="R203" t="inlineStr">
        <is>
          <t>undefined</t>
        </is>
      </c>
      <c r="S203" t="inlineStr">
        <is>
          <t>EDM0790</t>
        </is>
      </c>
    </row>
    <row r="204" ht="75" customHeight="1">
      <c r="A204" s="1">
        <f>HYPERLINK("https://www.cutleryandmore.com/shun-edo/sharpening-steel-p129050", "https://www.cutleryandmore.com/shun-edo/sharpening-steel-p129050")</f>
        <v/>
      </c>
      <c r="B204" s="1">
        <f>HYPERLINK("https://www.cutleryandmore.com/shun-edo/sharpening-steel-p129050", "https://www.cutleryandmore.com/shun-edo/sharpening-steel-p129050")</f>
        <v/>
      </c>
      <c r="C204" t="inlineStr">
        <is>
          <t>Shun 9" Combination Honing Steel</t>
        </is>
      </c>
      <c r="D204" t="inlineStr">
        <is>
          <t>Shun Classic 9" Combination Honing Steel with Custom Engraving</t>
        </is>
      </c>
      <c r="E204" s="1">
        <f>HYPERLINK("https://www.amazon.com/Shun-Classic-Combination-Honing-Engraving/dp/B07J1ZLFWM/ref=sr_1_8?keywords=Shun+9%22+Combination+Honing+Steel&amp;qid=1695763991&amp;sr=8-8", "https://www.amazon.com/Shun-Classic-Combination-Honing-Engraving/dp/B07J1ZLFWM/ref=sr_1_8?keywords=Shun+9%22+Combination+Honing+Steel&amp;qid=1695763991&amp;sr=8-8")</f>
        <v/>
      </c>
      <c r="F204" t="inlineStr">
        <is>
          <t>B07J1ZLFWM</t>
        </is>
      </c>
      <c r="G204">
        <f>_xlfn.IMAGE("https://cdn.cutleryandmore.com/assets/product/main/29050.jpg")</f>
        <v/>
      </c>
      <c r="H204">
        <f>_xlfn.IMAGE("https://m.media-amazon.com/images/I/61+HvcY4fnL._AC_UL320_.jpg")</f>
        <v/>
      </c>
      <c r="K204" t="inlineStr">
        <is>
          <t>29.99</t>
        </is>
      </c>
      <c r="L204" t="n">
        <v>49.95</v>
      </c>
      <c r="M204" s="2" t="inlineStr">
        <is>
          <t>66.56%</t>
        </is>
      </c>
      <c r="N204" t="n">
        <v>4.9</v>
      </c>
      <c r="O204" t="n">
        <v>48</v>
      </c>
      <c r="Q204" t="inlineStr">
        <is>
          <t>InStock</t>
        </is>
      </c>
      <c r="R204" t="inlineStr">
        <is>
          <t>undefined</t>
        </is>
      </c>
      <c r="S204" t="inlineStr">
        <is>
          <t>EDM0790</t>
        </is>
      </c>
    </row>
    <row r="205" ht="75" customHeight="1">
      <c r="A205" s="1">
        <f>HYPERLINK("https://www.cutleryandmore.com/shun-sora/knife-block-set-p138233", "https://www.cutleryandmore.com/shun-sora/knife-block-set-p138233")</f>
        <v/>
      </c>
      <c r="B205" s="1">
        <f>HYPERLINK("https://www.cutleryandmore.com/shun-sora/knife-block-set-p138233", "https://www.cutleryandmore.com/shun-sora/knife-block-set-p138233")</f>
        <v/>
      </c>
      <c r="C205" t="inlineStr">
        <is>
          <t>Shun Sora 5 Piece Knife Block Set</t>
        </is>
      </c>
      <c r="D205" t="inlineStr">
        <is>
          <t>Shun Cutlery Premier 8-Piece Professional Block Set, Kitchen Knife and Knife Block Set, Includes 8” Chef's Knife, 4” Paring Knife, 6.5” Utility Knife, &amp; More, Handcrafted Japanese Kitchen Knives</t>
        </is>
      </c>
      <c r="E205" s="1">
        <f>HYPERLINK("https://www.amazon.com/Shun-Premier-Knife-Cutlery-TDMS0808/dp/B07PY122C1/ref=sr_1_9?keywords=Shun+Sora+5+Piece+Knife+Block+Set&amp;qid=1695763986&amp;sr=8-9", "https://www.amazon.com/Shun-Premier-Knife-Cutlery-TDMS0808/dp/B07PY122C1/ref=sr_1_9?keywords=Shun+Sora+5+Piece+Knife+Block+Set&amp;qid=1695763986&amp;sr=8-9")</f>
        <v/>
      </c>
      <c r="F205" t="inlineStr">
        <is>
          <t>B07PY122C1</t>
        </is>
      </c>
      <c r="G205">
        <f>_xlfn.IMAGE("https://cdn.cutleryandmore.com/assets/product/main/38233.jpg")</f>
        <v/>
      </c>
      <c r="H205">
        <f>_xlfn.IMAGE("https://m.media-amazon.com/images/I/81QLZaKPvlL._AC_UL320_.jpg")</f>
        <v/>
      </c>
      <c r="K205" t="inlineStr">
        <is>
          <t>239.95</t>
        </is>
      </c>
      <c r="L205" t="n">
        <v>999.95</v>
      </c>
      <c r="M205" s="2" t="inlineStr">
        <is>
          <t>316.73%</t>
        </is>
      </c>
      <c r="N205" t="n">
        <v>4.5</v>
      </c>
      <c r="O205" t="n">
        <v>30</v>
      </c>
      <c r="Q205" t="inlineStr">
        <is>
          <t>InStock</t>
        </is>
      </c>
      <c r="R205" t="inlineStr">
        <is>
          <t>299.95</t>
        </is>
      </c>
      <c r="S205" t="inlineStr">
        <is>
          <t>VBS500</t>
        </is>
      </c>
    </row>
    <row r="206" ht="75" customHeight="1">
      <c r="A206" s="1">
        <f>HYPERLINK("https://www.cutleryandmore.com/shun-sora/knife-block-set-p138233", "https://www.cutleryandmore.com/shun-sora/knife-block-set-p138233")</f>
        <v/>
      </c>
      <c r="B206" s="1">
        <f>HYPERLINK("https://www.cutleryandmore.com/shun-sora/knife-block-set-p138233", "https://www.cutleryandmore.com/shun-sora/knife-block-set-p138233")</f>
        <v/>
      </c>
      <c r="C206" t="inlineStr">
        <is>
          <t>Shun Sora 5 Piece Knife Block Set</t>
        </is>
      </c>
      <c r="D206" t="inlineStr">
        <is>
          <t>Shun Cutlery Premier 5-Piece Starter Block Set, Kitchen Knife, Knife Block Set, Includes 8” Chef's Knife, 4” Paring Knife, 5.6” Utility Knife, &amp; Honing Steel, Handcrafted Japanese Kitchen Knives</t>
        </is>
      </c>
      <c r="E206" s="1">
        <f>HYPERLINK("https://www.amazon.com/Shun-Premier-Block-Cutlery-TDMS0512/dp/B07PW7JH2S/ref=sr_1_8?keywords=Shun+Sora+5+Piece+Knife+Block+Set&amp;qid=1695763986&amp;sr=8-8", "https://www.amazon.com/Shun-Premier-Block-Cutlery-TDMS0512/dp/B07PW7JH2S/ref=sr_1_8?keywords=Shun+Sora+5+Piece+Knife+Block+Set&amp;qid=1695763986&amp;sr=8-8")</f>
        <v/>
      </c>
      <c r="F206" t="inlineStr">
        <is>
          <t>B07PW7JH2S</t>
        </is>
      </c>
      <c r="G206">
        <f>_xlfn.IMAGE("https://cdn.cutleryandmore.com/assets/product/main/38233.jpg")</f>
        <v/>
      </c>
      <c r="H206">
        <f>_xlfn.IMAGE("https://m.media-amazon.com/images/I/81xAxSVEDjL._AC_UL320_.jpg")</f>
        <v/>
      </c>
      <c r="K206" t="inlineStr">
        <is>
          <t>239.95</t>
        </is>
      </c>
      <c r="L206" t="n">
        <v>489.95</v>
      </c>
      <c r="M206" s="2" t="inlineStr">
        <is>
          <t>104.19%</t>
        </is>
      </c>
      <c r="N206" t="n">
        <v>4.5</v>
      </c>
      <c r="O206" t="n">
        <v>29</v>
      </c>
      <c r="Q206" t="inlineStr">
        <is>
          <t>InStock</t>
        </is>
      </c>
      <c r="R206" t="inlineStr">
        <is>
          <t>299.95</t>
        </is>
      </c>
      <c r="S206" t="inlineStr">
        <is>
          <t>VBS500</t>
        </is>
      </c>
    </row>
    <row r="207" ht="75" customHeight="1">
      <c r="A207" s="1">
        <f>HYPERLINK("https://www.cutleryandmore.com/shun-sora/knife-block-set-p138233", "https://www.cutleryandmore.com/shun-sora/knife-block-set-p138233")</f>
        <v/>
      </c>
      <c r="B207" s="1">
        <f>HYPERLINK("https://www.cutleryandmore.com/shun-sora/knife-block-set-p138233", "https://www.cutleryandmore.com/shun-sora/knife-block-set-p138233")</f>
        <v/>
      </c>
      <c r="C207" t="inlineStr">
        <is>
          <t>Shun Sora 5 Piece Knife Block Set</t>
        </is>
      </c>
      <c r="D207" t="inlineStr">
        <is>
          <t>Shun Cutlery Premier Grey 5-Piece Starter Block Set, Kitchen Knife &amp; Knife Block Set, Includes 8” Chef's Knife, 4” Paring Knife, 6.5” Utility Knife, &amp; Honing Steel, Handcrafted Japanese Kitchen Knives</t>
        </is>
      </c>
      <c r="E207" s="1">
        <f>HYPERLINK("https://www.amazon.com/Shun-Premier-Starter-Utility-Paring/dp/B08YDT3XDK/ref=sr_1_10?keywords=Shun+Sora+5+Piece+Knife+Block+Set&amp;qid=1695763986&amp;sr=8-10", "https://www.amazon.com/Shun-Premier-Starter-Utility-Paring/dp/B08YDT3XDK/ref=sr_1_10?keywords=Shun+Sora+5+Piece+Knife+Block+Set&amp;qid=1695763986&amp;sr=8-10")</f>
        <v/>
      </c>
      <c r="F207" t="inlineStr">
        <is>
          <t>B08YDT3XDK</t>
        </is>
      </c>
      <c r="G207">
        <f>_xlfn.IMAGE("https://cdn.cutleryandmore.com/assets/product/main/38233.jpg")</f>
        <v/>
      </c>
      <c r="H207">
        <f>_xlfn.IMAGE("https://m.media-amazon.com/images/I/81V5NCV4qEL._AC_UL320_.jpg")</f>
        <v/>
      </c>
      <c r="K207" t="inlineStr">
        <is>
          <t>239.95</t>
        </is>
      </c>
      <c r="L207" t="n">
        <v>489.95</v>
      </c>
      <c r="M207" s="2" t="inlineStr">
        <is>
          <t>104.19%</t>
        </is>
      </c>
      <c r="N207" t="n">
        <v>4.3</v>
      </c>
      <c r="O207" t="n">
        <v>38</v>
      </c>
      <c r="Q207" t="inlineStr">
        <is>
          <t>InStock</t>
        </is>
      </c>
      <c r="R207" t="inlineStr">
        <is>
          <t>299.95</t>
        </is>
      </c>
      <c r="S207" t="inlineStr">
        <is>
          <t>VBS500</t>
        </is>
      </c>
    </row>
    <row r="208" ht="75" customHeight="1">
      <c r="A208" s="1">
        <f>HYPERLINK("https://www.cutleryandmore.com/ultimate-edge/knife-roll-p135505", "https://www.cutleryandmore.com/ultimate-edge/knife-roll-p135505")</f>
        <v/>
      </c>
      <c r="B208" s="1">
        <f>HYPERLINK("https://www.cutleryandmore.com/ultimate-edge/knife-roll-p135505", "https://www.cutleryandmore.com/ultimate-edge/knife-roll-p135505")</f>
        <v/>
      </c>
      <c r="C208" t="inlineStr">
        <is>
          <t>Enso 12 Pocket Knife Roll</t>
        </is>
      </c>
      <c r="D208" t="inlineStr">
        <is>
          <t>Dalstrong Carrier Bag Case, Nomad Knife Roll - 12oz Heavy Duty Canvas &amp; Top Grain Leather Roll Bag - 13 Slots - Interior and Rear Zippered Pockets - Blade Travel Storage/Case, Desert Drifter (Brown)</t>
        </is>
      </c>
      <c r="E208" s="1">
        <f>HYPERLINK("https://www.amazon.com/Dalstrong-Leather-Interior-Zippered-Pockets/dp/B07P5VPDH8/ref=sr_1_6?keywords=Enso+12+Pocket+Knife+Roll&amp;qid=1695763973&amp;sr=8-6", "https://www.amazon.com/Dalstrong-Leather-Interior-Zippered-Pockets/dp/B07P5VPDH8/ref=sr_1_6?keywords=Enso+12+Pocket+Knife+Roll&amp;qid=1695763973&amp;sr=8-6")</f>
        <v/>
      </c>
      <c r="F208" t="inlineStr">
        <is>
          <t>B07P5VPDH8</t>
        </is>
      </c>
      <c r="G208">
        <f>_xlfn.IMAGE("https://cdn.cutleryandmore.com/assets/product/main/35505.jpg")</f>
        <v/>
      </c>
      <c r="H208">
        <f>_xlfn.IMAGE("https://m.media-amazon.com/images/I/71pG7SGgb7L._AC_UF264,320_.jpg")</f>
        <v/>
      </c>
      <c r="K208" t="inlineStr">
        <is>
          <t>39.95</t>
        </is>
      </c>
      <c r="L208" t="n">
        <v>147</v>
      </c>
      <c r="M208" s="2" t="inlineStr">
        <is>
          <t>267.96%</t>
        </is>
      </c>
      <c r="N208" t="n">
        <v>4.7</v>
      </c>
      <c r="O208" t="n">
        <v>1081</v>
      </c>
      <c r="Q208" t="inlineStr">
        <is>
          <t>InStock</t>
        </is>
      </c>
      <c r="R208" t="inlineStr">
        <is>
          <t>44.95</t>
        </is>
      </c>
      <c r="S208" t="inlineStr">
        <is>
          <t>EN12B</t>
        </is>
      </c>
    </row>
    <row r="209" ht="75" customHeight="1">
      <c r="A209" s="1">
        <f>HYPERLINK("https://www.cutleryandmore.com/viking/tri-ply-stainless-steel-stock-pot-p134758", "https://www.cutleryandmore.com/viking/tri-ply-stainless-steel-stock-pot-p134758")</f>
        <v/>
      </c>
      <c r="B209" s="1">
        <f>HYPERLINK("https://www.cutleryandmore.com/viking/tri-ply-stainless-steel-stock-pot-p134758", "https://www.cutleryandmore.com/viking/tri-ply-stainless-steel-stock-pot-p134758")</f>
        <v/>
      </c>
      <c r="C209" t="inlineStr">
        <is>
          <t>Viking 12-quart Tri-Ply Stainless Steel Stock Pot</t>
        </is>
      </c>
      <c r="D209" t="inlineStr">
        <is>
          <t>All-Clad 4512 Stainless Steel Tri-Ply Bonded Stockpot with Lid / Cookware, 12-Quart, Silver</t>
        </is>
      </c>
      <c r="E209" s="1">
        <f>HYPERLINK("https://www.amazon.com/All-Clad-Stainless-Dishwasher-Stockpot-Cookware/dp/B004T6J9QC/ref=sr_1_7?keywords=Viking+12-quart+Tri-Ply+Stainless+Steel+Stock+Pot&amp;qid=1695763986&amp;sr=8-7", "https://www.amazon.com/All-Clad-Stainless-Dishwasher-Stockpot-Cookware/dp/B004T6J9QC/ref=sr_1_7?keywords=Viking+12-quart+Tri-Ply+Stainless+Steel+Stock+Pot&amp;qid=1695763986&amp;sr=8-7")</f>
        <v/>
      </c>
      <c r="F209" t="inlineStr">
        <is>
          <t>B004T6J9QC</t>
        </is>
      </c>
      <c r="G209">
        <f>_xlfn.IMAGE("https://cdn.cutleryandmore.com/assets/product/main/34758.jpg")</f>
        <v/>
      </c>
      <c r="H209">
        <f>_xlfn.IMAGE("https://m.media-amazon.com/images/I/61swFXAppfL._AC_UL320_.jpg")</f>
        <v/>
      </c>
      <c r="K209" t="inlineStr">
        <is>
          <t>199.95</t>
        </is>
      </c>
      <c r="L209" t="n">
        <v>381.19</v>
      </c>
      <c r="M209" s="2" t="inlineStr">
        <is>
          <t>90.64%</t>
        </is>
      </c>
      <c r="N209" t="n">
        <v>4.6</v>
      </c>
      <c r="O209" t="n">
        <v>236</v>
      </c>
      <c r="Q209" t="inlineStr">
        <is>
          <t>InStock</t>
        </is>
      </c>
      <c r="R209" t="inlineStr">
        <is>
          <t>259.95</t>
        </is>
      </c>
      <c r="S209" t="inlineStr">
        <is>
          <t>40011-0432</t>
        </is>
      </c>
    </row>
    <row r="210" ht="75" customHeight="1">
      <c r="A210" s="1">
        <f>HYPERLINK("https://www.cutleryandmore.com/viking-hard-anodized-nonstick/10-12-inch-skillet-set-p136670", "https://www.cutleryandmore.com/viking-hard-anodized-nonstick/10-12-inch-skillet-set-p136670")</f>
        <v/>
      </c>
      <c r="B210" s="1">
        <f>HYPERLINK("https://www.cutleryandmore.com/viking-hard-anodized-nonstick/10-12-inch-skillet-set-p136670", "https://www.cutleryandmore.com/viking-hard-anodized-nonstick/10-12-inch-skillet-set-p136670")</f>
        <v/>
      </c>
      <c r="C210" t="inlineStr">
        <is>
          <t>Viking Hard Anodized Nonstick Skillets</t>
        </is>
      </c>
      <c r="D210" t="inlineStr">
        <is>
          <t>Viking Culinary Hard Anodized Nonstick Cookware Set, 10 Piece, Dishwasher, Oven Safe, Works on All Cooktops including Induction</t>
        </is>
      </c>
      <c r="E210" s="1">
        <f>HYPERLINK("https://www.amazon.com/Viking-Culinary-Dishwasher-including-Induction/dp/B073WVHYC2/ref=sr_1_3?keywords=Viking+Hard+Anodized+Nonstick+Skillets&amp;qid=1695763938&amp;sr=8-3", "https://www.amazon.com/Viking-Culinary-Dishwasher-including-Induction/dp/B073WVHYC2/ref=sr_1_3?keywords=Viking+Hard+Anodized+Nonstick+Skillets&amp;qid=1695763938&amp;sr=8-3")</f>
        <v/>
      </c>
      <c r="F210" t="inlineStr">
        <is>
          <t>B073WVHYC2</t>
        </is>
      </c>
      <c r="G210">
        <f>_xlfn.IMAGE("https://cdn.cutleryandmore.com/assets/product/main/36670.jpg")</f>
        <v/>
      </c>
      <c r="H210">
        <f>_xlfn.IMAGE("https://m.media-amazon.com/images/I/81wg1JmxSAL._AC_UL320_.jpg")</f>
        <v/>
      </c>
      <c r="K210" t="inlineStr">
        <is>
          <t>109.95</t>
        </is>
      </c>
      <c r="L210" t="n">
        <v>385.66</v>
      </c>
      <c r="M210" s="2" t="inlineStr">
        <is>
          <t>250.76%</t>
        </is>
      </c>
      <c r="N210" t="n">
        <v>4.7</v>
      </c>
      <c r="O210" t="n">
        <v>275</v>
      </c>
      <c r="Q210" t="inlineStr">
        <is>
          <t>InStock</t>
        </is>
      </c>
      <c r="R210" t="inlineStr">
        <is>
          <t>149.95</t>
        </is>
      </c>
      <c r="S210" t="inlineStr">
        <is>
          <t>40051-1182-1012</t>
        </is>
      </c>
    </row>
    <row r="211" ht="75" customHeight="1">
      <c r="A211" s="1">
        <f>HYPERLINK("https://www.cutleryandmore.com/viking-hard-anodized-nonstick/saucepan-p136672", "https://www.cutleryandmore.com/viking-hard-anodized-nonstick/saucepan-p136672")</f>
        <v/>
      </c>
      <c r="B211" s="1">
        <f>HYPERLINK("https://www.cutleryandmore.com/viking-hard-anodized-nonstick/saucepan-p136672", "https://www.cutleryandmore.com/viking-hard-anodized-nonstick/saucepan-p136672")</f>
        <v/>
      </c>
      <c r="C211" t="inlineStr">
        <is>
          <t>Viking Hard Anodized Nonstick Saucepans</t>
        </is>
      </c>
      <c r="D211" t="inlineStr">
        <is>
          <t>Viking Culinary Hard Anodized Nonstick Cookware Set, 10 Piece, Dishwasher, Oven Safe, Works on All Cooktops including Induction</t>
        </is>
      </c>
      <c r="E211" s="1">
        <f>HYPERLINK("https://www.amazon.com/Viking-Culinary-Dishwasher-including-Induction/dp/B073WVHYC2/ref=sr_1_5?keywords=Viking+Hard+Anodized+Nonstick+Saucepans&amp;qid=1695763991&amp;sr=8-5", "https://www.amazon.com/Viking-Culinary-Dishwasher-including-Induction/dp/B073WVHYC2/ref=sr_1_5?keywords=Viking+Hard+Anodized+Nonstick+Saucepans&amp;qid=1695763991&amp;sr=8-5")</f>
        <v/>
      </c>
      <c r="F211" t="inlineStr">
        <is>
          <t>B073WVHYC2</t>
        </is>
      </c>
      <c r="G211">
        <f>_xlfn.IMAGE("https://cdn.cutleryandmore.com/assets/product/main/36672.jpg")</f>
        <v/>
      </c>
      <c r="H211">
        <f>_xlfn.IMAGE("https://m.media-amazon.com/images/I/81wg1JmxSAL._AC_UL320_.jpg")</f>
        <v/>
      </c>
      <c r="K211" t="inlineStr">
        <is>
          <t>79.95</t>
        </is>
      </c>
      <c r="L211" t="n">
        <v>385.66</v>
      </c>
      <c r="M211" s="2" t="inlineStr">
        <is>
          <t>382.38%</t>
        </is>
      </c>
      <c r="N211" t="n">
        <v>4.7</v>
      </c>
      <c r="O211" t="n">
        <v>275</v>
      </c>
      <c r="Q211" t="inlineStr">
        <is>
          <t>InStock</t>
        </is>
      </c>
      <c r="R211" t="inlineStr">
        <is>
          <t>99.95</t>
        </is>
      </c>
      <c r="S211" t="inlineStr">
        <is>
          <t>40051-0121</t>
        </is>
      </c>
    </row>
    <row r="212" ht="75" customHeight="1">
      <c r="A212" s="1">
        <f>HYPERLINK("https://www.cutleryandmore.com/viking-hard-anodized-nonstick/saucepan-p136672", "https://www.cutleryandmore.com/viking-hard-anodized-nonstick/saucepan-p136672")</f>
        <v/>
      </c>
      <c r="B212" s="1">
        <f>HYPERLINK("https://www.cutleryandmore.com/viking-hard-anodized-nonstick/saucepan-p136672", "https://www.cutleryandmore.com/viking-hard-anodized-nonstick/saucepan-p136672")</f>
        <v/>
      </c>
      <c r="C212" t="inlineStr">
        <is>
          <t>Viking Hard Anodized Nonstick Saucepans</t>
        </is>
      </c>
      <c r="D212" t="inlineStr">
        <is>
          <t>VIKING Culinary Hard Anodized Nonstick Chef Pan, 12 Inch, Includes Glass Lid &amp; Ergonomic Stay-Cool Handle, Dishwasher, Oven Safe, Works on All Cooktops including Induction</t>
        </is>
      </c>
      <c r="E212" s="1">
        <f>HYPERLINK("https://www.amazon.com/Viking-Culinary-Ergonomic-Stay-Cool-Dishwasher/dp/B073WVNH3R/ref=sr_1_9?keywords=Viking+Hard+Anodized+Nonstick+Saucepans&amp;qid=1695763991&amp;sr=8-9", "https://www.amazon.com/Viking-Culinary-Ergonomic-Stay-Cool-Dishwasher/dp/B073WVNH3R/ref=sr_1_9?keywords=Viking+Hard+Anodized+Nonstick+Saucepans&amp;qid=1695763991&amp;sr=8-9")</f>
        <v/>
      </c>
      <c r="F212" t="inlineStr">
        <is>
          <t>B073WVNH3R</t>
        </is>
      </c>
      <c r="G212">
        <f>_xlfn.IMAGE("https://cdn.cutleryandmore.com/assets/product/main/36672.jpg")</f>
        <v/>
      </c>
      <c r="H212">
        <f>_xlfn.IMAGE("https://m.media-amazon.com/images/I/71nKXxeHsOL._AC_UL320_.jpg")</f>
        <v/>
      </c>
      <c r="K212" t="inlineStr">
        <is>
          <t>79.95</t>
        </is>
      </c>
      <c r="L212" t="n">
        <v>193.56</v>
      </c>
      <c r="M212" s="2" t="inlineStr">
        <is>
          <t>142.10%</t>
        </is>
      </c>
      <c r="N212" t="n">
        <v>4.3</v>
      </c>
      <c r="O212" t="n">
        <v>12</v>
      </c>
      <c r="Q212" t="inlineStr">
        <is>
          <t>InStock</t>
        </is>
      </c>
      <c r="R212" t="inlineStr">
        <is>
          <t>99.95</t>
        </is>
      </c>
      <c r="S212" t="inlineStr">
        <is>
          <t>40051-0121</t>
        </is>
      </c>
    </row>
    <row r="213" ht="75" customHeight="1">
      <c r="A213" s="1">
        <f>HYPERLINK("https://www.cutleryandmore.com/viking-hard-anodized-nonstick/saucepan-p136672", "https://www.cutleryandmore.com/viking-hard-anodized-nonstick/saucepan-p136672")</f>
        <v/>
      </c>
      <c r="B213" s="1">
        <f>HYPERLINK("https://www.cutleryandmore.com/viking-hard-anodized-nonstick/saucepan-p136672", "https://www.cutleryandmore.com/viking-hard-anodized-nonstick/saucepan-p136672")</f>
        <v/>
      </c>
      <c r="C213" t="inlineStr">
        <is>
          <t>Viking Hard Anodized Nonstick Saucepans</t>
        </is>
      </c>
      <c r="D213" t="inlineStr">
        <is>
          <t>Viking Culinary Hard Anodized Nonstick Stock Pot, 8 Quart, Includes Glass Lid, Dishwasher, Oven Safe, Works on All Cooktops including Induction, Gray</t>
        </is>
      </c>
      <c r="E213" s="1">
        <f>HYPERLINK("https://www.amazon.com/Viking-Culinary-Dishwasher-including-Induction/dp/B073WVD3J3/ref=sr_1_6?keywords=Viking+Hard+Anodized+Nonstick+Saucepans&amp;qid=1695763991&amp;sr=8-6", "https://www.amazon.com/Viking-Culinary-Dishwasher-including-Induction/dp/B073WVD3J3/ref=sr_1_6?keywords=Viking+Hard+Anodized+Nonstick+Saucepans&amp;qid=1695763991&amp;sr=8-6")</f>
        <v/>
      </c>
      <c r="F213" t="inlineStr">
        <is>
          <t>B073WVD3J3</t>
        </is>
      </c>
      <c r="G213">
        <f>_xlfn.IMAGE("https://cdn.cutleryandmore.com/assets/product/main/36672.jpg")</f>
        <v/>
      </c>
      <c r="H213">
        <f>_xlfn.IMAGE("https://m.media-amazon.com/images/I/81RBXu4THbL._AC_UL320_.jpg")</f>
        <v/>
      </c>
      <c r="K213" t="inlineStr">
        <is>
          <t>79.95</t>
        </is>
      </c>
      <c r="L213" t="n">
        <v>149.95</v>
      </c>
      <c r="M213" s="2" t="inlineStr">
        <is>
          <t>87.55%</t>
        </is>
      </c>
      <c r="N213" t="n">
        <v>4.5</v>
      </c>
      <c r="O213" t="n">
        <v>81</v>
      </c>
      <c r="Q213" t="inlineStr">
        <is>
          <t>InStock</t>
        </is>
      </c>
      <c r="R213" t="inlineStr">
        <is>
          <t>99.95</t>
        </is>
      </c>
      <c r="S213" t="inlineStr">
        <is>
          <t>40051-0121</t>
        </is>
      </c>
    </row>
    <row r="214" ht="75" customHeight="1">
      <c r="A214" s="1">
        <f>HYPERLINK("https://www.cutleryandmore.com/viking-hard-anodized-nonstick/saucepan-p139871", "https://www.cutleryandmore.com/viking-hard-anodized-nonstick/saucepan-p139871")</f>
        <v/>
      </c>
      <c r="B214" s="1">
        <f>HYPERLINK("https://www.cutleryandmore.com/viking-hard-anodized-nonstick/saucepan-p139871", "https://www.cutleryandmore.com/viking-hard-anodized-nonstick/saucepan-p139871")</f>
        <v/>
      </c>
      <c r="C214" t="inlineStr">
        <is>
          <t>Viking Hard Anodized Nonstick Saucepans</t>
        </is>
      </c>
      <c r="D214" t="inlineStr">
        <is>
          <t>Viking Culinary Hard Anodized Nonstick Cookware Set, 10 Piece, Dishwasher, Oven Safe, Works on All Cooktops including Induction</t>
        </is>
      </c>
      <c r="E214" s="1">
        <f>HYPERLINK("https://www.amazon.com/Viking-Culinary-Dishwasher-including-Induction/dp/B073WVHYC2/ref=sr_1_5?keywords=Viking+Hard+Anodized+Nonstick+Saucepans&amp;qid=1695763976&amp;sr=8-5", "https://www.amazon.com/Viking-Culinary-Dishwasher-including-Induction/dp/B073WVHYC2/ref=sr_1_5?keywords=Viking+Hard+Anodized+Nonstick+Saucepans&amp;qid=1695763976&amp;sr=8-5")</f>
        <v/>
      </c>
      <c r="F214" t="inlineStr">
        <is>
          <t>B073WVHYC2</t>
        </is>
      </c>
      <c r="G214">
        <f>_xlfn.IMAGE("https://cdn.cutleryandmore.com/assets/product/main/39871.jpg")</f>
        <v/>
      </c>
      <c r="H214">
        <f>_xlfn.IMAGE("https://m.media-amazon.com/images/I/81wg1JmxSAL._AC_UL320_.jpg")</f>
        <v/>
      </c>
      <c r="K214" t="inlineStr">
        <is>
          <t>99.95</t>
        </is>
      </c>
      <c r="L214" t="n">
        <v>385.66</v>
      </c>
      <c r="M214" s="2" t="inlineStr">
        <is>
          <t>285.85%</t>
        </is>
      </c>
      <c r="N214" t="n">
        <v>4.7</v>
      </c>
      <c r="O214" t="n">
        <v>275</v>
      </c>
      <c r="Q214" t="inlineStr">
        <is>
          <t>InStock</t>
        </is>
      </c>
      <c r="R214" t="inlineStr">
        <is>
          <t>139.95</t>
        </is>
      </c>
      <c r="S214" t="inlineStr">
        <is>
          <t>40051-0122</t>
        </is>
      </c>
    </row>
    <row r="215" ht="75" customHeight="1">
      <c r="A215" s="1">
        <f>HYPERLINK("https://www.cutleryandmore.com/viking-hard-anodized-nonstick/saucepan-p139871", "https://www.cutleryandmore.com/viking-hard-anodized-nonstick/saucepan-p139871")</f>
        <v/>
      </c>
      <c r="B215" s="1">
        <f>HYPERLINK("https://www.cutleryandmore.com/viking-hard-anodized-nonstick/saucepan-p139871", "https://www.cutleryandmore.com/viking-hard-anodized-nonstick/saucepan-p139871")</f>
        <v/>
      </c>
      <c r="C215" t="inlineStr">
        <is>
          <t>Viking Hard Anodized Nonstick Saucepans</t>
        </is>
      </c>
      <c r="D215" t="inlineStr">
        <is>
          <t>VIKING Culinary Hard Anodized Nonstick Chef Pan, 12 Inch, Includes Glass Lid &amp; Ergonomic Stay-Cool Handle, Dishwasher, Oven Safe, Works on All Cooktops including Induction</t>
        </is>
      </c>
      <c r="E215" s="1">
        <f>HYPERLINK("https://www.amazon.com/Viking-Culinary-Ergonomic-Stay-Cool-Dishwasher/dp/B073WVNH3R/ref=sr_1_9?keywords=Viking+Hard+Anodized+Nonstick+Saucepans&amp;qid=1695763976&amp;sr=8-9", "https://www.amazon.com/Viking-Culinary-Ergonomic-Stay-Cool-Dishwasher/dp/B073WVNH3R/ref=sr_1_9?keywords=Viking+Hard+Anodized+Nonstick+Saucepans&amp;qid=1695763976&amp;sr=8-9")</f>
        <v/>
      </c>
      <c r="F215" t="inlineStr">
        <is>
          <t>B073WVNH3R</t>
        </is>
      </c>
      <c r="G215">
        <f>_xlfn.IMAGE("https://cdn.cutleryandmore.com/assets/product/main/39871.jpg")</f>
        <v/>
      </c>
      <c r="H215">
        <f>_xlfn.IMAGE("https://m.media-amazon.com/images/I/71nKXxeHsOL._AC_UL320_.jpg")</f>
        <v/>
      </c>
      <c r="K215" t="inlineStr">
        <is>
          <t>99.95</t>
        </is>
      </c>
      <c r="L215" t="n">
        <v>193.56</v>
      </c>
      <c r="M215" s="2" t="inlineStr">
        <is>
          <t>93.66%</t>
        </is>
      </c>
      <c r="N215" t="n">
        <v>4.3</v>
      </c>
      <c r="O215" t="n">
        <v>12</v>
      </c>
      <c r="Q215" t="inlineStr">
        <is>
          <t>InStock</t>
        </is>
      </c>
      <c r="R215" t="inlineStr">
        <is>
          <t>139.95</t>
        </is>
      </c>
      <c r="S215" t="inlineStr">
        <is>
          <t>40051-0122</t>
        </is>
      </c>
    </row>
    <row r="216" ht="75" customHeight="1">
      <c r="A216" s="1">
        <f>HYPERLINK("https://www.cutleryandmore.com/viking-hard-anodized-nonstick/saucepan-p139872", "https://www.cutleryandmore.com/viking-hard-anodized-nonstick/saucepan-p139872")</f>
        <v/>
      </c>
      <c r="B216" s="1">
        <f>HYPERLINK("https://www.cutleryandmore.com/viking-hard-anodized-nonstick/saucepan-p139872", "https://www.cutleryandmore.com/viking-hard-anodized-nonstick/saucepan-p139872")</f>
        <v/>
      </c>
      <c r="C216" t="inlineStr">
        <is>
          <t>Viking Hard Anodized Nonstick Saucepans</t>
        </is>
      </c>
      <c r="D216" t="inlineStr">
        <is>
          <t>Viking Culinary Hard Anodized Nonstick Cookware Set, 10 Piece, Dishwasher, Oven Safe, Works on All Cooktops including Induction</t>
        </is>
      </c>
      <c r="E216" s="1">
        <f>HYPERLINK("https://www.amazon.com/Viking-Culinary-Dishwasher-including-Induction/dp/B073WVHYC2/ref=sr_1_5?keywords=Viking+Hard+Anodized+Nonstick+Saucepans&amp;qid=1695763966&amp;sr=8-5", "https://www.amazon.com/Viking-Culinary-Dishwasher-including-Induction/dp/B073WVHYC2/ref=sr_1_5?keywords=Viking+Hard+Anodized+Nonstick+Saucepans&amp;qid=1695763966&amp;sr=8-5")</f>
        <v/>
      </c>
      <c r="F216" t="inlineStr">
        <is>
          <t>B073WVHYC2</t>
        </is>
      </c>
      <c r="G216">
        <f>_xlfn.IMAGE("https://cdn.cutleryandmore.com/assets/product/main/39872.jpg")</f>
        <v/>
      </c>
      <c r="H216">
        <f>_xlfn.IMAGE("https://m.media-amazon.com/images/I/81wg1JmxSAL._AC_UL320_.jpg")</f>
        <v/>
      </c>
      <c r="K216" t="inlineStr">
        <is>
          <t>109.95</t>
        </is>
      </c>
      <c r="L216" t="n">
        <v>385.66</v>
      </c>
      <c r="M216" s="2" t="inlineStr">
        <is>
          <t>250.76%</t>
        </is>
      </c>
      <c r="N216" t="n">
        <v>4.7</v>
      </c>
      <c r="O216" t="n">
        <v>275</v>
      </c>
      <c r="Q216" t="inlineStr">
        <is>
          <t>InStock</t>
        </is>
      </c>
      <c r="R216" t="inlineStr">
        <is>
          <t>149.95</t>
        </is>
      </c>
      <c r="S216" t="inlineStr">
        <is>
          <t>40051-0123</t>
        </is>
      </c>
    </row>
    <row r="217" ht="75" customHeight="1">
      <c r="A217" s="1">
        <f>HYPERLINK("https://www.cutleryandmore.com/viking-hard-anodized-nonstick/saucepan-p139872", "https://www.cutleryandmore.com/viking-hard-anodized-nonstick/saucepan-p139872")</f>
        <v/>
      </c>
      <c r="B217" s="1">
        <f>HYPERLINK("https://www.cutleryandmore.com/viking-hard-anodized-nonstick/saucepan-p139872", "https://www.cutleryandmore.com/viking-hard-anodized-nonstick/saucepan-p139872")</f>
        <v/>
      </c>
      <c r="C217" t="inlineStr">
        <is>
          <t>Viking Hard Anodized Nonstick Saucepans</t>
        </is>
      </c>
      <c r="D217" t="inlineStr">
        <is>
          <t>VIKING Culinary Hard Anodized Nonstick Chef Pan, 12 Inch, Includes Glass Lid &amp; Ergonomic Stay-Cool Handle, Dishwasher, Oven Safe, Works on All Cooktops including Induction</t>
        </is>
      </c>
      <c r="E217" s="1">
        <f>HYPERLINK("https://www.amazon.com/Viking-Culinary-Ergonomic-Stay-Cool-Dishwasher/dp/B073WVNH3R/ref=sr_1_9?keywords=Viking+Hard+Anodized+Nonstick+Saucepans&amp;qid=1695763966&amp;sr=8-9", "https://www.amazon.com/Viking-Culinary-Ergonomic-Stay-Cool-Dishwasher/dp/B073WVNH3R/ref=sr_1_9?keywords=Viking+Hard+Anodized+Nonstick+Saucepans&amp;qid=1695763966&amp;sr=8-9")</f>
        <v/>
      </c>
      <c r="F217" t="inlineStr">
        <is>
          <t>B073WVNH3R</t>
        </is>
      </c>
      <c r="G217">
        <f>_xlfn.IMAGE("https://cdn.cutleryandmore.com/assets/product/main/39872.jpg")</f>
        <v/>
      </c>
      <c r="H217">
        <f>_xlfn.IMAGE("https://m.media-amazon.com/images/I/71nKXxeHsOL._AC_UL320_.jpg")</f>
        <v/>
      </c>
      <c r="K217" t="inlineStr">
        <is>
          <t>109.95</t>
        </is>
      </c>
      <c r="L217" t="n">
        <v>193.56</v>
      </c>
      <c r="M217" s="2" t="inlineStr">
        <is>
          <t>76.04%</t>
        </is>
      </c>
      <c r="N217" t="n">
        <v>4.3</v>
      </c>
      <c r="O217" t="n">
        <v>12</v>
      </c>
      <c r="Q217" t="inlineStr">
        <is>
          <t>InStock</t>
        </is>
      </c>
      <c r="R217" t="inlineStr">
        <is>
          <t>149.95</t>
        </is>
      </c>
      <c r="S217" t="inlineStr">
        <is>
          <t>40051-0123</t>
        </is>
      </c>
    </row>
    <row r="218" ht="75" customHeight="1">
      <c r="A218" s="1">
        <f>HYPERLINK("https://www.cutleryandmore.com/wusthof-classic-ikon/hollow-edge-carving-knife-p140549", "https://www.cutleryandmore.com/wusthof-classic-ikon/hollow-edge-carving-knife-p140549")</f>
        <v/>
      </c>
      <c r="B218" s="1">
        <f>HYPERLINK("https://www.cutleryandmore.com/wusthof-classic-ikon/hollow-edge-carving-knife-p140549", "https://www.cutleryandmore.com/wusthof-classic-ikon/hollow-edge-carving-knife-p140549")</f>
        <v/>
      </c>
      <c r="C218" t="inlineStr">
        <is>
          <t>Wusthof Classic Ikon 9" Hollow Edge Carving Knife</t>
        </is>
      </c>
      <c r="D218" t="inlineStr">
        <is>
          <t>Wusthof Classic Ikon 9” Hollow Edge Carving Knife 4504-7/23</t>
        </is>
      </c>
      <c r="E218" s="1">
        <f>HYPERLINK("https://www.amazon.com/Wusthof-Classic-Carving-4504-7-23/dp/B004AQ7VC0/ref=sr_1_1?keywords=Wusthof+Classic+Ikon+9%22+Hollow+Edge+Carving+Knife&amp;qid=1695763921&amp;sr=8-1", "https://www.amazon.com/Wusthof-Classic-Carving-4504-7-23/dp/B004AQ7VC0/ref=sr_1_1?keywords=Wusthof+Classic+Ikon+9%22+Hollow+Edge+Carving+Knife&amp;qid=1695763921&amp;sr=8-1")</f>
        <v/>
      </c>
      <c r="F218" t="inlineStr">
        <is>
          <t>B004AQ7VC0</t>
        </is>
      </c>
      <c r="G218">
        <f>_xlfn.IMAGE("https://cdn.cutleryandmore.com/assets/product/main/40549.jpg")</f>
        <v/>
      </c>
      <c r="H218">
        <f>_xlfn.IMAGE("https://m.media-amazon.com/images/I/51da0j7IRrL._AC_UL320_.jpg")</f>
        <v/>
      </c>
      <c r="K218" t="inlineStr">
        <is>
          <t>99.95</t>
        </is>
      </c>
      <c r="L218" t="n">
        <v>220</v>
      </c>
      <c r="M218" s="2" t="inlineStr">
        <is>
          <t>120.11%</t>
        </is>
      </c>
      <c r="N218" t="n">
        <v>5</v>
      </c>
      <c r="O218" t="n">
        <v>13</v>
      </c>
      <c r="Q218" t="inlineStr">
        <is>
          <t>InStock</t>
        </is>
      </c>
      <c r="R218" t="inlineStr">
        <is>
          <t>220.0</t>
        </is>
      </c>
      <c r="S218" t="inlineStr">
        <is>
          <t>4504/23</t>
        </is>
      </c>
    </row>
    <row r="219" ht="75" customHeight="1">
      <c r="A219" s="1">
        <f>HYPERLINK("https://www.cutleryandmore.com/wusthof-classic-ikon/hollow-edge-carving-knife-p140549", "https://www.cutleryandmore.com/wusthof-classic-ikon/hollow-edge-carving-knife-p140549")</f>
        <v/>
      </c>
      <c r="B219" s="1">
        <f>HYPERLINK("https://www.cutleryandmore.com/wusthof-classic-ikon/hollow-edge-carving-knife-p140549", "https://www.cutleryandmore.com/wusthof-classic-ikon/hollow-edge-carving-knife-p140549")</f>
        <v/>
      </c>
      <c r="C219" t="inlineStr">
        <is>
          <t>Wusthof Classic Ikon 9" Hollow Edge Carving Knife</t>
        </is>
      </c>
      <c r="D219" t="inlineStr">
        <is>
          <t>WÜSTHOF Classic IKON 8" Hollow Edge Carving Knife, Black, Stainless</t>
        </is>
      </c>
      <c r="E219" s="1">
        <f>HYPERLINK("https://www.amazon.com/W%C3%9CSTHOF-Classic-Hollow-Carving-Knife/dp/B001RNP8KQ/ref=sr_1_4?keywords=Wusthof+Classic+Ikon+9%22+Hollow+Edge+Carving+Knife&amp;qid=1695763921&amp;sr=8-4", "https://www.amazon.com/W%C3%9CSTHOF-Classic-Hollow-Carving-Knife/dp/B001RNP8KQ/ref=sr_1_4?keywords=Wusthof+Classic+Ikon+9%22+Hollow+Edge+Carving+Knife&amp;qid=1695763921&amp;sr=8-4")</f>
        <v/>
      </c>
      <c r="F219" t="inlineStr">
        <is>
          <t>B001RNP8KQ</t>
        </is>
      </c>
      <c r="G219">
        <f>_xlfn.IMAGE("https://cdn.cutleryandmore.com/assets/product/main/40549.jpg")</f>
        <v/>
      </c>
      <c r="H219">
        <f>_xlfn.IMAGE("https://m.media-amazon.com/images/I/51yOsiW0pTL._AC_UL320_.jpg")</f>
        <v/>
      </c>
      <c r="K219" t="inlineStr">
        <is>
          <t>99.95</t>
        </is>
      </c>
      <c r="L219" t="n">
        <v>220</v>
      </c>
      <c r="M219" s="2" t="inlineStr">
        <is>
          <t>120.11%</t>
        </is>
      </c>
      <c r="N219" t="n">
        <v>4.9</v>
      </c>
      <c r="O219" t="n">
        <v>39</v>
      </c>
      <c r="Q219" t="inlineStr">
        <is>
          <t>InStock</t>
        </is>
      </c>
      <c r="R219" t="inlineStr">
        <is>
          <t>220.0</t>
        </is>
      </c>
      <c r="S219" t="inlineStr">
        <is>
          <t>4504/23</t>
        </is>
      </c>
    </row>
    <row r="220" ht="75" customHeight="1">
      <c r="A220" s="1">
        <f>HYPERLINK("https://www.cutleryandmore.com/wusthof-classic-ikon/hollow-edge-carving-knife-p140549", "https://www.cutleryandmore.com/wusthof-classic-ikon/hollow-edge-carving-knife-p140549")</f>
        <v/>
      </c>
      <c r="B220" s="1">
        <f>HYPERLINK("https://www.cutleryandmore.com/wusthof-classic-ikon/hollow-edge-carving-knife-p140549", "https://www.cutleryandmore.com/wusthof-classic-ikon/hollow-edge-carving-knife-p140549")</f>
        <v/>
      </c>
      <c r="C220" t="inlineStr">
        <is>
          <t>Wusthof Classic Ikon 9" Hollow Edge Carving Knife</t>
        </is>
      </c>
      <c r="D220" t="inlineStr">
        <is>
          <t>WÜSTHOF Classic 9" Hollow Edge Carving Knife, Black</t>
        </is>
      </c>
      <c r="E220" s="1">
        <f>HYPERLINK("https://www.amazon.com/W%C3%BCsthof-Classic-Carving-inches-1040100823/dp/B085V653K6/ref=sr_1_5?keywords=Wusthof+Classic+Ikon+9%22+Hollow+Edge+Carving+Knife&amp;qid=1695763921&amp;sr=8-5", "https://www.amazon.com/W%C3%BCsthof-Classic-Carving-inches-1040100823/dp/B085V653K6/ref=sr_1_5?keywords=Wusthof+Classic+Ikon+9%22+Hollow+Edge+Carving+Knife&amp;qid=1695763921&amp;sr=8-5")</f>
        <v/>
      </c>
      <c r="F220" t="inlineStr">
        <is>
          <t>B085V653K6</t>
        </is>
      </c>
      <c r="G220">
        <f>_xlfn.IMAGE("https://cdn.cutleryandmore.com/assets/product/main/40549.jpg")</f>
        <v/>
      </c>
      <c r="H220">
        <f>_xlfn.IMAGE("https://m.media-amazon.com/images/I/61GNoHh5fjL._AC_UL320_.jpg")</f>
        <v/>
      </c>
      <c r="K220" t="inlineStr">
        <is>
          <t>99.95</t>
        </is>
      </c>
      <c r="L220" t="n">
        <v>170</v>
      </c>
      <c r="M220" s="2" t="inlineStr">
        <is>
          <t>70.09%</t>
        </is>
      </c>
      <c r="N220" t="n">
        <v>4.6</v>
      </c>
      <c r="O220" t="n">
        <v>38</v>
      </c>
      <c r="Q220" t="inlineStr">
        <is>
          <t>InStock</t>
        </is>
      </c>
      <c r="R220" t="inlineStr">
        <is>
          <t>220.0</t>
        </is>
      </c>
      <c r="S220" t="inlineStr">
        <is>
          <t>4504/23</t>
        </is>
      </c>
    </row>
    <row r="221" ht="75" customHeight="1">
      <c r="A221" s="1">
        <f>HYPERLINK("https://www.cutleryandmore.com/wusthof-classic-ikon/hollow-edge-carving-knife-p140549", "https://www.cutleryandmore.com/wusthof-classic-ikon/hollow-edge-carving-knife-p140549")</f>
        <v/>
      </c>
      <c r="B221" s="1">
        <f>HYPERLINK("https://www.cutleryandmore.com/wusthof-classic-ikon/hollow-edge-carving-knife-p140549", "https://www.cutleryandmore.com/wusthof-classic-ikon/hollow-edge-carving-knife-p140549")</f>
        <v/>
      </c>
      <c r="C221" t="inlineStr">
        <is>
          <t>Wusthof Classic Ikon 9" Hollow Edge Carving Knife</t>
        </is>
      </c>
      <c r="D221" t="inlineStr">
        <is>
          <t>WÜSTHOF Classic 9" Hollow Edge Carving Knife</t>
        </is>
      </c>
      <c r="E221" s="1">
        <f>HYPERLINK("https://www.amazon.com/Wusthof-Classic-9-Inch-Hollow-Edge-Carving/dp/B0000DJYSW/ref=sr_1_2?keywords=Wusthof+Classic+Ikon+9%22+Hollow+Edge+Carving+Knife&amp;qid=1695763921&amp;sr=8-2", "https://www.amazon.com/Wusthof-Classic-9-Inch-Hollow-Edge-Carving/dp/B0000DJYSW/ref=sr_1_2?keywords=Wusthof+Classic+Ikon+9%22+Hollow+Edge+Carving+Knife&amp;qid=1695763921&amp;sr=8-2")</f>
        <v/>
      </c>
      <c r="F221" t="inlineStr">
        <is>
          <t>B0000DJYSW</t>
        </is>
      </c>
      <c r="G221">
        <f>_xlfn.IMAGE("https://cdn.cutleryandmore.com/assets/product/main/40549.jpg")</f>
        <v/>
      </c>
      <c r="H221">
        <f>_xlfn.IMAGE("https://m.media-amazon.com/images/I/31YSCTnzH9L._AC_UL320_.jpg")</f>
        <v/>
      </c>
      <c r="K221" t="inlineStr">
        <is>
          <t>99.95</t>
        </is>
      </c>
      <c r="L221" t="n">
        <v>170</v>
      </c>
      <c r="M221" s="2" t="inlineStr">
        <is>
          <t>70.09%</t>
        </is>
      </c>
      <c r="N221" t="n">
        <v>4.4</v>
      </c>
      <c r="O221" t="n">
        <v>17</v>
      </c>
      <c r="Q221" t="inlineStr">
        <is>
          <t>InStock</t>
        </is>
      </c>
      <c r="R221" t="inlineStr">
        <is>
          <t>220.0</t>
        </is>
      </c>
      <c r="S221" t="inlineStr">
        <is>
          <t>4504/23</t>
        </is>
      </c>
    </row>
    <row r="222" ht="75" customHeight="1">
      <c r="A222" s="1">
        <f>HYPERLINK("https://www.cutleryandmore.com/wusthof-classic-ikon/hollow-edge-carving-knife-p140549", "https://www.cutleryandmore.com/wusthof-classic-ikon/hollow-edge-carving-knife-p140549")</f>
        <v/>
      </c>
      <c r="B222" s="1">
        <f>HYPERLINK("https://www.cutleryandmore.com/wusthof-classic-ikon/hollow-edge-carving-knife-p140549", "https://www.cutleryandmore.com/wusthof-classic-ikon/hollow-edge-carving-knife-p140549")</f>
        <v/>
      </c>
      <c r="C222" t="inlineStr">
        <is>
          <t>Wusthof Classic Ikon 9" Hollow Edge Carving Knife</t>
        </is>
      </c>
      <c r="D222" t="inlineStr">
        <is>
          <t>Wusthof Classic Ikon - 12" Salmon Slicer Knife w/Hollow Edge</t>
        </is>
      </c>
      <c r="E222" s="1">
        <f>HYPERLINK("https://www.amazon.com/Wusthof-Classic-Ikon-Salmon-Slicer/dp/B000SM5U14/ref=sr_1_7?keywords=Wusthof+Classic+Ikon+9%22+Hollow+Edge+Carving+Knife&amp;qid=1695763921&amp;sr=8-7", "https://www.amazon.com/Wusthof-Classic-Ikon-Salmon-Slicer/dp/B000SM5U14/ref=sr_1_7?keywords=Wusthof+Classic+Ikon+9%22+Hollow+Edge+Carving+Knife&amp;qid=1695763921&amp;sr=8-7")</f>
        <v/>
      </c>
      <c r="F222" t="inlineStr">
        <is>
          <t>B000SM5U14</t>
        </is>
      </c>
      <c r="G222">
        <f>_xlfn.IMAGE("https://cdn.cutleryandmore.com/assets/product/main/40549.jpg")</f>
        <v/>
      </c>
      <c r="H222">
        <f>_xlfn.IMAGE("https://m.media-amazon.com/images/I/518HjBZ2LjL._AC_UL320_.jpg")</f>
        <v/>
      </c>
      <c r="K222" t="inlineStr">
        <is>
          <t>99.95</t>
        </is>
      </c>
      <c r="L222" t="n">
        <v>167.95</v>
      </c>
      <c r="M222" s="2" t="inlineStr">
        <is>
          <t>68.03%</t>
        </is>
      </c>
      <c r="N222" t="n">
        <v>4.5</v>
      </c>
      <c r="O222" t="n">
        <v>6</v>
      </c>
      <c r="Q222" t="inlineStr">
        <is>
          <t>InStock</t>
        </is>
      </c>
      <c r="R222" t="inlineStr">
        <is>
          <t>220.0</t>
        </is>
      </c>
      <c r="S222" t="inlineStr">
        <is>
          <t>4504/23</t>
        </is>
      </c>
    </row>
    <row r="223" ht="75" customHeight="1">
      <c r="A223" s="1">
        <f>HYPERLINK("https://www.cutleryandmore.com/wusthof-culinar-petec/knife-block-set-p128379", "https://www.cutleryandmore.com/wusthof-culinar-petec/knife-block-set-p128379")</f>
        <v/>
      </c>
      <c r="B223" s="1">
        <f>HYPERLINK("https://www.cutleryandmore.com/wusthof-culinar-petec/knife-block-set-p128379", "https://www.cutleryandmore.com/wusthof-culinar-petec/knife-block-set-p128379")</f>
        <v/>
      </c>
      <c r="C223" t="inlineStr">
        <is>
          <t>Wusthof Culinar 7 Piece Acacia Knife Block Set</t>
        </is>
      </c>
      <c r="D223" t="inlineStr">
        <is>
          <t>Wusthof Classic Ikon Creme 7 Piece Slim Knife Block Set (Acacia Block)</t>
        </is>
      </c>
      <c r="E223" s="1">
        <f>HYPERLINK("https://www.amazon.com/Wusthof-Classic-Creme-Piece-Acacia/dp/B09JLRFX14/ref=sr_1_5?keywords=Wusthof+Culinar+7+Piece+Acacia+Knife+Block+Set&amp;qid=1695763994&amp;sr=8-5", "https://www.amazon.com/Wusthof-Classic-Creme-Piece-Acacia/dp/B09JLRFX14/ref=sr_1_5?keywords=Wusthof+Culinar+7+Piece+Acacia+Knife+Block+Set&amp;qid=1695763994&amp;sr=8-5")</f>
        <v/>
      </c>
      <c r="F223" t="inlineStr">
        <is>
          <t>B09JLRFX14</t>
        </is>
      </c>
      <c r="G223">
        <f>_xlfn.IMAGE("https://cdn.cutleryandmore.com/assets/product/main/28379.jpg")</f>
        <v/>
      </c>
      <c r="H223">
        <f>_xlfn.IMAGE("https://m.media-amazon.com/images/I/81fnptdI-IL._AC_UL320_.jpg")</f>
        <v/>
      </c>
      <c r="K223" t="inlineStr">
        <is>
          <t>399.95</t>
        </is>
      </c>
      <c r="L223" t="n">
        <v>695</v>
      </c>
      <c r="M223" s="2" t="inlineStr">
        <is>
          <t>73.77%</t>
        </is>
      </c>
      <c r="N223" t="n">
        <v>4.7</v>
      </c>
      <c r="O223" t="n">
        <v>26</v>
      </c>
      <c r="Q223" t="inlineStr">
        <is>
          <t>InStock</t>
        </is>
      </c>
      <c r="R223" t="inlineStr">
        <is>
          <t>499.95</t>
        </is>
      </c>
      <c r="S223" t="inlineStr">
        <is>
          <t>89707-A</t>
        </is>
      </c>
    </row>
    <row r="224" ht="75" customHeight="1">
      <c r="A224" s="1">
        <f>HYPERLINK("https://www.cutleryandmore.com/wusthof-culinar-petec/knife-block-set-p128379", "https://www.cutleryandmore.com/wusthof-culinar-petec/knife-block-set-p128379")</f>
        <v/>
      </c>
      <c r="B224" s="1">
        <f>HYPERLINK("https://www.cutleryandmore.com/wusthof-culinar-petec/knife-block-set-p128379", "https://www.cutleryandmore.com/wusthof-culinar-petec/knife-block-set-p128379")</f>
        <v/>
      </c>
      <c r="C224" t="inlineStr">
        <is>
          <t>Wusthof Culinar 7 Piece Acacia Knife Block Set</t>
        </is>
      </c>
      <c r="D224" t="inlineStr">
        <is>
          <t>Wusthof Classic Ikon 7 Piece Slim Knife Set with Acacia Block</t>
        </is>
      </c>
      <c r="E224" s="1">
        <f>HYPERLINK("https://www.amazon.com/Wusthof-Classic-Piece-Knife-Acacia/dp/B08NFB2LVC/ref=sr_1_3?keywords=Wusthof+Culinar+7+Piece+Acacia+Knife+Block+Set&amp;qid=1695763994&amp;sr=8-3", "https://www.amazon.com/Wusthof-Classic-Piece-Knife-Acacia/dp/B08NFB2LVC/ref=sr_1_3?keywords=Wusthof+Culinar+7+Piece+Acacia+Knife+Block+Set&amp;qid=1695763994&amp;sr=8-3")</f>
        <v/>
      </c>
      <c r="F224" t="inlineStr">
        <is>
          <t>B08NFB2LVC</t>
        </is>
      </c>
      <c r="G224">
        <f>_xlfn.IMAGE("https://cdn.cutleryandmore.com/assets/product/main/28379.jpg")</f>
        <v/>
      </c>
      <c r="H224">
        <f>_xlfn.IMAGE("https://m.media-amazon.com/images/I/81d-CFaw9FL._AC_UL320_.jpg")</f>
        <v/>
      </c>
      <c r="K224" t="inlineStr">
        <is>
          <t>399.95</t>
        </is>
      </c>
      <c r="L224" t="n">
        <v>695</v>
      </c>
      <c r="M224" s="2" t="inlineStr">
        <is>
          <t>73.77%</t>
        </is>
      </c>
      <c r="N224" t="n">
        <v>4.7</v>
      </c>
      <c r="O224" t="n">
        <v>75</v>
      </c>
      <c r="Q224" t="inlineStr">
        <is>
          <t>InStock</t>
        </is>
      </c>
      <c r="R224" t="inlineStr">
        <is>
          <t>499.95</t>
        </is>
      </c>
      <c r="S224" t="inlineStr">
        <is>
          <t>89707-A</t>
        </is>
      </c>
    </row>
    <row r="225" ht="75" customHeight="1">
      <c r="A225" s="1">
        <f>HYPERLINK("https://www.cutleryandmore.com/wusthof-ikon-blackwood/hollow-edge-santoku-knife-p140546", "https://www.cutleryandmore.com/wusthof-ikon-blackwood/hollow-edge-santoku-knife-p140546")</f>
        <v/>
      </c>
      <c r="B225" s="1">
        <f>HYPERLINK("https://www.cutleryandmore.com/wusthof-ikon-blackwood/hollow-edge-santoku-knife-p140546", "https://www.cutleryandmore.com/wusthof-ikon-blackwood/hollow-edge-santoku-knife-p140546")</f>
        <v/>
      </c>
      <c r="C225" t="inlineStr">
        <is>
          <t>Wusthof Ikon Blackwood Hollow Edge Santoku Knives</t>
        </is>
      </c>
      <c r="D225" t="inlineStr">
        <is>
          <t>WÜSTHOF IKON Blackwood 7" Hollow Edge Santoku Knife</t>
        </is>
      </c>
      <c r="E225" s="1">
        <f>HYPERLINK("https://www.amazon.com/W%C3%BCsthof-Blackwood-Santoku-7-Inch-1010531317/dp/B08863N4R4/ref=sr_1_1?keywords=Wusthof+Ikon+Blackwood+Hollow+Edge+Santoku+Knives&amp;qid=1695763943&amp;sr=8-1", "https://www.amazon.com/W%C3%BCsthof-Blackwood-Santoku-7-Inch-1010531317/dp/B08863N4R4/ref=sr_1_1?keywords=Wusthof+Ikon+Blackwood+Hollow+Edge+Santoku+Knives&amp;qid=1695763943&amp;sr=8-1")</f>
        <v/>
      </c>
      <c r="F225" t="inlineStr">
        <is>
          <t>B08863N4R4</t>
        </is>
      </c>
      <c r="G225">
        <f>_xlfn.IMAGE("https://cdn.cutleryandmore.com/assets/product/main/40546.jpg")</f>
        <v/>
      </c>
      <c r="H225">
        <f>_xlfn.IMAGE("https://m.media-amazon.com/images/I/61f1OCjBkcL._AC_UL320_.jpg")</f>
        <v/>
      </c>
      <c r="K225" t="inlineStr">
        <is>
          <t>149.95</t>
        </is>
      </c>
      <c r="L225" t="n">
        <v>250</v>
      </c>
      <c r="M225" s="2" t="inlineStr">
        <is>
          <t>66.72%</t>
        </is>
      </c>
      <c r="N225" t="n">
        <v>4.6</v>
      </c>
      <c r="O225" t="n">
        <v>278</v>
      </c>
      <c r="Q225" t="inlineStr">
        <is>
          <t>InStock</t>
        </is>
      </c>
      <c r="R225" t="inlineStr">
        <is>
          <t>250.0</t>
        </is>
      </c>
      <c r="S225" t="inlineStr">
        <is>
          <t>4972-100</t>
        </is>
      </c>
    </row>
    <row r="226" ht="75" customHeight="1">
      <c r="A226" s="1">
        <f>HYPERLINK("https://www.cutleryandmore.com/wusthof-ikon-blackwood/knife-block-set-p140450", "https://www.cutleryandmore.com/wusthof-ikon-blackwood/knife-block-set-p140450")</f>
        <v/>
      </c>
      <c r="B226" s="1">
        <f>HYPERLINK("https://www.cutleryandmore.com/wusthof-ikon-blackwood/knife-block-set-p140450", "https://www.cutleryandmore.com/wusthof-ikon-blackwood/knife-block-set-p140450")</f>
        <v/>
      </c>
      <c r="C226" t="inlineStr">
        <is>
          <t>Wusthof Ikon Blackwood 6 Piece Knife Block Set</t>
        </is>
      </c>
      <c r="D226" t="inlineStr">
        <is>
          <t>Wusthof IKON Blackwood 7 Piece Slim Knife Block Set</t>
        </is>
      </c>
      <c r="E226" s="1">
        <f>HYPERLINK("https://www.amazon.com/Wusthof-Blackwood-Piece-Knife-Block/dp/B09JLSSPNP/ref=sr_1_3?keywords=Wusthof+Ikon+Blackwood+6+Piece+Knife+Block+Set&amp;qid=1695763962&amp;sr=8-3", "https://www.amazon.com/Wusthof-Blackwood-Piece-Knife-Block/dp/B09JLSSPNP/ref=sr_1_3?keywords=Wusthof+Ikon+Blackwood+6+Piece+Knife+Block+Set&amp;qid=1695763962&amp;sr=8-3")</f>
        <v/>
      </c>
      <c r="F226" t="inlineStr">
        <is>
          <t>B09JLSSPNP</t>
        </is>
      </c>
      <c r="G226">
        <f>_xlfn.IMAGE("https://cdn.cutleryandmore.com/assets/product/main/40450.jpg")</f>
        <v/>
      </c>
      <c r="H226">
        <f>_xlfn.IMAGE("https://m.media-amazon.com/images/I/81xVMLLQ2ML._AC_UL320_.jpg")</f>
        <v/>
      </c>
      <c r="K226" t="inlineStr">
        <is>
          <t>549.99</t>
        </is>
      </c>
      <c r="L226" t="n">
        <v>995</v>
      </c>
      <c r="M226" s="2" t="inlineStr">
        <is>
          <t>80.91%</t>
        </is>
      </c>
      <c r="N226" t="n">
        <v>5</v>
      </c>
      <c r="O226" t="n">
        <v>8</v>
      </c>
      <c r="Q226" t="inlineStr">
        <is>
          <t>InStock</t>
        </is>
      </c>
      <c r="R226" t="inlineStr">
        <is>
          <t>undefined</t>
        </is>
      </c>
      <c r="S226" t="inlineStr">
        <is>
          <t>1102591706</t>
        </is>
      </c>
    </row>
    <row r="227" ht="75" customHeight="1">
      <c r="A227" s="1">
        <f>HYPERLINK("https://www.cutleryandmore.com/wusthof-pro/bread-knife-p126419", "https://www.cutleryandmore.com/wusthof-pro/bread-knife-p126419")</f>
        <v/>
      </c>
      <c r="B227" s="1">
        <f>HYPERLINK("https://www.cutleryandmore.com/wusthof-pro/bread-knife-p126419", "https://www.cutleryandmore.com/wusthof-pro/bread-knife-p126419")</f>
        <v/>
      </c>
      <c r="C227" t="inlineStr">
        <is>
          <t>Wusthof Pro 9" Bread Knife</t>
        </is>
      </c>
      <c r="D227" t="inlineStr">
        <is>
          <t>Wusthof IKON Bread Knife, 9", Brown</t>
        </is>
      </c>
      <c r="E227" s="1">
        <f>HYPERLINK("https://www.amazon.com/Wusthof-Serrated-Bread-4966-23/dp/B000WL1LBE/ref=sr_1_2?keywords=Wusthof+Pro+9%22+Bread+Knife&amp;qid=1695763944&amp;sr=8-2", "https://www.amazon.com/Wusthof-Serrated-Bread-4966-23/dp/B000WL1LBE/ref=sr_1_2?keywords=Wusthof+Pro+9%22+Bread+Knife&amp;qid=1695763944&amp;sr=8-2")</f>
        <v/>
      </c>
      <c r="F227" t="inlineStr">
        <is>
          <t>B000WL1LBE</t>
        </is>
      </c>
      <c r="G227">
        <f>_xlfn.IMAGE("https://cdn.cutleryandmore.com/assets/product/main/26419.jpg")</f>
        <v/>
      </c>
      <c r="H227">
        <f>_xlfn.IMAGE("https://m.media-amazon.com/images/I/51Klbpl7x3S._AC_UL320_.jpg")</f>
        <v/>
      </c>
      <c r="K227" t="inlineStr">
        <is>
          <t>39.95</t>
        </is>
      </c>
      <c r="L227" t="n">
        <v>275</v>
      </c>
      <c r="M227" s="2" t="inlineStr">
        <is>
          <t>588.36%</t>
        </is>
      </c>
      <c r="N227" t="n">
        <v>4.5</v>
      </c>
      <c r="O227" t="n">
        <v>33</v>
      </c>
      <c r="Q227" t="inlineStr">
        <is>
          <t>InStock</t>
        </is>
      </c>
      <c r="R227" t="inlineStr">
        <is>
          <t>59.95</t>
        </is>
      </c>
      <c r="S227" t="inlineStr">
        <is>
          <t>4853-7/23</t>
        </is>
      </c>
    </row>
    <row r="228" ht="75" customHeight="1">
      <c r="A228" s="1">
        <f>HYPERLINK("https://www.cutleryandmore.com/wusthof-pro/hollow-edge-santoku-knife-p126424", "https://www.cutleryandmore.com/wusthof-pro/hollow-edge-santoku-knife-p126424")</f>
        <v/>
      </c>
      <c r="B228" s="1">
        <f>HYPERLINK("https://www.cutleryandmore.com/wusthof-pro/hollow-edge-santoku-knife-p126424", "https://www.cutleryandmore.com/wusthof-pro/hollow-edge-santoku-knife-p126424")</f>
        <v/>
      </c>
      <c r="C228" t="inlineStr">
        <is>
          <t>Wusthof Pro 7" Hollow Edge Santoku Knife</t>
        </is>
      </c>
      <c r="D228" t="inlineStr">
        <is>
          <t>WÜSTHOF IKON Blackwood 7" Hollow Edge Santoku Knife</t>
        </is>
      </c>
      <c r="E228" s="1">
        <f>HYPERLINK("https://www.amazon.com/W%C3%BCsthof-Blackwood-Santoku-7-Inch-1010531317/dp/B08863N4R4/ref=sr_1_4?keywords=Wusthof+Pro+7%22+Hollow+Edge+Santoku+Knife&amp;qid=1695763967&amp;sr=8-4", "https://www.amazon.com/W%C3%BCsthof-Blackwood-Santoku-7-Inch-1010531317/dp/B08863N4R4/ref=sr_1_4?keywords=Wusthof+Pro+7%22+Hollow+Edge+Santoku+Knife&amp;qid=1695763967&amp;sr=8-4")</f>
        <v/>
      </c>
      <c r="F228" t="inlineStr">
        <is>
          <t>B08863N4R4</t>
        </is>
      </c>
      <c r="G228">
        <f>_xlfn.IMAGE("https://cdn.cutleryandmore.com/assets/product/main/26424.jpg")</f>
        <v/>
      </c>
      <c r="H228">
        <f>_xlfn.IMAGE("https://m.media-amazon.com/images/I/61f1OCjBkcL._AC_UL320_.jpg")</f>
        <v/>
      </c>
      <c r="K228" t="inlineStr">
        <is>
          <t>49.95</t>
        </is>
      </c>
      <c r="L228" t="n">
        <v>250</v>
      </c>
      <c r="M228" s="2" t="inlineStr">
        <is>
          <t>400.50%</t>
        </is>
      </c>
      <c r="N228" t="n">
        <v>4.6</v>
      </c>
      <c r="O228" t="n">
        <v>278</v>
      </c>
      <c r="Q228" t="inlineStr">
        <is>
          <t>InStock</t>
        </is>
      </c>
      <c r="R228" t="inlineStr">
        <is>
          <t>59.95</t>
        </is>
      </c>
      <c r="S228" t="inlineStr">
        <is>
          <t>4860-7</t>
        </is>
      </c>
    </row>
    <row r="229" ht="75" customHeight="1">
      <c r="A229" s="1">
        <f>HYPERLINK("https://www.cutleryandmore.com/wusthof-pro/hollow-edge-santoku-knife-p126424", "https://www.cutleryandmore.com/wusthof-pro/hollow-edge-santoku-knife-p126424")</f>
        <v/>
      </c>
      <c r="B229" s="1">
        <f>HYPERLINK("https://www.cutleryandmore.com/wusthof-pro/hollow-edge-santoku-knife-p126424", "https://www.cutleryandmore.com/wusthof-pro/hollow-edge-santoku-knife-p126424")</f>
        <v/>
      </c>
      <c r="C229" t="inlineStr">
        <is>
          <t>Wusthof Pro 7" Hollow Edge Santoku Knife</t>
        </is>
      </c>
      <c r="D229" t="inlineStr">
        <is>
          <t>Wüsthof Crafter 7" Hollow Edge Santoku Knife</t>
        </is>
      </c>
      <c r="E229" s="1">
        <f>HYPERLINK("https://www.amazon.com/W%C3%BCsthof-3783-17-Crafter-Brown/dp/B084L1X25F/ref=sr_1_2?keywords=Wusthof+Pro+7%22+Hollow+Edge+Santoku+Knife&amp;qid=1695763967&amp;sr=8-2", "https://www.amazon.com/W%C3%BCsthof-3783-17-Crafter-Brown/dp/B084L1X25F/ref=sr_1_2?keywords=Wusthof+Pro+7%22+Hollow+Edge+Santoku+Knife&amp;qid=1695763967&amp;sr=8-2")</f>
        <v/>
      </c>
      <c r="F229" t="inlineStr">
        <is>
          <t>B084L1X25F</t>
        </is>
      </c>
      <c r="G229">
        <f>_xlfn.IMAGE("https://cdn.cutleryandmore.com/assets/product/main/26424.jpg")</f>
        <v/>
      </c>
      <c r="H229">
        <f>_xlfn.IMAGE("https://m.media-amazon.com/images/I/41ZPJ1bBFbS._AC_UL320_.jpg")</f>
        <v/>
      </c>
      <c r="K229" t="inlineStr">
        <is>
          <t>49.95</t>
        </is>
      </c>
      <c r="L229" t="n">
        <v>223.62</v>
      </c>
      <c r="M229" s="2" t="inlineStr">
        <is>
          <t>347.69%</t>
        </is>
      </c>
      <c r="N229" t="n">
        <v>4.8</v>
      </c>
      <c r="O229" t="n">
        <v>8</v>
      </c>
      <c r="Q229" t="inlineStr">
        <is>
          <t>InStock</t>
        </is>
      </c>
      <c r="R229" t="inlineStr">
        <is>
          <t>59.95</t>
        </is>
      </c>
      <c r="S229" t="inlineStr">
        <is>
          <t>4860-7</t>
        </is>
      </c>
    </row>
    <row r="230" ht="75" customHeight="1">
      <c r="A230" s="1">
        <f>HYPERLINK("https://www.cutleryandmore.com/wusthof-pro/hollow-edge-santoku-knife-p126424", "https://www.cutleryandmore.com/wusthof-pro/hollow-edge-santoku-knife-p126424")</f>
        <v/>
      </c>
      <c r="B230" s="1">
        <f>HYPERLINK("https://www.cutleryandmore.com/wusthof-pro/hollow-edge-santoku-knife-p126424", "https://www.cutleryandmore.com/wusthof-pro/hollow-edge-santoku-knife-p126424")</f>
        <v/>
      </c>
      <c r="C230" t="inlineStr">
        <is>
          <t>Wusthof Pro 7" Hollow Edge Santoku Knife</t>
        </is>
      </c>
      <c r="D230" t="inlineStr">
        <is>
          <t>ZWILLING J.A. Henckels Pro 7 Hollow Edge Rocking Santoku Knife, Silver</t>
        </is>
      </c>
      <c r="E230" s="1">
        <f>HYPERLINK("https://www.amazon.com/Zwilling-J-Henckels-Rocking-Santoku/dp/B00KN12OL4/ref=sr_1_3?keywords=Wusthof+Pro+7%22+Hollow+Edge+Santoku+Knife&amp;qid=1695763967&amp;sr=8-3", "https://www.amazon.com/Zwilling-J-Henckels-Rocking-Santoku/dp/B00KN12OL4/ref=sr_1_3?keywords=Wusthof+Pro+7%22+Hollow+Edge+Santoku+Knife&amp;qid=1695763967&amp;sr=8-3")</f>
        <v/>
      </c>
      <c r="F230" t="inlineStr">
        <is>
          <t>B00KN12OL4</t>
        </is>
      </c>
      <c r="G230">
        <f>_xlfn.IMAGE("https://cdn.cutleryandmore.com/assets/product/main/26424.jpg")</f>
        <v/>
      </c>
      <c r="H230">
        <f>_xlfn.IMAGE("https://m.media-amazon.com/images/I/41957lg1gJL._AC_UL320_.jpg")</f>
        <v/>
      </c>
      <c r="K230" t="inlineStr">
        <is>
          <t>49.95</t>
        </is>
      </c>
      <c r="L230" t="n">
        <v>137</v>
      </c>
      <c r="M230" s="2" t="inlineStr">
        <is>
          <t>174.27%</t>
        </is>
      </c>
      <c r="N230" t="n">
        <v>4.6</v>
      </c>
      <c r="O230" t="n">
        <v>138</v>
      </c>
      <c r="Q230" t="inlineStr">
        <is>
          <t>InStock</t>
        </is>
      </c>
      <c r="R230" t="inlineStr">
        <is>
          <t>59.95</t>
        </is>
      </c>
      <c r="S230" t="inlineStr">
        <is>
          <t>4860-7</t>
        </is>
      </c>
    </row>
    <row r="231" ht="75" customHeight="1">
      <c r="A231" s="1">
        <f>HYPERLINK("https://www.cutleryandmore.com/wusthof-pro/hollow-edge-santoku-knife-p126424", "https://www.cutleryandmore.com/wusthof-pro/hollow-edge-santoku-knife-p126424")</f>
        <v/>
      </c>
      <c r="B231" s="1">
        <f>HYPERLINK("https://www.cutleryandmore.com/wusthof-pro/hollow-edge-santoku-knife-p126424", "https://www.cutleryandmore.com/wusthof-pro/hollow-edge-santoku-knife-p126424")</f>
        <v/>
      </c>
      <c r="C231" t="inlineStr">
        <is>
          <t>Wusthof Pro 7" Hollow Edge Santoku Knife</t>
        </is>
      </c>
      <c r="D231" t="inlineStr">
        <is>
          <t>Wüsthof Urban Farmer 7" Hollow Edge Santoku Knife, Brown</t>
        </is>
      </c>
      <c r="E231" s="1">
        <f>HYPERLINK("https://www.amazon.com/Urban-Farmer-17cm-Santoku-1025246017/dp/B085SP3S5W/ref=sr_1_5?keywords=Wusthof+Pro+7%22+Hollow+Edge+Santoku+Knife&amp;qid=1695763967&amp;sr=8-5", "https://www.amazon.com/Urban-Farmer-17cm-Santoku-1025246017/dp/B085SP3S5W/ref=sr_1_5?keywords=Wusthof+Pro+7%22+Hollow+Edge+Santoku+Knife&amp;qid=1695763967&amp;sr=8-5")</f>
        <v/>
      </c>
      <c r="F231" t="inlineStr">
        <is>
          <t>B085SP3S5W</t>
        </is>
      </c>
      <c r="G231">
        <f>_xlfn.IMAGE("https://cdn.cutleryandmore.com/assets/product/main/26424.jpg")</f>
        <v/>
      </c>
      <c r="H231">
        <f>_xlfn.IMAGE("https://m.media-amazon.com/images/I/610JX-ng6fL._AC_UL320_.jpg")</f>
        <v/>
      </c>
      <c r="K231" t="inlineStr">
        <is>
          <t>49.95</t>
        </is>
      </c>
      <c r="L231" t="n">
        <v>120</v>
      </c>
      <c r="M231" s="2" t="inlineStr">
        <is>
          <t>140.24%</t>
        </is>
      </c>
      <c r="N231" t="n">
        <v>4.5</v>
      </c>
      <c r="O231" t="n">
        <v>102</v>
      </c>
      <c r="Q231" t="inlineStr">
        <is>
          <t>InStock</t>
        </is>
      </c>
      <c r="R231" t="inlineStr">
        <is>
          <t>59.95</t>
        </is>
      </c>
      <c r="S231" t="inlineStr">
        <is>
          <t>4860-7</t>
        </is>
      </c>
    </row>
    <row r="232" ht="75" customHeight="1">
      <c r="A232" s="1">
        <f>HYPERLINK("https://www.cutleryandmore.com/wusthof-pro/hollow-edge-santoku-knife-p126424", "https://www.cutleryandmore.com/wusthof-pro/hollow-edge-santoku-knife-p126424")</f>
        <v/>
      </c>
      <c r="B232" s="1">
        <f>HYPERLINK("https://www.cutleryandmore.com/wusthof-pro/hollow-edge-santoku-knife-p126424", "https://www.cutleryandmore.com/wusthof-pro/hollow-edge-santoku-knife-p126424")</f>
        <v/>
      </c>
      <c r="C232" t="inlineStr">
        <is>
          <t>Wusthof Pro 7" Hollow Edge Santoku Knife</t>
        </is>
      </c>
      <c r="D232" t="inlineStr">
        <is>
          <t>Wusthof Gourmet - 7" Hollow Edge Santoku Knife w/Custom Engraving - Personalized</t>
        </is>
      </c>
      <c r="E232" s="1">
        <f>HYPERLINK("https://www.amazon.com/Wusthof-Gourmet-Engraving-Personalized-heirloom/dp/B07K6V91N3/ref=sr_1_6?keywords=Wusthof+Pro+7%22+Hollow+Edge+Santoku+Knife&amp;qid=1695763967&amp;sr=8-6", "https://www.amazon.com/Wusthof-Gourmet-Engraving-Personalized-heirloom/dp/B07K6V91N3/ref=sr_1_6?keywords=Wusthof+Pro+7%22+Hollow+Edge+Santoku+Knife&amp;qid=1695763967&amp;sr=8-6")</f>
        <v/>
      </c>
      <c r="F232" t="inlineStr">
        <is>
          <t>B07K6V91N3</t>
        </is>
      </c>
      <c r="G232">
        <f>_xlfn.IMAGE("https://cdn.cutleryandmore.com/assets/product/main/26424.jpg")</f>
        <v/>
      </c>
      <c r="H232">
        <f>_xlfn.IMAGE("https://m.media-amazon.com/images/I/414dnkr-j5L._AC_UL320_.jpg")</f>
        <v/>
      </c>
      <c r="K232" t="inlineStr">
        <is>
          <t>49.95</t>
        </is>
      </c>
      <c r="L232" t="n">
        <v>110</v>
      </c>
      <c r="M232" s="2" t="inlineStr">
        <is>
          <t>120.22%</t>
        </is>
      </c>
      <c r="N232" t="n">
        <v>3.9</v>
      </c>
      <c r="O232" t="n">
        <v>6</v>
      </c>
      <c r="Q232" t="inlineStr">
        <is>
          <t>InStock</t>
        </is>
      </c>
      <c r="R232" t="inlineStr">
        <is>
          <t>59.95</t>
        </is>
      </c>
      <c r="S232" t="inlineStr">
        <is>
          <t>4860-7</t>
        </is>
      </c>
    </row>
    <row r="233" ht="75" customHeight="1">
      <c r="A233" s="1">
        <f>HYPERLINK("https://www.cutleryandmore.com/wusthof-pro/hollow-edge-santoku-knife-p126424", "https://www.cutleryandmore.com/wusthof-pro/hollow-edge-santoku-knife-p126424")</f>
        <v/>
      </c>
      <c r="B233" s="1">
        <f>HYPERLINK("https://www.cutleryandmore.com/wusthof-pro/hollow-edge-santoku-knife-p126424", "https://www.cutleryandmore.com/wusthof-pro/hollow-edge-santoku-knife-p126424")</f>
        <v/>
      </c>
      <c r="C233" t="inlineStr">
        <is>
          <t>Wusthof Pro 7" Hollow Edge Santoku Knife</t>
        </is>
      </c>
      <c r="D233" t="inlineStr">
        <is>
          <t>WÜSTHOF Gourmet 7" Hollow Edge Santoku Knife,Black</t>
        </is>
      </c>
      <c r="E233" s="1">
        <f>HYPERLINK("https://www.amazon.com/Wusthof-Gourmet-4188-7-Hollow-Santoku/dp/B0073UQDRY/ref=sr_1_10?keywords=Wusthof+Pro+7%22+Hollow+Edge+Santoku+Knife&amp;qid=1695763967&amp;sr=8-10", "https://www.amazon.com/Wusthof-Gourmet-4188-7-Hollow-Santoku/dp/B0073UQDRY/ref=sr_1_10?keywords=Wusthof+Pro+7%22+Hollow+Edge+Santoku+Knife&amp;qid=1695763967&amp;sr=8-10")</f>
        <v/>
      </c>
      <c r="F233" t="inlineStr">
        <is>
          <t>B0073UQDRY</t>
        </is>
      </c>
      <c r="G233">
        <f>_xlfn.IMAGE("https://cdn.cutleryandmore.com/assets/product/main/26424.jpg")</f>
        <v/>
      </c>
      <c r="H233">
        <f>_xlfn.IMAGE("https://m.media-amazon.com/images/I/51piboFX0+L._AC_UL320_.jpg")</f>
        <v/>
      </c>
      <c r="K233" t="inlineStr">
        <is>
          <t>49.95</t>
        </is>
      </c>
      <c r="L233" t="n">
        <v>100</v>
      </c>
      <c r="M233" s="2" t="inlineStr">
        <is>
          <t>100.20%</t>
        </is>
      </c>
      <c r="N233" t="n">
        <v>4.6</v>
      </c>
      <c r="O233" t="n">
        <v>412</v>
      </c>
      <c r="Q233" t="inlineStr">
        <is>
          <t>InStock</t>
        </is>
      </c>
      <c r="R233" t="inlineStr">
        <is>
          <t>59.95</t>
        </is>
      </c>
      <c r="S233" t="inlineStr">
        <is>
          <t>4860-7</t>
        </is>
      </c>
    </row>
    <row r="234" ht="75" customHeight="1">
      <c r="A234" s="1">
        <f>HYPERLINK("https://www.cutleryandmore.com/yaxell/glass-water-stone-p139482", "https://www.cutleryandmore.com/yaxell/glass-water-stone-p139482")</f>
        <v/>
      </c>
      <c r="B234" s="1">
        <f>HYPERLINK("https://www.cutleryandmore.com/yaxell/glass-water-stone-p139482", "https://www.cutleryandmore.com/yaxell/glass-water-stone-p139482")</f>
        <v/>
      </c>
      <c r="C234" t="inlineStr">
        <is>
          <t>Yaxell Glass Water Stones</t>
        </is>
      </c>
      <c r="D234" t="inlineStr">
        <is>
          <t>Yaxell Glass Water Stone Kit - Made in Japan - 5 Piece Knife Sharpening Set</t>
        </is>
      </c>
      <c r="E234" s="1">
        <f>HYPERLINK("https://www.amazon.com/Yaxell-Glass-Water-Stone-Kit/dp/B0BQSZ3RBS/ref=sr_1_1?keywords=Yaxell+Glass+Water+Stones&amp;qid=1695763985&amp;sr=8-1", "https://www.amazon.com/Yaxell-Glass-Water-Stone-Kit/dp/B0BQSZ3RBS/ref=sr_1_1?keywords=Yaxell+Glass+Water+Stones&amp;qid=1695763985&amp;sr=8-1")</f>
        <v/>
      </c>
      <c r="F234" t="inlineStr">
        <is>
          <t>B0BQSZ3RBS</t>
        </is>
      </c>
      <c r="G234">
        <f>_xlfn.IMAGE("https://cdn.cutleryandmore.com/assets/product/main/39482.jpg")</f>
        <v/>
      </c>
      <c r="H234">
        <f>_xlfn.IMAGE("https://m.media-amazon.com/images/I/81ZpgRnD+OL._AC_UL320_.jpg")</f>
        <v/>
      </c>
      <c r="K234" t="inlineStr">
        <is>
          <t>44.95</t>
        </is>
      </c>
      <c r="L234" t="n">
        <v>149.95</v>
      </c>
      <c r="M234" s="2" t="inlineStr">
        <is>
          <t>233.59%</t>
        </is>
      </c>
      <c r="N234" t="n">
        <v>5</v>
      </c>
      <c r="O234" t="n">
        <v>1</v>
      </c>
      <c r="Q234" t="inlineStr">
        <is>
          <t>InStock</t>
        </is>
      </c>
      <c r="R234" t="inlineStr">
        <is>
          <t>69.95</t>
        </is>
      </c>
      <c r="S234" t="inlineStr">
        <is>
          <t>36072</t>
        </is>
      </c>
    </row>
    <row r="235" ht="75" customHeight="1">
      <c r="A235" s="1">
        <f>HYPERLINK("https://www.cutleryandmore.com/yaxell/glass-water-stone-p139483", "https://www.cutleryandmore.com/yaxell/glass-water-stone-p139483")</f>
        <v/>
      </c>
      <c r="B235" s="1">
        <f>HYPERLINK("https://www.cutleryandmore.com/yaxell/glass-water-stone-p139483", "https://www.cutleryandmore.com/yaxell/glass-water-stone-p139483")</f>
        <v/>
      </c>
      <c r="C235" t="inlineStr">
        <is>
          <t>Yaxell Glass Water Stones</t>
        </is>
      </c>
      <c r="D235" t="inlineStr">
        <is>
          <t>Yaxell Glass Water Stone Kit - Made in Japan - 5 Piece Knife Sharpening Set</t>
        </is>
      </c>
      <c r="E235" s="1">
        <f>HYPERLINK("https://www.amazon.com/Yaxell-Glass-Water-Stone-Kit/dp/B0BQSZ3RBS/ref=sr_1_1?keywords=Yaxell+Glass+Water+Stones&amp;qid=1695763984&amp;sr=8-1", "https://www.amazon.com/Yaxell-Glass-Water-Stone-Kit/dp/B0BQSZ3RBS/ref=sr_1_1?keywords=Yaxell+Glass+Water+Stones&amp;qid=1695763984&amp;sr=8-1")</f>
        <v/>
      </c>
      <c r="F235" t="inlineStr">
        <is>
          <t>B0BQSZ3RBS</t>
        </is>
      </c>
      <c r="G235">
        <f>_xlfn.IMAGE("https://cdn.cutleryandmore.com/assets/product/main/39483.jpg")</f>
        <v/>
      </c>
      <c r="H235">
        <f>_xlfn.IMAGE("https://m.media-amazon.com/images/I/81ZpgRnD+OL._AC_UL320_.jpg")</f>
        <v/>
      </c>
      <c r="K235" t="inlineStr">
        <is>
          <t>59.95</t>
        </is>
      </c>
      <c r="L235" t="n">
        <v>149.95</v>
      </c>
      <c r="M235" s="2" t="inlineStr">
        <is>
          <t>150.13%</t>
        </is>
      </c>
      <c r="N235" t="n">
        <v>5</v>
      </c>
      <c r="O235" t="n">
        <v>1</v>
      </c>
      <c r="Q235" t="inlineStr">
        <is>
          <t>InStock</t>
        </is>
      </c>
      <c r="R235" t="inlineStr">
        <is>
          <t>79.95</t>
        </is>
      </c>
      <c r="S235" t="inlineStr">
        <is>
          <t>36073</t>
        </is>
      </c>
    </row>
    <row r="236" ht="75" customHeight="1">
      <c r="A236" s="1">
        <f>HYPERLINK("https://www.cutleryandmore.com/yaxell/glass-water-stone-p139484", "https://www.cutleryandmore.com/yaxell/glass-water-stone-p139484")</f>
        <v/>
      </c>
      <c r="B236" s="1">
        <f>HYPERLINK("https://www.cutleryandmore.com/yaxell/glass-water-stone-p139484", "https://www.cutleryandmore.com/yaxell/glass-water-stone-p139484")</f>
        <v/>
      </c>
      <c r="C236" t="inlineStr">
        <is>
          <t>Yaxell Glass Water Stones</t>
        </is>
      </c>
      <c r="D236" t="inlineStr">
        <is>
          <t>Yaxell Glass Water Stone Kit - Made in Japan - 5 Piece Knife Sharpening Set</t>
        </is>
      </c>
      <c r="E236" s="1">
        <f>HYPERLINK("https://www.amazon.com/Yaxell-Glass-Water-Stone-Kit/dp/B0BQSZ3RBS/ref=sr_1_1?keywords=Yaxell+Glass+Water+Stones&amp;qid=1695763979&amp;sr=8-1", "https://www.amazon.com/Yaxell-Glass-Water-Stone-Kit/dp/B0BQSZ3RBS/ref=sr_1_1?keywords=Yaxell+Glass+Water+Stones&amp;qid=1695763979&amp;sr=8-1")</f>
        <v/>
      </c>
      <c r="F236" t="inlineStr">
        <is>
          <t>B0BQSZ3RBS</t>
        </is>
      </c>
      <c r="G236">
        <f>_xlfn.IMAGE("https://cdn.cutleryandmore.com/assets/product/main/39484.jpg")</f>
        <v/>
      </c>
      <c r="H236">
        <f>_xlfn.IMAGE("https://m.media-amazon.com/images/I/81ZpgRnD+OL._AC_UL320_.jpg")</f>
        <v/>
      </c>
      <c r="K236" t="inlineStr">
        <is>
          <t>79.95</t>
        </is>
      </c>
      <c r="L236" t="n">
        <v>149.95</v>
      </c>
      <c r="M236" s="2" t="inlineStr">
        <is>
          <t>87.55%</t>
        </is>
      </c>
      <c r="N236" t="n">
        <v>5</v>
      </c>
      <c r="O236" t="n">
        <v>1</v>
      </c>
      <c r="Q236" t="inlineStr">
        <is>
          <t>InStock</t>
        </is>
      </c>
      <c r="R236" t="inlineStr">
        <is>
          <t>119.95</t>
        </is>
      </c>
      <c r="S236" t="inlineStr">
        <is>
          <t>36074</t>
        </is>
      </c>
    </row>
    <row r="237" ht="75" customHeight="1">
      <c r="A237" s="1">
        <f>HYPERLINK("https://www.cutleryandmore.com/yaxell/sharpening-stone-sink-bridge-p139487", "https://www.cutleryandmore.com/yaxell/sharpening-stone-sink-bridge-p139487")</f>
        <v/>
      </c>
      <c r="B237" s="1">
        <f>HYPERLINK("https://www.cutleryandmore.com/yaxell/sharpening-stone-sink-bridge-p139487", "https://www.cutleryandmore.com/yaxell/sharpening-stone-sink-bridge-p139487")</f>
        <v/>
      </c>
      <c r="C237" t="inlineStr">
        <is>
          <t>Yaxell Glass Water Stones</t>
        </is>
      </c>
      <c r="D237" t="inlineStr">
        <is>
          <t>Yaxell Glass Water Stone Kit - Made in Japan - 5 Piece Knife Sharpening Set</t>
        </is>
      </c>
      <c r="E237" s="1">
        <f>HYPERLINK("https://www.amazon.com/Yaxell-Glass-Water-Stone-Kit/dp/B0BQSZ3RBS/ref=sr_1_1?keywords=Yaxell+Glass+Water+Stones&amp;qid=1695763952&amp;sr=8-1", "https://www.amazon.com/Yaxell-Glass-Water-Stone-Kit/dp/B0BQSZ3RBS/ref=sr_1_1?keywords=Yaxell+Glass+Water+Stones&amp;qid=1695763952&amp;sr=8-1")</f>
        <v/>
      </c>
      <c r="F237" t="inlineStr">
        <is>
          <t>B0BQSZ3RBS</t>
        </is>
      </c>
      <c r="G237">
        <f>_xlfn.IMAGE("https://cdn.cutleryandmore.com/assets/product/main/39487.jpg")</f>
        <v/>
      </c>
      <c r="H237">
        <f>_xlfn.IMAGE("https://m.media-amazon.com/images/I/81ZpgRnD+OL._AC_UL320_.jpg")</f>
        <v/>
      </c>
      <c r="K237" t="inlineStr">
        <is>
          <t>47.95</t>
        </is>
      </c>
      <c r="L237" t="n">
        <v>149.95</v>
      </c>
      <c r="M237" s="2" t="inlineStr">
        <is>
          <t>212.72%</t>
        </is>
      </c>
      <c r="N237" t="n">
        <v>5</v>
      </c>
      <c r="O237" t="n">
        <v>1</v>
      </c>
      <c r="Q237" t="inlineStr">
        <is>
          <t>InStock</t>
        </is>
      </c>
      <c r="R237" t="inlineStr">
        <is>
          <t>59.95</t>
        </is>
      </c>
      <c r="S237" t="inlineStr">
        <is>
          <t>36077</t>
        </is>
      </c>
    </row>
    <row r="238" ht="75" customHeight="1">
      <c r="A238" s="1">
        <f>HYPERLINK("https://www.cutleryandmore.com/yaxell-mon/kiritsuke-knife-p138054", "https://www.cutleryandmore.com/yaxell-mon/kiritsuke-knife-p138054")</f>
        <v/>
      </c>
      <c r="B238" s="1">
        <f>HYPERLINK("https://www.cutleryandmore.com/yaxell-mon/kiritsuke-knife-p138054", "https://www.cutleryandmore.com/yaxell-mon/kiritsuke-knife-p138054")</f>
        <v/>
      </c>
      <c r="C238" t="inlineStr">
        <is>
          <t>Yaxell Mon 8" Kiritsuke Knife</t>
        </is>
      </c>
      <c r="D238" t="inlineStr">
        <is>
          <t>Yaxell Ran Plus 8" Kiritsuke Knife - Made in Japan - 67 Layers VG10 Damascus</t>
        </is>
      </c>
      <c r="E238" s="1">
        <f>HYPERLINK("https://www.amazon.com/Yaxell-Ran-Plus-Kiritsuke-Knife/dp/B081ZJRJBP/ref=sr_1_1?keywords=Yaxell+Mon+8%22+Kiritsuke+Knife&amp;qid=1695763934&amp;sr=8-1", "https://www.amazon.com/Yaxell-Ran-Plus-Kiritsuke-Knife/dp/B081ZJRJBP/ref=sr_1_1?keywords=Yaxell+Mon+8%22+Kiritsuke+Knife&amp;qid=1695763934&amp;sr=8-1")</f>
        <v/>
      </c>
      <c r="F238" t="inlineStr">
        <is>
          <t>B081ZJRJBP</t>
        </is>
      </c>
      <c r="G238">
        <f>_xlfn.IMAGE("https://cdn.cutleryandmore.com/assets/product/main/38054.jpg")</f>
        <v/>
      </c>
      <c r="H238">
        <f>_xlfn.IMAGE("https://m.media-amazon.com/images/I/71lTpkbp5wL._AC_UL320_.jpg")</f>
        <v/>
      </c>
      <c r="K238" t="inlineStr">
        <is>
          <t>89.95</t>
        </is>
      </c>
      <c r="L238" t="n">
        <v>179.95</v>
      </c>
      <c r="M238" s="2" t="inlineStr">
        <is>
          <t>100.06%</t>
        </is>
      </c>
      <c r="N238" t="n">
        <v>4.6</v>
      </c>
      <c r="O238" t="n">
        <v>19</v>
      </c>
      <c r="Q238" t="inlineStr">
        <is>
          <t>InStock</t>
        </is>
      </c>
      <c r="R238" t="inlineStr">
        <is>
          <t>119.95</t>
        </is>
      </c>
      <c r="S238" t="inlineStr">
        <is>
          <t>36334</t>
        </is>
      </c>
    </row>
    <row r="239" ht="75" customHeight="1">
      <c r="A239" s="1">
        <f>HYPERLINK("https://www.cutleryandmore.com/yaxell-mon/knife-set-p137290", "https://www.cutleryandmore.com/yaxell-mon/knife-set-p137290")</f>
        <v/>
      </c>
      <c r="B239" s="1">
        <f>HYPERLINK("https://www.cutleryandmore.com/yaxell-mon/knife-set-p137290", "https://www.cutleryandmore.com/yaxell-mon/knife-set-p137290")</f>
        <v/>
      </c>
      <c r="C239" t="inlineStr">
        <is>
          <t>Yaxell Mon 2 Piece Knife Set</t>
        </is>
      </c>
      <c r="D239" t="inlineStr">
        <is>
          <t>Yaxell Ypsilon SG2 Knife Set, 3 Piece with Katana Stand - 193 Layer Stainless Damascus</t>
        </is>
      </c>
      <c r="E239" s="1">
        <f>HYPERLINK("https://www.amazon.com/Yaxell-Ypsilon-Knife-Piece-Katana/dp/B0B64M3FWH/ref=sr_1_6?keywords=Yaxell+Mon+2+Piece+Knife+Set&amp;qid=1695763968&amp;sr=8-6", "https://www.amazon.com/Yaxell-Ypsilon-Knife-Piece-Katana/dp/B0B64M3FWH/ref=sr_1_6?keywords=Yaxell+Mon+2+Piece+Knife+Set&amp;qid=1695763968&amp;sr=8-6")</f>
        <v/>
      </c>
      <c r="F239" t="inlineStr">
        <is>
          <t>B0B64M3FWH</t>
        </is>
      </c>
      <c r="G239">
        <f>_xlfn.IMAGE("https://cdn.cutleryandmore.com/assets/product/main/37290.jpg")</f>
        <v/>
      </c>
      <c r="H239">
        <f>_xlfn.IMAGE("https://m.media-amazon.com/images/I/815hhnYJyQL._AC_UL320_.jpg")</f>
        <v/>
      </c>
      <c r="K239" t="inlineStr">
        <is>
          <t>129.95</t>
        </is>
      </c>
      <c r="L239" t="n">
        <v>1299.95</v>
      </c>
      <c r="M239" s="2" t="inlineStr">
        <is>
          <t>900.35%</t>
        </is>
      </c>
      <c r="N239" t="n">
        <v>5</v>
      </c>
      <c r="O239" t="n">
        <v>1</v>
      </c>
      <c r="Q239" t="inlineStr">
        <is>
          <t>InStock</t>
        </is>
      </c>
      <c r="R239" t="inlineStr">
        <is>
          <t>159.95</t>
        </is>
      </c>
      <c r="S239" t="inlineStr">
        <is>
          <t>36399-200</t>
        </is>
      </c>
    </row>
    <row r="240" ht="75" customHeight="1">
      <c r="A240" s="1">
        <f>HYPERLINK("https://www.cutleryandmore.com/yaxell-mon/knife-set-p137290", "https://www.cutleryandmore.com/yaxell-mon/knife-set-p137290")</f>
        <v/>
      </c>
      <c r="B240" s="1">
        <f>HYPERLINK("https://www.cutleryandmore.com/yaxell-mon/knife-set-p137290", "https://www.cutleryandmore.com/yaxell-mon/knife-set-p137290")</f>
        <v/>
      </c>
      <c r="C240" t="inlineStr">
        <is>
          <t>Yaxell Mon 2 Piece Knife Set</t>
        </is>
      </c>
      <c r="D240" t="inlineStr">
        <is>
          <t>Yaxell Super Gou 7 Piece Acacia Slim Knife Block Set - Made in Japan - 161 Layers SG2 Stainless Damascus</t>
        </is>
      </c>
      <c r="E240" s="1">
        <f>HYPERLINK("https://www.amazon.com/Yaxell-Super-Piece-Acacia-Knife/dp/B0821TKHPM/ref=sr_1_4?keywords=Yaxell+Mon+2+Piece+Knife+Set&amp;qid=1695763968&amp;sr=8-4", "https://www.amazon.com/Yaxell-Super-Piece-Acacia-Knife/dp/B0821TKHPM/ref=sr_1_4?keywords=Yaxell+Mon+2+Piece+Knife+Set&amp;qid=1695763968&amp;sr=8-4")</f>
        <v/>
      </c>
      <c r="F240" t="inlineStr">
        <is>
          <t>B0821TKHPM</t>
        </is>
      </c>
      <c r="G240">
        <f>_xlfn.IMAGE("https://cdn.cutleryandmore.com/assets/product/main/37290.jpg")</f>
        <v/>
      </c>
      <c r="H240">
        <f>_xlfn.IMAGE("https://m.media-amazon.com/images/I/81awOgG5KIL._AC_UL320_.jpg")</f>
        <v/>
      </c>
      <c r="K240" t="inlineStr">
        <is>
          <t>129.95</t>
        </is>
      </c>
      <c r="L240" t="n">
        <v>1199.95</v>
      </c>
      <c r="M240" s="2" t="inlineStr">
        <is>
          <t>823.39%</t>
        </is>
      </c>
      <c r="N240" t="n">
        <v>4.1</v>
      </c>
      <c r="O240" t="n">
        <v>9</v>
      </c>
      <c r="Q240" t="inlineStr">
        <is>
          <t>InStock</t>
        </is>
      </c>
      <c r="R240" t="inlineStr">
        <is>
          <t>159.95</t>
        </is>
      </c>
      <c r="S240" t="inlineStr">
        <is>
          <t>36399-200</t>
        </is>
      </c>
    </row>
    <row r="241" ht="75" customHeight="1">
      <c r="A241" s="1">
        <f>HYPERLINK("https://www.cutleryandmore.com/yaxell-mon/knife-set-p137290", "https://www.cutleryandmore.com/yaxell-mon/knife-set-p137290")</f>
        <v/>
      </c>
      <c r="B241" s="1">
        <f>HYPERLINK("https://www.cutleryandmore.com/yaxell-mon/knife-set-p137290", "https://www.cutleryandmore.com/yaxell-mon/knife-set-p137290")</f>
        <v/>
      </c>
      <c r="C241" t="inlineStr">
        <is>
          <t>Yaxell Mon 2 Piece Knife Set</t>
        </is>
      </c>
      <c r="D241" t="inlineStr">
        <is>
          <t>Yaxell Mon 6-piece Knife Set - Made in Japan - VG10 Stainless Steel Knives with Slim Wood Block</t>
        </is>
      </c>
      <c r="E241" s="1">
        <f>HYPERLINK("https://www.amazon.com/Yaxell-Mon-6-piece-Knife-Set/dp/B07BSLK5GF/ref=sr_1_2?keywords=Yaxell+Mon+2+Piece+Knife+Set&amp;qid=1695763968&amp;sr=8-2", "https://www.amazon.com/Yaxell-Mon-6-piece-Knife-Set/dp/B07BSLK5GF/ref=sr_1_2?keywords=Yaxell+Mon+2+Piece+Knife+Set&amp;qid=1695763968&amp;sr=8-2")</f>
        <v/>
      </c>
      <c r="F241" t="inlineStr">
        <is>
          <t>B07BSLK5GF</t>
        </is>
      </c>
      <c r="G241">
        <f>_xlfn.IMAGE("https://cdn.cutleryandmore.com/assets/product/main/37290.jpg")</f>
        <v/>
      </c>
      <c r="H241">
        <f>_xlfn.IMAGE("https://m.media-amazon.com/images/I/71Ai0tacmrL._AC_UL320_.jpg")</f>
        <v/>
      </c>
      <c r="K241" t="inlineStr">
        <is>
          <t>129.95</t>
        </is>
      </c>
      <c r="L241" t="n">
        <v>399.95</v>
      </c>
      <c r="M241" s="2" t="inlineStr">
        <is>
          <t>207.77%</t>
        </is>
      </c>
      <c r="N241" t="n">
        <v>4.5</v>
      </c>
      <c r="O241" t="n">
        <v>41</v>
      </c>
      <c r="Q241" t="inlineStr">
        <is>
          <t>InStock</t>
        </is>
      </c>
      <c r="R241" t="inlineStr">
        <is>
          <t>159.95</t>
        </is>
      </c>
      <c r="S241" t="inlineStr">
        <is>
          <t>36399-200</t>
        </is>
      </c>
    </row>
    <row r="242" ht="75" customHeight="1">
      <c r="A242" s="1">
        <f>HYPERLINK("https://www.cutleryandmore.com/yaxell-mon/slim-knife-block-set-p140647", "https://www.cutleryandmore.com/yaxell-mon/slim-knife-block-set-p140647")</f>
        <v/>
      </c>
      <c r="B242" s="1">
        <f>HYPERLINK("https://www.cutleryandmore.com/yaxell-mon/slim-knife-block-set-p140647", "https://www.cutleryandmore.com/yaxell-mon/slim-knife-block-set-p140647")</f>
        <v/>
      </c>
      <c r="C242" t="inlineStr">
        <is>
          <t>Yaxell Mon 6 Piece Slim Knife Block Set</t>
        </is>
      </c>
      <c r="D242" t="inlineStr">
        <is>
          <t>Yaxell Super Gou 7 Piece Dark Ash Slim Knife Block Set - Made in Japan - 161 Layers SG2 Stainless Damascus</t>
        </is>
      </c>
      <c r="E242" s="1">
        <f>HYPERLINK("https://www.amazon.com/Yaxell-Super-Piece-Knife-Block/dp/B0821THSH4/ref=sr_1_2?keywords=Yaxell+Mon+6+Piece+Slim+Knife+Block+Set&amp;qid=1695763947&amp;sr=8-2", "https://www.amazon.com/Yaxell-Super-Piece-Knife-Block/dp/B0821THSH4/ref=sr_1_2?keywords=Yaxell+Mon+6+Piece+Slim+Knife+Block+Set&amp;qid=1695763947&amp;sr=8-2")</f>
        <v/>
      </c>
      <c r="F242" t="inlineStr">
        <is>
          <t>B0821THSH4</t>
        </is>
      </c>
      <c r="G242">
        <f>_xlfn.IMAGE("https://cdn.cutleryandmore.com/assets/product/main/40647.jpg")</f>
        <v/>
      </c>
      <c r="H242">
        <f>_xlfn.IMAGE("https://m.media-amazon.com/images/I/81EDMpqOCgL._AC_UL320_.jpg")</f>
        <v/>
      </c>
      <c r="K242" t="inlineStr">
        <is>
          <t>299.95</t>
        </is>
      </c>
      <c r="L242" t="n">
        <v>1199.95</v>
      </c>
      <c r="M242" s="2" t="inlineStr">
        <is>
          <t>300.05%</t>
        </is>
      </c>
      <c r="N242" t="n">
        <v>4.1</v>
      </c>
      <c r="O242" t="n">
        <v>9</v>
      </c>
      <c r="Q242" t="inlineStr">
        <is>
          <t>InStock</t>
        </is>
      </c>
      <c r="R242" t="inlineStr">
        <is>
          <t>399.95</t>
        </is>
      </c>
      <c r="S242" t="inlineStr">
        <is>
          <t>36399-061GA</t>
        </is>
      </c>
    </row>
    <row r="243" ht="75" customHeight="1">
      <c r="A243" s="1">
        <f>HYPERLINK("https://www.cutleryandmore.com/yaxell-taishi/chefs-knife-p140190", "https://www.cutleryandmore.com/yaxell-taishi/chefs-knife-p140190")</f>
        <v/>
      </c>
      <c r="B243" s="1">
        <f>HYPERLINK("https://www.cutleryandmore.com/yaxell-taishi/chefs-knife-p140190", "https://www.cutleryandmore.com/yaxell-taishi/chefs-knife-p140190")</f>
        <v/>
      </c>
      <c r="C243" t="inlineStr">
        <is>
          <t>Yaxell Taishi 8" Chef's Knife</t>
        </is>
      </c>
      <c r="D243" t="inlineStr">
        <is>
          <t>Yaxell Super Gou 8" Chef's Knife - Made in Japan - 161 Layers SG2 Stainless Damascus</t>
        </is>
      </c>
      <c r="E243" s="1">
        <f>HYPERLINK("https://www.amazon.com/Yaxell-Super-Chefs-Knife-200mm/dp/B00G71LDC0/ref=sr_1_7?keywords=Yaxell+Taishi+8%22+Chef%27s+Knife&amp;qid=1695763960&amp;sr=8-7", "https://www.amazon.com/Yaxell-Super-Chefs-Knife-200mm/dp/B00G71LDC0/ref=sr_1_7?keywords=Yaxell+Taishi+8%22+Chef%27s+Knife&amp;qid=1695763960&amp;sr=8-7")</f>
        <v/>
      </c>
      <c r="F243" t="inlineStr">
        <is>
          <t>B00G71LDC0</t>
        </is>
      </c>
      <c r="G243">
        <f>_xlfn.IMAGE("https://cdn.cutleryandmore.com/assets/product/main/40190.jpg")</f>
        <v/>
      </c>
      <c r="H243">
        <f>_xlfn.IMAGE("https://m.media-amazon.com/images/I/7132WX2OXGL._AC_UL320_.jpg")</f>
        <v/>
      </c>
      <c r="K243" t="inlineStr">
        <is>
          <t>119.95</t>
        </is>
      </c>
      <c r="L243" t="n">
        <v>299.95</v>
      </c>
      <c r="M243" s="2" t="inlineStr">
        <is>
          <t>150.06%</t>
        </is>
      </c>
      <c r="N243" t="n">
        <v>5</v>
      </c>
      <c r="O243" t="n">
        <v>2</v>
      </c>
      <c r="Q243" t="inlineStr">
        <is>
          <t>InStock</t>
        </is>
      </c>
      <c r="R243" t="inlineStr">
        <is>
          <t>149.95</t>
        </is>
      </c>
      <c r="S243" t="inlineStr">
        <is>
          <t>34700</t>
        </is>
      </c>
    </row>
    <row r="244" ht="75" customHeight="1">
      <c r="A244" s="1">
        <f>HYPERLINK("https://www.cutleryandmore.com/zwilling-ja-henckels-diplome/chefs-knife-p137775", "https://www.cutleryandmore.com/zwilling-ja-henckels-diplome/chefs-knife-p137775")</f>
        <v/>
      </c>
      <c r="B244" s="1">
        <f>HYPERLINK("https://www.cutleryandmore.com/zwilling-ja-henckels-diplome/chefs-knife-p137775", "https://www.cutleryandmore.com/zwilling-ja-henckels-diplome/chefs-knife-p137775")</f>
        <v/>
      </c>
      <c r="C244" t="inlineStr">
        <is>
          <t>Zwilling J.A. Henckels Diplome 8" Chef's Knife</t>
        </is>
      </c>
      <c r="D244" t="inlineStr">
        <is>
          <t>ZWILLING J.A. Henckels Twin Pro S 8-inch High Carbon Stainless-Steel Chef's Knife with Custom Engraving</t>
        </is>
      </c>
      <c r="E244" s="1">
        <f>HYPERLINK("https://www.amazon.com/Zwilling-J-Henckels-Stainless-Steel-Engraving/dp/B07KTXTGGC/ref=sr_1_2?keywords=Zwilling+J.A.+Henckels+Diplome+8%22+Chef%27s+Knife&amp;qid=1695763947&amp;sr=8-2", "https://www.amazon.com/Zwilling-J-Henckels-Stainless-Steel-Engraving/dp/B07KTXTGGC/ref=sr_1_2?keywords=Zwilling+J.A.+Henckels+Diplome+8%22+Chef%27s+Knife&amp;qid=1695763947&amp;sr=8-2")</f>
        <v/>
      </c>
      <c r="F244" t="inlineStr">
        <is>
          <t>B07KTXTGGC</t>
        </is>
      </c>
      <c r="G244">
        <f>_xlfn.IMAGE("https://cdn.cutleryandmore.com/assets/product/main/37775.jpg")</f>
        <v/>
      </c>
      <c r="H244">
        <f>_xlfn.IMAGE("https://m.media-amazon.com/images/I/51i5RJ8wKQL._AC_UL320_.jpg")</f>
        <v/>
      </c>
      <c r="K244" t="inlineStr">
        <is>
          <t>89.95</t>
        </is>
      </c>
      <c r="L244" t="n">
        <v>159.95</v>
      </c>
      <c r="M244" s="2" t="inlineStr">
        <is>
          <t>77.82%</t>
        </is>
      </c>
      <c r="N244" t="n">
        <v>4.8</v>
      </c>
      <c r="O244" t="n">
        <v>41</v>
      </c>
      <c r="Q244" t="inlineStr">
        <is>
          <t>InStock</t>
        </is>
      </c>
      <c r="R244" t="inlineStr">
        <is>
          <t>139.95</t>
        </is>
      </c>
      <c r="S244" t="inlineStr">
        <is>
          <t>54201-211</t>
        </is>
      </c>
    </row>
    <row r="245" ht="75" customHeight="1">
      <c r="A245" s="1">
        <f>HYPERLINK("https://www.cutleryandmore.com/zwilling-ja-henckels-diplome/chefs-knife-p137775", "https://www.cutleryandmore.com/zwilling-ja-henckels-diplome/chefs-knife-p137775")</f>
        <v/>
      </c>
      <c r="B245" s="1">
        <f>HYPERLINK("https://www.cutleryandmore.com/zwilling-ja-henckels-diplome/chefs-knife-p137775", "https://www.cutleryandmore.com/zwilling-ja-henckels-diplome/chefs-knife-p137775")</f>
        <v/>
      </c>
      <c r="C245" t="inlineStr">
        <is>
          <t>Zwilling J.A. Henckels Diplome 8" Chef's Knife</t>
        </is>
      </c>
      <c r="D245" t="inlineStr">
        <is>
          <t>Zwilling J.A. Henckels 8-Inch Chef's Knife, 8 Inch, Black</t>
        </is>
      </c>
      <c r="E245" s="1">
        <f>HYPERLINK("https://www.amazon.com/Zwilling-J-Henckels-30071-203-8-Inch/dp/B000FMVS0E/ref=sr_1_3?keywords=Zwilling+J.A.+Henckels+Diplome+8%22+Chef%27s+Knife&amp;qid=1695763947&amp;sr=8-3", "https://www.amazon.com/Zwilling-J-Henckels-30071-203-8-Inch/dp/B000FMVS0E/ref=sr_1_3?keywords=Zwilling+J.A.+Henckels+Diplome+8%22+Chef%27s+Knife&amp;qid=1695763947&amp;sr=8-3")</f>
        <v/>
      </c>
      <c r="F245" t="inlineStr">
        <is>
          <t>B000FMVS0E</t>
        </is>
      </c>
      <c r="G245">
        <f>_xlfn.IMAGE("https://cdn.cutleryandmore.com/assets/product/main/37775.jpg")</f>
        <v/>
      </c>
      <c r="H245">
        <f>_xlfn.IMAGE("https://m.media-amazon.com/images/I/41I5NBCbE0L._AC_UL320_.jpg")</f>
        <v/>
      </c>
      <c r="K245" t="inlineStr">
        <is>
          <t>89.95</t>
        </is>
      </c>
      <c r="L245" t="n">
        <v>159.95</v>
      </c>
      <c r="M245" s="2" t="inlineStr">
        <is>
          <t>77.82%</t>
        </is>
      </c>
      <c r="N245" t="n">
        <v>4.8</v>
      </c>
      <c r="O245" t="n">
        <v>123</v>
      </c>
      <c r="Q245" t="inlineStr">
        <is>
          <t>InStock</t>
        </is>
      </c>
      <c r="R245" t="inlineStr">
        <is>
          <t>139.95</t>
        </is>
      </c>
      <c r="S245" t="inlineStr">
        <is>
          <t>54201-211</t>
        </is>
      </c>
    </row>
    <row r="246" ht="75" customHeight="1">
      <c r="A246" s="1">
        <f>HYPERLINK("https://www.cutleryandmore.com/zwilling-ja-henckels-gourmet/chefs-knife-p137416", "https://www.cutleryandmore.com/zwilling-ja-henckels-gourmet/chefs-knife-p137416")</f>
        <v/>
      </c>
      <c r="B246" s="1">
        <f>HYPERLINK("https://www.cutleryandmore.com/zwilling-ja-henckels-gourmet/chefs-knife-p137416", "https://www.cutleryandmore.com/zwilling-ja-henckels-gourmet/chefs-knife-p137416")</f>
        <v/>
      </c>
      <c r="C246" t="inlineStr">
        <is>
          <t>Zwilling J.A. Henckels Gourmet 8" Chef's Knife</t>
        </is>
      </c>
      <c r="D246" t="inlineStr">
        <is>
          <t>Zwilling J.A. Henckels 8-Inch Chef's Knife, 8 Inch, Black</t>
        </is>
      </c>
      <c r="E246" s="1">
        <f>HYPERLINK("https://www.amazon.com/Zwilling-J-Henckels-30071-203-8-Inch/dp/B000FMVS0E/ref=sr_1_3?keywords=Zwilling+J.A.+Henckels+Gourmet+8%22+Chef%27s+Knife&amp;qid=1695763986&amp;sr=8-3", "https://www.amazon.com/Zwilling-J-Henckels-30071-203-8-Inch/dp/B000FMVS0E/ref=sr_1_3?keywords=Zwilling+J.A.+Henckels+Gourmet+8%22+Chef%27s+Knife&amp;qid=1695763986&amp;sr=8-3")</f>
        <v/>
      </c>
      <c r="F246" t="inlineStr">
        <is>
          <t>B000FMVS0E</t>
        </is>
      </c>
      <c r="G246">
        <f>_xlfn.IMAGE("https://cdn.cutleryandmore.com/assets/product/main/37416.jpg")</f>
        <v/>
      </c>
      <c r="H246">
        <f>_xlfn.IMAGE("https://m.media-amazon.com/images/I/41I5NBCbE0L._AC_UL320_.jpg")</f>
        <v/>
      </c>
      <c r="K246" t="inlineStr">
        <is>
          <t>79.95</t>
        </is>
      </c>
      <c r="L246" t="n">
        <v>159.95</v>
      </c>
      <c r="M246" s="2" t="inlineStr">
        <is>
          <t>100.06%</t>
        </is>
      </c>
      <c r="N246" t="n">
        <v>4.8</v>
      </c>
      <c r="O246" t="n">
        <v>123</v>
      </c>
      <c r="Q246" t="inlineStr">
        <is>
          <t>InStock</t>
        </is>
      </c>
      <c r="R246" t="inlineStr">
        <is>
          <t>99.95</t>
        </is>
      </c>
      <c r="S246" t="inlineStr">
        <is>
          <t>36111-203</t>
        </is>
      </c>
    </row>
    <row r="247" ht="75" customHeight="1">
      <c r="A247" s="1">
        <f>HYPERLINK("https://www.cutleryandmore.com/zwilling-ja-henckels-gourmet/chefs-knife-p137416", "https://www.cutleryandmore.com/zwilling-ja-henckels-gourmet/chefs-knife-p137416")</f>
        <v/>
      </c>
      <c r="B247" s="1">
        <f>HYPERLINK("https://www.cutleryandmore.com/zwilling-ja-henckels-gourmet/chefs-knife-p137416", "https://www.cutleryandmore.com/zwilling-ja-henckels-gourmet/chefs-knife-p137416")</f>
        <v/>
      </c>
      <c r="C247" t="inlineStr">
        <is>
          <t>Zwilling J.A. Henckels Gourmet 8" Chef's Knife</t>
        </is>
      </c>
      <c r="D247" t="inlineStr">
        <is>
          <t>ZWILLING J.A. Henckels Chinese Chef's Knife/Vegetable Cleaver</t>
        </is>
      </c>
      <c r="E247" s="1">
        <f>HYPERLINK("https://www.amazon.com/ZWILLING-J-Henckels-38419-183-Vegetable/dp/B00LEOA9C0/ref=sr_1_7?keywords=Zwilling+J.A.+Henckels+Gourmet+8%22+Chef%27s+Knife&amp;qid=1695763986&amp;sr=8-7", "https://www.amazon.com/ZWILLING-J-Henckels-38419-183-Vegetable/dp/B00LEOA9C0/ref=sr_1_7?keywords=Zwilling+J.A.+Henckels+Gourmet+8%22+Chef%27s+Knife&amp;qid=1695763986&amp;sr=8-7")</f>
        <v/>
      </c>
      <c r="F247" t="inlineStr">
        <is>
          <t>B00LEOA9C0</t>
        </is>
      </c>
      <c r="G247">
        <f>_xlfn.IMAGE("https://cdn.cutleryandmore.com/assets/product/main/37416.jpg")</f>
        <v/>
      </c>
      <c r="H247">
        <f>_xlfn.IMAGE("https://m.media-amazon.com/images/I/51sQwKedpVL._AC_UL320_.jpg")</f>
        <v/>
      </c>
      <c r="K247" t="inlineStr">
        <is>
          <t>79.95</t>
        </is>
      </c>
      <c r="L247" t="n">
        <v>144</v>
      </c>
      <c r="M247" s="2" t="inlineStr">
        <is>
          <t>80.11%</t>
        </is>
      </c>
      <c r="N247" t="n">
        <v>4.4</v>
      </c>
      <c r="O247" t="n">
        <v>59</v>
      </c>
      <c r="Q247" t="inlineStr">
        <is>
          <t>InStock</t>
        </is>
      </c>
      <c r="R247" t="inlineStr">
        <is>
          <t>99.95</t>
        </is>
      </c>
      <c r="S247" t="inlineStr">
        <is>
          <t>36111-203</t>
        </is>
      </c>
    </row>
    <row r="248" ht="75" customHeight="1">
      <c r="A248" s="1">
        <f>HYPERLINK("https://www.cutleryandmore.com/zwilling-ja-henckels-pro/hollow-edge-wide-santoku-knife-p138274", "https://www.cutleryandmore.com/zwilling-ja-henckels-pro/hollow-edge-wide-santoku-knife-p138274")</f>
        <v/>
      </c>
      <c r="B248" s="1">
        <f>HYPERLINK("https://www.cutleryandmore.com/zwilling-ja-henckels-pro/hollow-edge-wide-santoku-knife-p138274", "https://www.cutleryandmore.com/zwilling-ja-henckels-pro/hollow-edge-wide-santoku-knife-p138274")</f>
        <v/>
      </c>
      <c r="C248" t="inlineStr">
        <is>
          <t>Zwilling J.A. Henckels Pro Hollow Edge Santoku Knives</t>
        </is>
      </c>
      <c r="D248" t="inlineStr">
        <is>
          <t>ZWILLING J.A. Henckels Pro 7 Hollow Edge Rocking Santoku Knife, Silver</t>
        </is>
      </c>
      <c r="E248" s="1">
        <f>HYPERLINK("https://www.amazon.com/Zwilling-J-Henckels-Rocking-Santoku/dp/B00KN12OL4/ref=sr_1_1?keywords=Zwilling+J.A.+Henckels+Pro+Hollow+Edge+Santoku+Knives&amp;qid=1695763922&amp;sr=8-1", "https://www.amazon.com/Zwilling-J-Henckels-Rocking-Santoku/dp/B00KN12OL4/ref=sr_1_1?keywords=Zwilling+J.A.+Henckels+Pro+Hollow+Edge+Santoku+Knives&amp;qid=1695763922&amp;sr=8-1")</f>
        <v/>
      </c>
      <c r="F248" t="inlineStr">
        <is>
          <t>B00KN12OL4</t>
        </is>
      </c>
      <c r="G248">
        <f>_xlfn.IMAGE("https://cdn.cutleryandmore.com/assets/product/main/38274.jpg")</f>
        <v/>
      </c>
      <c r="H248">
        <f>_xlfn.IMAGE("https://m.media-amazon.com/images/I/41957lg1gJL._AC_UL320_.jpg")</f>
        <v/>
      </c>
      <c r="K248" t="inlineStr">
        <is>
          <t>79.95</t>
        </is>
      </c>
      <c r="L248" t="n">
        <v>137</v>
      </c>
      <c r="M248" s="2" t="inlineStr">
        <is>
          <t>71.36%</t>
        </is>
      </c>
      <c r="N248" t="n">
        <v>4.6</v>
      </c>
      <c r="O248" t="n">
        <v>138</v>
      </c>
      <c r="Q248" t="inlineStr">
        <is>
          <t>InStock</t>
        </is>
      </c>
      <c r="R248" t="inlineStr">
        <is>
          <t>129.95</t>
        </is>
      </c>
      <c r="S248" t="inlineStr">
        <is>
          <t>38418-143</t>
        </is>
      </c>
    </row>
    <row r="249" ht="75" customHeight="1">
      <c r="A249" s="1">
        <f>HYPERLINK("https://www.cutleryandmore.com/zwilling-ja-henckels-professional-s/starter-knife-set-p132082", "https://www.cutleryandmore.com/zwilling-ja-henckels-professional-s/starter-knife-set-p132082")</f>
        <v/>
      </c>
      <c r="B249" s="1">
        <f>HYPERLINK("https://www.cutleryandmore.com/zwilling-ja-henckels-professional-s/starter-knife-set-p132082", "https://www.cutleryandmore.com/zwilling-ja-henckels-professional-s/starter-knife-set-p132082")</f>
        <v/>
      </c>
      <c r="C249" t="inlineStr">
        <is>
          <t>Zwilling J.A. Henckels Professional S 3 Piece Starter Knife Set</t>
        </is>
      </c>
      <c r="D249" t="inlineStr">
        <is>
          <t>ZWILLING Professional S 7-Piece Razor-Sharp German Block Knife Set, Made in Company-Owned German Factory with Special Formula Steel perfected for almost 300 Years, Dishwasher Safe</t>
        </is>
      </c>
      <c r="E249" s="1">
        <f>HYPERLINK("https://www.amazon.com/ZWILLING-J-Henckels-Professional/dp/B00005K8P8/ref=sr_1_6?keywords=Zwilling+J.A.+Henckels+Professional+S+3+Piece+Starter+Knife+Set&amp;qid=1695763978&amp;sr=8-6", "https://www.amazon.com/ZWILLING-J-Henckels-Professional/dp/B00005K8P8/ref=sr_1_6?keywords=Zwilling+J.A.+Henckels+Professional+S+3+Piece+Starter+Knife+Set&amp;qid=1695763978&amp;sr=8-6")</f>
        <v/>
      </c>
      <c r="F249" t="inlineStr">
        <is>
          <t>B00005K8P8</t>
        </is>
      </c>
      <c r="G249">
        <f>_xlfn.IMAGE("https://cdn.cutleryandmore.com/assets/product/main/32082.jpg")</f>
        <v/>
      </c>
      <c r="H249">
        <f>_xlfn.IMAGE("https://m.media-amazon.com/images/I/71U+pDUGKcL._AC_UL320_.jpg")</f>
        <v/>
      </c>
      <c r="K249" t="inlineStr">
        <is>
          <t>199.99</t>
        </is>
      </c>
      <c r="L249" t="n">
        <v>360.37</v>
      </c>
      <c r="M249" s="2" t="inlineStr">
        <is>
          <t>80.19%</t>
        </is>
      </c>
      <c r="N249" t="n">
        <v>4.6</v>
      </c>
      <c r="O249" t="n">
        <v>258</v>
      </c>
      <c r="Q249" t="inlineStr">
        <is>
          <t>InStock</t>
        </is>
      </c>
      <c r="R249" t="inlineStr">
        <is>
          <t>undefined</t>
        </is>
      </c>
      <c r="S249" t="inlineStr">
        <is>
          <t>35750-000</t>
        </is>
      </c>
    </row>
    <row r="250" ht="75" customHeight="1">
      <c r="A250" s="1">
        <f>HYPERLINK("https://www.dickssportinggoods.com/p/birkenstock-womens-arizona-essentials-eva-sandals-16birwrznssntlsvpfot/16birwrznssntlsvpfot?categoryId=10928215", "https://www.dickssportinggoods.com/p/birkenstock-womens-arizona-essentials-eva-sandals-16birwrznssntlsvpfot/16birwrznssntlsvpfot?categoryId=10928215")</f>
        <v/>
      </c>
      <c r="B250" t="inlineStr">
        <is>
          <t>undefined</t>
        </is>
      </c>
      <c r="C250" t="inlineStr">
        <is>
          <t>Birkenstock Women's Arizona Essentials EVA Sandals</t>
        </is>
      </c>
      <c r="D250" t="inlineStr">
        <is>
          <t>Birkenstock Women's, Arizona Essentials EVA Slide</t>
        </is>
      </c>
      <c r="E250" s="1">
        <f>HYPERLINK("https://www.amazon.com/Birkenstock-Unisex-Arizona-Sandal-Multi/dp/B09N5GTMJ1/ref=sr_1_7?keywords=Birkenstock+Women%27s+Arizona+Essentials+EVA+Sandals&amp;qid=1695764019&amp;sr=8-7", "https://www.amazon.com/Birkenstock-Unisex-Arizona-Sandal-Multi/dp/B09N5GTMJ1/ref=sr_1_7?keywords=Birkenstock+Women%27s+Arizona+Essentials+EVA+Sandals&amp;qid=1695764019&amp;sr=8-7")</f>
        <v/>
      </c>
      <c r="F250" t="inlineStr">
        <is>
          <t>B09N5GTMJ1</t>
        </is>
      </c>
      <c r="G250">
        <f>_xlfn.IMAGE("https://dks.scene7.com/is/image/GolfGalaxy/16BIRWRZNSSNTLSVPFOT_Candy_Pink?qlt=70&amp;wid=600&amp;fmt=pjpeg")</f>
        <v/>
      </c>
      <c r="H250">
        <f>_xlfn.IMAGE("https://m.media-amazon.com/images/I/61AsQiTPJ4L._AC_UL320_.jpg")</f>
        <v/>
      </c>
      <c r="K250" t="inlineStr">
        <is>
          <t>37.99</t>
        </is>
      </c>
      <c r="L250" t="n">
        <v>96.2</v>
      </c>
      <c r="M250" s="2" t="inlineStr">
        <is>
          <t>153.22%</t>
        </is>
      </c>
      <c r="N250" t="n">
        <v>4.2</v>
      </c>
      <c r="O250" t="n">
        <v>22</v>
      </c>
      <c r="Q250" t="inlineStr">
        <is>
          <t>InStock</t>
        </is>
      </c>
      <c r="R250" t="inlineStr">
        <is>
          <t>44.95</t>
        </is>
      </c>
      <c r="S250" t="inlineStr">
        <is>
          <t>16BIRWRZNSSNTLSVPFOT</t>
        </is>
      </c>
    </row>
    <row r="251" ht="75" customHeight="1">
      <c r="A251" s="1">
        <f>HYPERLINK("https://www.dickssportinggoods.com/p/brooks-womens-adrenaline-gts-22-running-shoes-21browdrnlngts22bftw/21browdrnlngts22bftw?categoryId=10928215", "https://www.dickssportinggoods.com/p/brooks-womens-adrenaline-gts-22-running-shoes-21browdrnlngts22bftw/21browdrnlngts22bftw?categoryId=10928215")</f>
        <v/>
      </c>
      <c r="B251" t="inlineStr">
        <is>
          <t>undefined</t>
        </is>
      </c>
      <c r="C251" t="inlineStr">
        <is>
          <t>Brooks Women's Adrenaline GTS 22 Running Shoes</t>
        </is>
      </c>
      <c r="D251" t="inlineStr">
        <is>
          <t>Brooks Women's Adrenaline GTS 21 Running Shoe - Iris/Lilac Scachet/Ombre Blue - 5</t>
        </is>
      </c>
      <c r="E251" s="1">
        <f>HYPERLINK("https://www.amazon.com/Brooks-Adrenaline-Lilac-Scachet-Ombre/dp/B08BW2WZ18/ref=sr_1_2?keywords=Brooks+Women%27s+Adrenaline+GTS+22+Running+Shoes&amp;qid=1695764009&amp;sr=8-2", "https://www.amazon.com/Brooks-Adrenaline-Lilac-Scachet-Ombre/dp/B08BW2WZ18/ref=sr_1_2?keywords=Brooks+Women%27s+Adrenaline+GTS+22+Running+Shoes&amp;qid=1695764009&amp;sr=8-2")</f>
        <v/>
      </c>
      <c r="F251" t="inlineStr">
        <is>
          <t>B08BW2WZ18</t>
        </is>
      </c>
      <c r="G251">
        <f>_xlfn.IMAGE("https://dks.scene7.com/is/image/GolfGalaxy/21BROWDRNLNGTS22BFTW_Lilac_Silver?qlt=70&amp;wid=600&amp;fmt=pjpeg")</f>
        <v/>
      </c>
      <c r="H251">
        <f>_xlfn.IMAGE("https://m.media-amazon.com/images/I/81Kft-nu1-L._AC_UL320_.jpg")</f>
        <v/>
      </c>
      <c r="K251" t="inlineStr">
        <is>
          <t>51.97</t>
        </is>
      </c>
      <c r="L251" t="n">
        <v>129.99</v>
      </c>
      <c r="M251" s="2" t="inlineStr">
        <is>
          <t>150.13%</t>
        </is>
      </c>
      <c r="N251" t="n">
        <v>5</v>
      </c>
      <c r="O251" t="n">
        <v>1</v>
      </c>
      <c r="Q251" t="inlineStr">
        <is>
          <t>InStock</t>
        </is>
      </c>
      <c r="R251" t="inlineStr">
        <is>
          <t>139.99</t>
        </is>
      </c>
      <c r="S251" t="inlineStr">
        <is>
          <t>21BROWDRNLNGTS22BFTW</t>
        </is>
      </c>
    </row>
    <row r="252" ht="75" customHeight="1">
      <c r="A252" s="1">
        <f>HYPERLINK("https://www.dickssportinggoods.com/p/brooks-womens-adrenaline-gts-22-running-shoes-21browdrnlngts22bftw/21browdrnlngts22bftw?categoryId=10928215", "https://www.dickssportinggoods.com/p/brooks-womens-adrenaline-gts-22-running-shoes-21browdrnlngts22bftw/21browdrnlngts22bftw?categoryId=10928215")</f>
        <v/>
      </c>
      <c r="B252" t="inlineStr">
        <is>
          <t>undefined</t>
        </is>
      </c>
      <c r="C252" t="inlineStr">
        <is>
          <t>Brooks Women's Adrenaline GTS 22 Running Shoes</t>
        </is>
      </c>
      <c r="D252" t="inlineStr">
        <is>
          <t>Brooks Women's Adrenaline GTS 22 Supportive Running Shoe</t>
        </is>
      </c>
      <c r="E252" s="1">
        <f>HYPERLINK("https://www.amazon.com/Brooks-Adrenaline-Womens-Supportive-Running/dp/B08QTY8MLG/ref=sr_1_1?keywords=Brooks+Women%27s+Adrenaline+GTS+22+Running+Shoes&amp;qid=1695764009&amp;sr=8-1", "https://www.amazon.com/Brooks-Adrenaline-Womens-Supportive-Running/dp/B08QTY8MLG/ref=sr_1_1?keywords=Brooks+Women%27s+Adrenaline+GTS+22+Running+Shoes&amp;qid=1695764009&amp;sr=8-1")</f>
        <v/>
      </c>
      <c r="F252" t="inlineStr">
        <is>
          <t>B08QTY8MLG</t>
        </is>
      </c>
      <c r="G252">
        <f>_xlfn.IMAGE("https://dks.scene7.com/is/image/GolfGalaxy/21BROWDRNLNGTS22BFTW_Lilac_Silver?qlt=70&amp;wid=600&amp;fmt=pjpeg")</f>
        <v/>
      </c>
      <c r="H252">
        <f>_xlfn.IMAGE("https://m.media-amazon.com/images/I/81I70wG5cCL._AC_UL320_.jpg")</f>
        <v/>
      </c>
      <c r="K252" t="inlineStr">
        <is>
          <t>51.97</t>
        </is>
      </c>
      <c r="L252" t="n">
        <v>109.95</v>
      </c>
      <c r="M252" s="2" t="inlineStr">
        <is>
          <t>111.56%</t>
        </is>
      </c>
      <c r="N252" t="n">
        <v>4.5</v>
      </c>
      <c r="O252" t="n">
        <v>13750</v>
      </c>
      <c r="Q252" t="inlineStr">
        <is>
          <t>InStock</t>
        </is>
      </c>
      <c r="R252" t="inlineStr">
        <is>
          <t>139.99</t>
        </is>
      </c>
      <c r="S252" t="inlineStr">
        <is>
          <t>21BROWDRNLNGTS22BFTW</t>
        </is>
      </c>
    </row>
    <row r="253" ht="75" customHeight="1">
      <c r="A253" s="1">
        <f>HYPERLINK("https://www.dickssportinggoods.com/p/brooks-womens-adrenaline-gts-22-running-shoes-21browdrnlngts22bftw/21browdrnlngts22bftw?categoryId=10928215", "https://www.dickssportinggoods.com/p/brooks-womens-adrenaline-gts-22-running-shoes-21browdrnlngts22bftw/21browdrnlngts22bftw?categoryId=10928215")</f>
        <v/>
      </c>
      <c r="B253" t="inlineStr">
        <is>
          <t>undefined</t>
        </is>
      </c>
      <c r="C253" t="inlineStr">
        <is>
          <t>Brooks Women's Adrenaline GTS 22 Running Shoes</t>
        </is>
      </c>
      <c r="D253" t="inlineStr">
        <is>
          <t>Brooks Women's Adrenaline GTS 21 Running Shoe - Black/Blackened Pearl/Nocturne - 5 Wide</t>
        </is>
      </c>
      <c r="E253" s="1">
        <f>HYPERLINK("https://www.amazon.com/Brooks-Adrenaline-Black-Blackened-Nocturne/dp/B086TRFSGC/ref=sr_1_8?keywords=Brooks+Women%27s+Adrenaline+GTS+22+Running+Shoes&amp;qid=1695764009&amp;sr=8-8", "https://www.amazon.com/Brooks-Adrenaline-Black-Blackened-Nocturne/dp/B086TRFSGC/ref=sr_1_8?keywords=Brooks+Women%27s+Adrenaline+GTS+22+Running+Shoes&amp;qid=1695764009&amp;sr=8-8")</f>
        <v/>
      </c>
      <c r="F253" t="inlineStr">
        <is>
          <t>B086TRFSGC</t>
        </is>
      </c>
      <c r="G253">
        <f>_xlfn.IMAGE("https://dks.scene7.com/is/image/GolfGalaxy/21BROWDRNLNGTS22BFTW_Lilac_Silver?qlt=70&amp;wid=600&amp;fmt=pjpeg")</f>
        <v/>
      </c>
      <c r="H253">
        <f>_xlfn.IMAGE("https://m.media-amazon.com/images/I/81MHDIVQpAL._AC_UL320_.jpg")</f>
        <v/>
      </c>
      <c r="K253" t="inlineStr">
        <is>
          <t>51.97</t>
        </is>
      </c>
      <c r="L253" t="n">
        <v>91</v>
      </c>
      <c r="M253" s="2" t="inlineStr">
        <is>
          <t>75.10%</t>
        </is>
      </c>
      <c r="N253" t="n">
        <v>5</v>
      </c>
      <c r="O253" t="n">
        <v>2</v>
      </c>
      <c r="Q253" t="inlineStr">
        <is>
          <t>InStock</t>
        </is>
      </c>
      <c r="R253" t="inlineStr">
        <is>
          <t>139.99</t>
        </is>
      </c>
      <c r="S253" t="inlineStr">
        <is>
          <t>21BROWDRNLNGTS22BFTW</t>
        </is>
      </c>
    </row>
    <row r="254" ht="75" customHeight="1">
      <c r="A254" s="1">
        <f>HYPERLINK("https://www.dickssportinggoods.com/p/brooks-womens-glycerin-20-running-shoes-22browglycrn20blkftw/22browglycrn20blkftw?categoryId=10928215", "https://www.dickssportinggoods.com/p/brooks-womens-glycerin-20-running-shoes-22browglycrn20blkftw/22browglycrn20blkftw?categoryId=10928215")</f>
        <v/>
      </c>
      <c r="B254" t="inlineStr">
        <is>
          <t>undefined</t>
        </is>
      </c>
      <c r="C254" t="inlineStr">
        <is>
          <t>Brooks Women's Glycerin 20 Running Shoes</t>
        </is>
      </c>
      <c r="D254" t="inlineStr">
        <is>
          <t>Brooks Women's Glycerin 20 Neutral Running Shoe</t>
        </is>
      </c>
      <c r="E254" s="1">
        <f>HYPERLINK("https://www.amazon.com/Brooks-Glycerin-Womens-Neutral-Running/dp/B0971M7QHG/ref=sr_1_1?keywords=Brooks+Womens+Glycerin+20+Running+Shoes&amp;qid=1695764010&amp;sr=8-1", "https://www.amazon.com/Brooks-Glycerin-Womens-Neutral-Running/dp/B0971M7QHG/ref=sr_1_1?keywords=Brooks+Womens+Glycerin+20+Running+Shoes&amp;qid=1695764010&amp;sr=8-1")</f>
        <v/>
      </c>
      <c r="F254" t="inlineStr">
        <is>
          <t>B0971M7QHG</t>
        </is>
      </c>
      <c r="G254">
        <f>_xlfn.IMAGE("https://dks.scene7.com/is/image/GolfGalaxy/22BROWGLYCRN20BLKFTW_Lilac_Silver?qlt=70&amp;wid=600&amp;fmt=pjpeg")</f>
        <v/>
      </c>
      <c r="H254">
        <f>_xlfn.IMAGE("https://m.media-amazon.com/images/I/81wKBTTI1gL._AC_UL320_.jpg")</f>
        <v/>
      </c>
      <c r="K254" t="inlineStr">
        <is>
          <t>22.0</t>
        </is>
      </c>
      <c r="L254" t="n">
        <v>159.95</v>
      </c>
      <c r="M254" s="2" t="inlineStr">
        <is>
          <t>627.05%</t>
        </is>
      </c>
      <c r="N254" t="n">
        <v>4.6</v>
      </c>
      <c r="O254" t="n">
        <v>2112</v>
      </c>
      <c r="Q254" t="inlineStr">
        <is>
          <t>undefined</t>
        </is>
      </c>
      <c r="R254" t="inlineStr">
        <is>
          <t>undefined</t>
        </is>
      </c>
      <c r="S254" t="inlineStr">
        <is>
          <t>22BROWGLYCRN20BLKFTW</t>
        </is>
      </c>
    </row>
    <row r="255" ht="75" customHeight="1">
      <c r="A255" s="1">
        <f>HYPERLINK("https://www.dickssportinggoods.com/p/brooks-womens-glycerin-20-running-shoes-22browglycrn20blkftw/22browglycrn20blkftw?categoryId=10928215", "https://www.dickssportinggoods.com/p/brooks-womens-glycerin-20-running-shoes-22browglycrn20blkftw/22browglycrn20blkftw?categoryId=10928215")</f>
        <v/>
      </c>
      <c r="B255" t="inlineStr">
        <is>
          <t>undefined</t>
        </is>
      </c>
      <c r="C255" t="inlineStr">
        <is>
          <t>Brooks Women's Glycerin 20 Running Shoes</t>
        </is>
      </c>
      <c r="D255" t="inlineStr">
        <is>
          <t>Brooks Women's Glycerin GTS 20 Supportive Running Shoe</t>
        </is>
      </c>
      <c r="E255" s="1">
        <f>HYPERLINK("https://www.amazon.com/Brooks-Womens-Glycerin-Supportive-Running/dp/B0BHKND3Z9/ref=sr_1_2?keywords=Brooks+Womens+Glycerin+20+Running+Shoes&amp;qid=1695764010&amp;sr=8-2", "https://www.amazon.com/Brooks-Womens-Glycerin-Supportive-Running/dp/B0BHKND3Z9/ref=sr_1_2?keywords=Brooks+Womens+Glycerin+20+Running+Shoes&amp;qid=1695764010&amp;sr=8-2")</f>
        <v/>
      </c>
      <c r="F255" t="inlineStr">
        <is>
          <t>B0BHKND3Z9</t>
        </is>
      </c>
      <c r="G255">
        <f>_xlfn.IMAGE("https://dks.scene7.com/is/image/GolfGalaxy/22BROWGLYCRN20BLKFTW_Lilac_Silver?qlt=70&amp;wid=600&amp;fmt=pjpeg")</f>
        <v/>
      </c>
      <c r="H255">
        <f>_xlfn.IMAGE("https://m.media-amazon.com/images/I/81G8iD5uC4L._AC_UL320_.jpg")</f>
        <v/>
      </c>
      <c r="K255" t="inlineStr">
        <is>
          <t>22.0</t>
        </is>
      </c>
      <c r="L255" t="n">
        <v>159.95</v>
      </c>
      <c r="M255" s="2" t="inlineStr">
        <is>
          <t>627.05%</t>
        </is>
      </c>
      <c r="N255" t="n">
        <v>4.6</v>
      </c>
      <c r="O255" t="n">
        <v>1477</v>
      </c>
      <c r="Q255" t="inlineStr">
        <is>
          <t>undefined</t>
        </is>
      </c>
      <c r="R255" t="inlineStr">
        <is>
          <t>undefined</t>
        </is>
      </c>
      <c r="S255" t="inlineStr">
        <is>
          <t>22BROWGLYCRN20BLKFTW</t>
        </is>
      </c>
    </row>
    <row r="256" ht="75" customHeight="1">
      <c r="A256" s="1">
        <f>HYPERLINK("https://www.dickssportinggoods.com/p/crocs-classic-clogs-15ccsaclsscdltblcfot/15ccsaclsscdltblcfot?categoryId=10928215", "https://www.dickssportinggoods.com/p/crocs-classic-clogs-15ccsaclsscdltblcfot/15ccsaclsscdltblcfot?categoryId=10928215")</f>
        <v/>
      </c>
      <c r="B256" t="inlineStr">
        <is>
          <t>undefined</t>
        </is>
      </c>
      <c r="C256" t="inlineStr">
        <is>
          <t>Crocs Classic Clogs</t>
        </is>
      </c>
      <c r="D256" t="inlineStr">
        <is>
          <t>Crocs Unisex-child Kids' Classic Clogs</t>
        </is>
      </c>
      <c r="E256" s="1">
        <f>HYPERLINK("https://www.amazon.com/Crocs-Kids-Classic-Clog-Black/dp/B096423LXW/ref=sr_1_2?keywords=Crocs+Classic+Clogs&amp;qid=1695764026&amp;sr=8-2", "https://www.amazon.com/Crocs-Kids-Classic-Clog-Black/dp/B096423LXW/ref=sr_1_2?keywords=Crocs+Classic+Clogs&amp;qid=1695764026&amp;sr=8-2")</f>
        <v/>
      </c>
      <c r="F256" t="inlineStr">
        <is>
          <t>B096423LXW</t>
        </is>
      </c>
      <c r="G256">
        <f>_xlfn.IMAGE("https://dks.scene7.com/is/image/GolfGalaxy/15CCSACLSSCDLTBLCFOT_Glow_Sulphur?qlt=70&amp;wid=600&amp;fmt=pjpeg")</f>
        <v/>
      </c>
      <c r="H256">
        <f>_xlfn.IMAGE("https://m.media-amazon.com/images/I/71ej9uEjJGL._AC_UL320_.jpg")</f>
        <v/>
      </c>
      <c r="K256" t="inlineStr">
        <is>
          <t>19.97</t>
        </is>
      </c>
      <c r="L256" t="n">
        <v>33.91</v>
      </c>
      <c r="M256" s="2" t="inlineStr">
        <is>
          <t>69.80%</t>
        </is>
      </c>
      <c r="N256" t="n">
        <v>4.8</v>
      </c>
      <c r="O256" t="n">
        <v>160473</v>
      </c>
      <c r="Q256" t="inlineStr">
        <is>
          <t>InStock</t>
        </is>
      </c>
      <c r="R256" t="inlineStr">
        <is>
          <t>44.99</t>
        </is>
      </c>
      <c r="S256" t="inlineStr">
        <is>
          <t>10001</t>
        </is>
      </c>
    </row>
    <row r="257" ht="75" customHeight="1">
      <c r="A257" s="1">
        <f>HYPERLINK("https://www.dickssportinggoods.com/p/new-balance-574-shoes-22nwbm574v2sprtvrmns/22nwbm574v2sprtvrmns?categoryId=10928215", "https://www.dickssportinggoods.com/p/new-balance-574-shoes-22nwbm574v2sprtvrmns/22nwbm574v2sprtvrmns?categoryId=10928215")</f>
        <v/>
      </c>
      <c r="B257" t="inlineStr">
        <is>
          <t>undefined</t>
        </is>
      </c>
      <c r="C257" t="inlineStr">
        <is>
          <t>New Balance 574 Shoes</t>
        </is>
      </c>
      <c r="D257" t="inlineStr">
        <is>
          <t>New Balance Women's Shoes</t>
        </is>
      </c>
      <c r="E257" s="1">
        <f>HYPERLINK("https://www.amazon.com/New-Balance-Womens-Shadow-Medium/dp/B0B4F56BSR/ref=sr_1_7?keywords=New+Balance+574+Shoes&amp;qid=1695764022&amp;sr=8-7", "https://www.amazon.com/New-Balance-Womens-Shadow-Medium/dp/B0B4F56BSR/ref=sr_1_7?keywords=New+Balance+574+Shoes&amp;qid=1695764022&amp;sr=8-7")</f>
        <v/>
      </c>
      <c r="F257" t="inlineStr">
        <is>
          <t>B0B4F56BSR</t>
        </is>
      </c>
      <c r="G257">
        <f>_xlfn.IMAGE("https://dks.scene7.com/is/image/GolfGalaxy/22NWBM574V2SPRTVRMNS_Blue_Orange?qlt=70&amp;wid=600&amp;fmt=pjpeg")</f>
        <v/>
      </c>
      <c r="H257">
        <f>_xlfn.IMAGE("https://m.media-amazon.com/images/I/714LKeAo0DL._AC_UL320_.jpg")</f>
        <v/>
      </c>
      <c r="K257" t="inlineStr">
        <is>
          <t>58.99</t>
        </is>
      </c>
      <c r="L257" t="n">
        <v>99.95</v>
      </c>
      <c r="M257" s="2" t="inlineStr">
        <is>
          <t>69.44%</t>
        </is>
      </c>
      <c r="N257" t="n">
        <v>4.4</v>
      </c>
      <c r="O257" t="n">
        <v>86</v>
      </c>
      <c r="Q257" t="inlineStr">
        <is>
          <t>InStock</t>
        </is>
      </c>
      <c r="R257" t="inlineStr">
        <is>
          <t>84.99</t>
        </is>
      </c>
      <c r="S257" t="inlineStr">
        <is>
          <t>22NWBM574V2SPRTVRMNS</t>
        </is>
      </c>
    </row>
    <row r="258" ht="75" customHeight="1">
      <c r="A258" s="1">
        <f>HYPERLINK("https://www.dickssportinggoods.com/p/nike-kids-grade-school-air-force-1-shoes-20nikyrfrc1whtrdbbys/20nikyrfrc1whtrdbbys?categoryId=10928215", "https://www.dickssportinggoods.com/p/nike-kids-grade-school-air-force-1-shoes-20nikyrfrc1whtrdbbys/20nikyrfrc1whtrdbbys?categoryId=10928215")</f>
        <v/>
      </c>
      <c r="B258" s="1">
        <f>HYPERLINK("https://www.dickssportinggoods.com/p/nike-kids-grade-school-air-force-1-shoes-20nikyrfrc1whtrdbbys/20nikyrfrc1whtrdbbys", "https://www.dickssportinggoods.com/p/nike-kids-grade-school-air-force-1-shoes-20nikyrfrc1whtrdbbys/20nikyrfrc1whtrdbbys")</f>
        <v/>
      </c>
      <c r="C258" t="inlineStr">
        <is>
          <t>Nike Kids' Grade School Air Force 1 Shoes</t>
        </is>
      </c>
      <c r="D258" t="inlineStr">
        <is>
          <t>Nike Air Force 1 Space Jam Grade School GS Shoes</t>
        </is>
      </c>
      <c r="E258" s="1">
        <f>HYPERLINK("https://www.amazon.com/Nike-Force-School-Black-Laser-Blue-Volt/dp/B0C4CV4XL7/ref=sr_1_2?keywords=Nike+Kids+Grade+School+Air+Force+1+Shoes&amp;qid=1695764009&amp;sr=8-2", "https://www.amazon.com/Nike-Force-School-Black-Laser-Blue-Volt/dp/B0C4CV4XL7/ref=sr_1_2?keywords=Nike+Kids+Grade+School+Air+Force+1+Shoes&amp;qid=1695764009&amp;sr=8-2")</f>
        <v/>
      </c>
      <c r="F258" t="inlineStr">
        <is>
          <t>B0C4CV4XL7</t>
        </is>
      </c>
      <c r="G258">
        <f>_xlfn.IMAGE("https://dks.scene7.com/is/image/GolfGalaxy/20NIKYRFRC1WHTRDBBYS_Purple_Metallic_Silver?qlt=70&amp;wid=600&amp;fmt=pjpeg")</f>
        <v/>
      </c>
      <c r="H258">
        <f>_xlfn.IMAGE("https://m.media-amazon.com/images/I/51hgXSBhMVL._AC_UL320_.jpg")</f>
        <v/>
      </c>
      <c r="K258" t="inlineStr">
        <is>
          <t>66.99</t>
        </is>
      </c>
      <c r="L258" t="n">
        <v>120.01</v>
      </c>
      <c r="M258" s="2" t="inlineStr">
        <is>
          <t>79.15%</t>
        </is>
      </c>
      <c r="N258" t="n">
        <v>5</v>
      </c>
      <c r="O258" t="n">
        <v>2</v>
      </c>
      <c r="Q258" t="inlineStr">
        <is>
          <t>InStock</t>
        </is>
      </c>
      <c r="R258" t="inlineStr">
        <is>
          <t>84.99</t>
        </is>
      </c>
      <c r="S258" t="inlineStr">
        <is>
          <t>20NIKYRFRC1WHTRDBBYS</t>
        </is>
      </c>
    </row>
    <row r="259" ht="75" customHeight="1">
      <c r="A259" s="1">
        <f>HYPERLINK("https://www.dickssportinggoods.com/p/nike-mens-air-max-90-shoes-19nikmrmx90whtgrymns/19nikmrmx90whtgrymns?categoryId=10928215", "https://www.dickssportinggoods.com/p/nike-mens-air-max-90-shoes-19nikmrmx90whtgrymns/19nikmrmx90whtgrymns?categoryId=10928215")</f>
        <v/>
      </c>
      <c r="B259" t="inlineStr">
        <is>
          <t>undefined</t>
        </is>
      </c>
      <c r="C259" t="inlineStr">
        <is>
          <t>Nike Men's Air Max 90 Shoes</t>
        </is>
      </c>
      <c r="D259" t="inlineStr">
        <is>
          <t>mens Nike Men's Air Max 90 Essential Medium Olive/Black-team Orange Aj1285-205</t>
        </is>
      </c>
      <c r="E259" s="1">
        <f>HYPERLINK("https://www.amazon.com/Nike-Air-Max-90-Essential/dp/B07Q54D6Q4/ref=sr_1_8?keywords=Nike+Mens+Air+Max+90+Shoes&amp;qid=1695764009&amp;sr=8-8", "https://www.amazon.com/Nike-Air-Max-90-Essential/dp/B07Q54D6Q4/ref=sr_1_8?keywords=Nike+Mens+Air+Max+90+Shoes&amp;qid=1695764009&amp;sr=8-8")</f>
        <v/>
      </c>
      <c r="F259" t="inlineStr">
        <is>
          <t>B07Q54D6Q4</t>
        </is>
      </c>
      <c r="G259">
        <f>_xlfn.IMAGE("https://dks.scene7.com/is/image/GolfGalaxy/19NIKMRMX90WHTGRYMNS_Grey_Red?qlt=70&amp;wid=600&amp;fmt=pjpeg")</f>
        <v/>
      </c>
      <c r="H259">
        <f>_xlfn.IMAGE("https://m.media-amazon.com/images/I/71Rs8HqmRML._AC_UL320_.jpg")</f>
        <v/>
      </c>
      <c r="K259" t="inlineStr">
        <is>
          <t>121.99</t>
        </is>
      </c>
      <c r="L259" t="n">
        <v>545.5</v>
      </c>
      <c r="M259" s="2" t="inlineStr">
        <is>
          <t>347.17%</t>
        </is>
      </c>
      <c r="N259" t="n">
        <v>4.3</v>
      </c>
      <c r="O259" t="n">
        <v>18</v>
      </c>
      <c r="Q259" t="inlineStr">
        <is>
          <t>undefined</t>
        </is>
      </c>
      <c r="R259" t="inlineStr">
        <is>
          <t>undefined</t>
        </is>
      </c>
      <c r="S259" t="inlineStr">
        <is>
          <t>19NIKMRMX90WHTGRYMNS</t>
        </is>
      </c>
    </row>
    <row r="260" ht="75" customHeight="1">
      <c r="A260" s="1">
        <f>HYPERLINK("https://www.dickssportinggoods.com/p/nike-mens-sportswear-club-fleece-hoodie-19nikmmnswclbhdpbnft/19nikmmnswclbhdpbnft?categoryId=10928215", "https://www.dickssportinggoods.com/p/nike-mens-sportswear-club-fleece-hoodie-19nikmmnswclbhdpbnft/19nikmmnswclbhdpbnft?categoryId=10928215")</f>
        <v/>
      </c>
      <c r="B260" t="inlineStr">
        <is>
          <t>undefined</t>
        </is>
      </c>
      <c r="C260" t="inlineStr">
        <is>
          <t>Nike Men's Sportswear Club Fleece Hoodie</t>
        </is>
      </c>
      <c r="D260" t="inlineStr">
        <is>
          <t>Nike "Sportswear Club Fleece Pullover Hoodie (826433-424) Deep Blue, Size: Select</t>
        </is>
      </c>
      <c r="E260" s="1">
        <f>HYPERLINK("https://www.amazon.com/Nike-Sportswear-Fleece-Pullover-826433-424/dp/B0BNSW68DX/ref=sr_1_10?keywords=Nike+Mens+Sportswear+Club+Fleece+Hoodie&amp;qid=1695764009&amp;sr=8-10", "https://www.amazon.com/Nike-Sportswear-Fleece-Pullover-826433-424/dp/B0BNSW68DX/ref=sr_1_10?keywords=Nike+Mens+Sportswear+Club+Fleece+Hoodie&amp;qid=1695764009&amp;sr=8-10")</f>
        <v/>
      </c>
      <c r="F260" t="inlineStr">
        <is>
          <t>B0BNSW68DX</t>
        </is>
      </c>
      <c r="G260">
        <f>_xlfn.IMAGE("https://dks.scene7.com/is/image/GolfGalaxy/19NIKMMNSWCLBHDPBNFT_Ashen_Slate?qlt=70&amp;wid=600&amp;fmt=pjpeg")</f>
        <v/>
      </c>
      <c r="H260">
        <f>_xlfn.IMAGE("https://m.media-amazon.com/images/I/61GPfZ0jUcL._AC_UL320_.jpg")</f>
        <v/>
      </c>
      <c r="K260" t="inlineStr">
        <is>
          <t>44.99</t>
        </is>
      </c>
      <c r="L260" t="n">
        <v>79.98999999999999</v>
      </c>
      <c r="M260" s="2" t="inlineStr">
        <is>
          <t>77.80%</t>
        </is>
      </c>
      <c r="N260" t="n">
        <v>5</v>
      </c>
      <c r="O260" t="n">
        <v>1</v>
      </c>
      <c r="Q260" t="inlineStr">
        <is>
          <t>InStock</t>
        </is>
      </c>
      <c r="R260" t="inlineStr">
        <is>
          <t>65.0</t>
        </is>
      </c>
      <c r="S260" t="inlineStr">
        <is>
          <t>BV2654</t>
        </is>
      </c>
    </row>
    <row r="261" ht="75" customHeight="1">
      <c r="A261" s="1">
        <f>HYPERLINK("https://www.dickssportinggoods.com/p/nike-mens-sportswear-club-po-bb-monogram-hoodie-22nikmmnswclbpbbmnft/22nikmmnswclbpbbmnft?categoryId=10928215", "https://www.dickssportinggoods.com/p/nike-mens-sportswear-club-po-bb-monogram-hoodie-22nikmmnswclbpbbmnft/22nikmmnswclbpbbmnft?categoryId=10928215")</f>
        <v/>
      </c>
      <c r="B261" t="inlineStr">
        <is>
          <t>undefined</t>
        </is>
      </c>
      <c r="C261" t="inlineStr">
        <is>
          <t>Nike Men's Sportswear Club PO BB Monogram Hoodie</t>
        </is>
      </c>
      <c r="D261" t="inlineStr">
        <is>
          <t>Men's Nike Sportswear Club Full Zip-Up Hoodie</t>
        </is>
      </c>
      <c r="E261" s="1">
        <f>HYPERLINK("https://www.amazon.com/Nike-Sportswear-Zip-Up-Hoodie-Paneled/dp/B019DLUHIQ/ref=sr_1_10?keywords=nike+men%27s+sportswear+club+po+bb+monogram+hoodie&amp;qid=1695764009&amp;sr=8-10", "https://www.amazon.com/Nike-Sportswear-Zip-Up-Hoodie-Paneled/dp/B019DLUHIQ/ref=sr_1_10?keywords=nike+men%27s+sportswear+club+po+bb+monogram+hoodie&amp;qid=1695764009&amp;sr=8-10")</f>
        <v/>
      </c>
      <c r="F261" t="inlineStr">
        <is>
          <t>B019DLUHIQ</t>
        </is>
      </c>
      <c r="G261">
        <f>_xlfn.IMAGE("https://dks.scene7.com/is/image/GolfGalaxy/22NIKMMNSWCLBPBBMNFT_Cobalt_Bliss?qlt=70&amp;wid=600&amp;fmt=pjpeg")</f>
        <v/>
      </c>
      <c r="H261">
        <f>_xlfn.IMAGE("https://m.media-amazon.com/images/I/61PV2gxo1EL._AC_UL320_.jpg")</f>
        <v/>
      </c>
      <c r="K261" t="inlineStr">
        <is>
          <t>27.97</t>
        </is>
      </c>
      <c r="L261" t="n">
        <v>75</v>
      </c>
      <c r="M261" s="2" t="inlineStr">
        <is>
          <t>168.14%</t>
        </is>
      </c>
      <c r="N261" t="n">
        <v>4.6</v>
      </c>
      <c r="O261" t="n">
        <v>3218</v>
      </c>
      <c r="Q261" t="inlineStr">
        <is>
          <t>InStock</t>
        </is>
      </c>
      <c r="R261" t="inlineStr">
        <is>
          <t>70.0</t>
        </is>
      </c>
      <c r="S261" t="inlineStr">
        <is>
          <t>22NIKMMNSWCLBPBBMNFT</t>
        </is>
      </c>
    </row>
    <row r="262" ht="75" customHeight="1">
      <c r="A262" s="1">
        <f>HYPERLINK("https://www.dickssportinggoods.com/p/nike-mens-sportswear-club-po-bb-monogram-hoodie-22nikmmnswclbpbbmnft/22nikmmnswclbpbbmnft?categoryId=10928215", "https://www.dickssportinggoods.com/p/nike-mens-sportswear-club-po-bb-monogram-hoodie-22nikmmnswclbpbbmnft/22nikmmnswclbpbbmnft?categoryId=10928215")</f>
        <v/>
      </c>
      <c r="B262" t="inlineStr">
        <is>
          <t>undefined</t>
        </is>
      </c>
      <c r="C262" t="inlineStr">
        <is>
          <t>Nike Men's Sportswear Club PO BB Monogram Hoodie</t>
        </is>
      </c>
      <c r="D262" t="inlineStr">
        <is>
          <t>Nike Men's Sportswear Club Pullover Hoodie</t>
        </is>
      </c>
      <c r="E262" s="1">
        <f>HYPERLINK("https://www.amazon.com/NIKE-Sportswear-Pullover-Hoodie-White/dp/B01C5CGXD8/ref=sr_1_1?keywords=nike+men%27s+sportswear+club+po+bb+monogram+hoodie&amp;qid=1695764009&amp;sr=8-1", "https://www.amazon.com/NIKE-Sportswear-Pullover-Hoodie-White/dp/B01C5CGXD8/ref=sr_1_1?keywords=nike+men%27s+sportswear+club+po+bb+monogram+hoodie&amp;qid=1695764009&amp;sr=8-1")</f>
        <v/>
      </c>
      <c r="F262" t="inlineStr">
        <is>
          <t>B01C5CGXD8</t>
        </is>
      </c>
      <c r="G262">
        <f>_xlfn.IMAGE("https://dks.scene7.com/is/image/GolfGalaxy/22NIKMMNSWCLBPBBMNFT_Cobalt_Bliss?qlt=70&amp;wid=600&amp;fmt=pjpeg")</f>
        <v/>
      </c>
      <c r="H262">
        <f>_xlfn.IMAGE("https://m.media-amazon.com/images/I/510ASFJfV3L._AC_UL320_.jpg")</f>
        <v/>
      </c>
      <c r="K262" t="inlineStr">
        <is>
          <t>27.97</t>
        </is>
      </c>
      <c r="L262" t="n">
        <v>69.98999999999999</v>
      </c>
      <c r="M262" s="2" t="inlineStr">
        <is>
          <t>150.23%</t>
        </is>
      </c>
      <c r="N262" t="n">
        <v>4.7</v>
      </c>
      <c r="O262" t="n">
        <v>4673</v>
      </c>
      <c r="Q262" t="inlineStr">
        <is>
          <t>InStock</t>
        </is>
      </c>
      <c r="R262" t="inlineStr">
        <is>
          <t>70.0</t>
        </is>
      </c>
      <c r="S262" t="inlineStr">
        <is>
          <t>22NIKMMNSWCLBPBBMNFT</t>
        </is>
      </c>
    </row>
    <row r="263" ht="75" customHeight="1">
      <c r="A263" s="1">
        <f>HYPERLINK("https://www.dickssportinggoods.com/p/nike-mens-sportswear-club-po-bb-monogram-hoodie-22nikmmnswclbpbbmnft/22nikmmnswclbpbbmnft?categoryId=10928215", "https://www.dickssportinggoods.com/p/nike-mens-sportswear-club-po-bb-monogram-hoodie-22nikmmnswclbpbbmnft/22nikmmnswclbpbbmnft?categoryId=10928215")</f>
        <v/>
      </c>
      <c r="B263" t="inlineStr">
        <is>
          <t>undefined</t>
        </is>
      </c>
      <c r="C263" t="inlineStr">
        <is>
          <t>Nike Men's Sportswear Club PO BB Monogram Hoodie</t>
        </is>
      </c>
      <c r="D263" t="inlineStr">
        <is>
          <t>Men's Nike Sportswear Club Pullover Hoodie</t>
        </is>
      </c>
      <c r="E263" s="1">
        <f>HYPERLINK("https://www.amazon.com/Nike-Fleece-Hoodie-Medium-Black/dp/B08CY8F4K1/ref=sr_1_7?keywords=nike+men%27s+sportswear+club+po+bb+monogram+hoodie&amp;qid=1695764009&amp;sr=8-7", "https://www.amazon.com/Nike-Fleece-Hoodie-Medium-Black/dp/B08CY8F4K1/ref=sr_1_7?keywords=nike+men%27s+sportswear+club+po+bb+monogram+hoodie&amp;qid=1695764009&amp;sr=8-7")</f>
        <v/>
      </c>
      <c r="F263" t="inlineStr">
        <is>
          <t>B08CY8F4K1</t>
        </is>
      </c>
      <c r="G263">
        <f>_xlfn.IMAGE("https://dks.scene7.com/is/image/GolfGalaxy/22NIKMMNSWCLBPBBMNFT_Cobalt_Bliss?qlt=70&amp;wid=600&amp;fmt=pjpeg")</f>
        <v/>
      </c>
      <c r="H263">
        <f>_xlfn.IMAGE("https://m.media-amazon.com/images/I/51cB8iGPJZL._AC_UL320_.jpg")</f>
        <v/>
      </c>
      <c r="K263" t="inlineStr">
        <is>
          <t>27.97</t>
        </is>
      </c>
      <c r="L263" t="n">
        <v>55</v>
      </c>
      <c r="M263" s="2" t="inlineStr">
        <is>
          <t>96.64%</t>
        </is>
      </c>
      <c r="N263" t="n">
        <v>4.7</v>
      </c>
      <c r="O263" t="n">
        <v>438</v>
      </c>
      <c r="Q263" t="inlineStr">
        <is>
          <t>InStock</t>
        </is>
      </c>
      <c r="R263" t="inlineStr">
        <is>
          <t>70.0</t>
        </is>
      </c>
      <c r="S263" t="inlineStr">
        <is>
          <t>22NIKMMNSWCLBPBBMNFT</t>
        </is>
      </c>
    </row>
    <row r="264" ht="75" customHeight="1">
      <c r="A264" s="1">
        <f>HYPERLINK("https://www.dickssportinggoods.com/p/nike-womens-air-force-1-07-shoes-21nikwrfrc1rdgld1ftwa/21nikwrfrc1rdgld1ftwa?categoryId=10928215", "https://www.dickssportinggoods.com/p/nike-womens-air-force-1-07-shoes-21nikwrfrc1rdgld1ftwa/21nikwrfrc1rdgld1ftwa?categoryId=10928215")</f>
        <v/>
      </c>
      <c r="B264" t="inlineStr">
        <is>
          <t>undefined</t>
        </is>
      </c>
      <c r="C264" t="inlineStr">
        <is>
          <t>Nike Women's Air Force 1 '07 Shoes</t>
        </is>
      </c>
      <c r="D264" t="inlineStr">
        <is>
          <t>Nike Women's Air Force 1 '07 Black/White Sz 7.5</t>
        </is>
      </c>
      <c r="E264" s="1">
        <f>HYPERLINK("https://www.amazon.com/Nike-Womens-Force-Black-White/dp/B0BHTVT4YG/ref=sr_1_10?keywords=Nike+Women%27s+Air+Force+1+%2707+Shoes&amp;qid=1695764010&amp;sr=8-10", "https://www.amazon.com/Nike-Womens-Force-Black-White/dp/B0BHTVT4YG/ref=sr_1_10?keywords=Nike+Women%27s+Air+Force+1+%2707+Shoes&amp;qid=1695764010&amp;sr=8-10")</f>
        <v/>
      </c>
      <c r="F264" t="inlineStr">
        <is>
          <t>B0BHTVT4YG</t>
        </is>
      </c>
      <c r="G264">
        <f>_xlfn.IMAGE("https://dks.scene7.com/is/image/GolfGalaxy/21NIKWRFRC1RDGLD1FTWA_White_Gold_Metallic?qlt=70&amp;wid=600&amp;fmt=pjpeg")</f>
        <v/>
      </c>
      <c r="H264">
        <f>_xlfn.IMAGE("https://m.media-amazon.com/images/I/51PTdluEtiL._AC_UL320_.jpg")</f>
        <v/>
      </c>
      <c r="K264" t="inlineStr">
        <is>
          <t>86.99</t>
        </is>
      </c>
      <c r="L264" t="n">
        <v>186.12</v>
      </c>
      <c r="M264" s="2" t="inlineStr">
        <is>
          <t>113.96%</t>
        </is>
      </c>
      <c r="N264" t="n">
        <v>4.3</v>
      </c>
      <c r="O264" t="n">
        <v>9</v>
      </c>
      <c r="Q264" t="inlineStr">
        <is>
          <t>InStock</t>
        </is>
      </c>
      <c r="R264" t="inlineStr">
        <is>
          <t>119.99</t>
        </is>
      </c>
      <c r="S264" t="inlineStr">
        <is>
          <t>21NIKWRFRC1RDGLD1FTWA</t>
        </is>
      </c>
    </row>
    <row r="265" ht="75" customHeight="1">
      <c r="A265" s="1">
        <f>HYPERLINK("https://www.dickssportinggoods.com/p/nike-womens-air-max-90-shoes-19nikwrmx90whtvltftw/19nikwrmx90whtvltftw?categoryId=10928215", "https://www.dickssportinggoods.com/p/nike-womens-air-max-90-shoes-19nikwrmx90whtvltftw/19nikwrmx90whtvltftw?categoryId=10928215")</f>
        <v/>
      </c>
      <c r="B265" t="inlineStr">
        <is>
          <t>undefined</t>
        </is>
      </c>
      <c r="C265" t="inlineStr">
        <is>
          <t>Nike Women's Air Max 90 Shoes</t>
        </is>
      </c>
      <c r="D265" t="inlineStr">
        <is>
          <t>Nike Womens Air Max 90 Se Worldwide Running Shoes</t>
        </is>
      </c>
      <c r="E265" s="1">
        <f>HYPERLINK("https://www.amazon.com/Nike-Womens-WMNS-CQ6639-Metallic/dp/B08TH414ZH/ref=sr_1_1?keywords=Nike+Womens+Air+Max+90+Shoes&amp;qid=1695764019&amp;sr=8-1", "https://www.amazon.com/Nike-Womens-WMNS-CQ6639-Metallic/dp/B08TH414ZH/ref=sr_1_1?keywords=Nike+Womens+Air+Max+90+Shoes&amp;qid=1695764019&amp;sr=8-1")</f>
        <v/>
      </c>
      <c r="F265" t="inlineStr">
        <is>
          <t>B08TH414ZH</t>
        </is>
      </c>
      <c r="G265">
        <f>_xlfn.IMAGE("https://dks.scene7.com/is/image/GolfGalaxy/19NIKWRMX90WHTVLTFTW_Phntm_Ltcurry_Snd_Blk?qlt=70&amp;wid=600&amp;fmt=pjpeg")</f>
        <v/>
      </c>
      <c r="H265">
        <f>_xlfn.IMAGE("https://m.media-amazon.com/images/I/61RcoKwNQdL._AC_UL320_.jpg")</f>
        <v/>
      </c>
      <c r="K265" t="inlineStr">
        <is>
          <t>109.99</t>
        </is>
      </c>
      <c r="L265" t="n">
        <v>441.5</v>
      </c>
      <c r="M265" s="2" t="inlineStr">
        <is>
          <t>301.40%</t>
        </is>
      </c>
      <c r="N265" t="n">
        <v>4.4</v>
      </c>
      <c r="O265" t="n">
        <v>124</v>
      </c>
      <c r="Q265" t="inlineStr">
        <is>
          <t>InStock</t>
        </is>
      </c>
      <c r="R265" t="inlineStr">
        <is>
          <t>129.99</t>
        </is>
      </c>
      <c r="S265" t="inlineStr">
        <is>
          <t>19NIKWRMX90WHTVLTFTW</t>
        </is>
      </c>
    </row>
    <row r="266" ht="75" customHeight="1">
      <c r="A266" s="1">
        <f>HYPERLINK("https://www.dickssportinggoods.com/p/nike-womens-air-max-sc-shoes-21nikwrmxscblkwhtftw/21nikwrmxscblkwhtftw?categoryId=10928215", "https://www.dickssportinggoods.com/p/nike-womens-air-max-sc-shoes-21nikwrmxscblkwhtftw/21nikwrmxscblkwhtftw?categoryId=10928215")</f>
        <v/>
      </c>
      <c r="B266" t="inlineStr">
        <is>
          <t>undefined</t>
        </is>
      </c>
      <c r="C266" t="inlineStr">
        <is>
          <t>Nike Women's Air Max SC Shoes</t>
        </is>
      </c>
      <c r="D266" t="inlineStr">
        <is>
          <t>Nike Women's Air Max THEA MID Casual Shoes</t>
        </is>
      </c>
      <c r="E266" s="1">
        <f>HYPERLINK("https://www.amazon.com/Nike-Air-Thea-Black-Black-Sail-859550/dp/B001C1J0YI/ref=sr_1_7?keywords=Nike+Women%27s+Air+Max+SC+Shoes&amp;qid=1695764014&amp;sr=8-7", "https://www.amazon.com/Nike-Air-Thea-Black-Black-Sail-859550/dp/B001C1J0YI/ref=sr_1_7?keywords=Nike+Women%27s+Air+Max+SC+Shoes&amp;qid=1695764014&amp;sr=8-7")</f>
        <v/>
      </c>
      <c r="F266" t="inlineStr">
        <is>
          <t>B001C1J0YI</t>
        </is>
      </c>
      <c r="G266">
        <f>_xlfn.IMAGE("https://dks.scene7.com/is/image/GolfGalaxy/21NIKWRMXSCBLKWHTFTW_Black_Magic_Ember?qlt=70&amp;wid=600&amp;fmt=pjpeg")</f>
        <v/>
      </c>
      <c r="H266">
        <f>_xlfn.IMAGE("https://m.media-amazon.com/images/I/712hzEPmxjL._AC_UL320_.jpg")</f>
        <v/>
      </c>
      <c r="K266" t="inlineStr">
        <is>
          <t>67.99</t>
        </is>
      </c>
      <c r="L266" t="n">
        <v>154.54</v>
      </c>
      <c r="M266" s="2" t="inlineStr">
        <is>
          <t>127.30%</t>
        </is>
      </c>
      <c r="N266" t="n">
        <v>4.4</v>
      </c>
      <c r="O266" t="n">
        <v>697</v>
      </c>
      <c r="Q266" t="inlineStr">
        <is>
          <t>InStock</t>
        </is>
      </c>
      <c r="R266" t="inlineStr">
        <is>
          <t>63.97</t>
        </is>
      </c>
      <c r="S266" t="inlineStr">
        <is>
          <t>CW4554</t>
        </is>
      </c>
    </row>
    <row r="267" ht="75" customHeight="1">
      <c r="A267" s="1">
        <f>HYPERLINK("https://www.dickssportinggoods.com/p/nike-womens-court-legacy-lift-shoes-22nikwcrtlgcylftbftw/22nikwcrtlgcylftbftw?categoryId=10928215", "https://www.dickssportinggoods.com/p/nike-womens-court-legacy-lift-shoes-22nikwcrtlgcylftbftw/22nikwcrtlgcylftbftw?categoryId=10928215")</f>
        <v/>
      </c>
      <c r="B267" t="inlineStr">
        <is>
          <t>undefined</t>
        </is>
      </c>
      <c r="C267" t="inlineStr">
        <is>
          <t>Nike Women's Court Legacy Lift Shoes</t>
        </is>
      </c>
      <c r="D267" t="inlineStr">
        <is>
          <t>Nike Women's Court Legacy Lift Sneaker</t>
        </is>
      </c>
      <c r="E267" s="1">
        <f>HYPERLINK("https://www.amazon.com/Nike-Court-Legacy-Womens-Oxford/dp/B0BNJJDW7K/ref=sr_1_1?keywords=Nike+Women%27s+Court+Legacy+Lift+Shoes&amp;qid=1695764010&amp;sr=8-1", "https://www.amazon.com/Nike-Court-Legacy-Womens-Oxford/dp/B0BNJJDW7K/ref=sr_1_1?keywords=Nike+Women%27s+Court+Legacy+Lift+Shoes&amp;qid=1695764010&amp;sr=8-1")</f>
        <v/>
      </c>
      <c r="F267" t="inlineStr">
        <is>
          <t>B0BNJJDW7K</t>
        </is>
      </c>
      <c r="G267">
        <f>_xlfn.IMAGE("https://dks.scene7.com/is/image/GolfGalaxy/22NIKWCRTLGCYLFTBFTW_Black_Sail?qlt=70&amp;wid=600&amp;fmt=pjpeg")</f>
        <v/>
      </c>
      <c r="H267">
        <f>_xlfn.IMAGE("https://m.media-amazon.com/images/I/71WHKqW3UmL._AC_UL320_.jpg")</f>
        <v/>
      </c>
      <c r="K267" t="inlineStr">
        <is>
          <t>13.0</t>
        </is>
      </c>
      <c r="L267" t="n">
        <v>87.77</v>
      </c>
      <c r="M267" s="2" t="inlineStr">
        <is>
          <t>575.15%</t>
        </is>
      </c>
      <c r="N267" t="n">
        <v>4.6</v>
      </c>
      <c r="O267" t="n">
        <v>16</v>
      </c>
      <c r="Q267" t="inlineStr">
        <is>
          <t>undefined</t>
        </is>
      </c>
      <c r="R267" t="inlineStr">
        <is>
          <t>undefined</t>
        </is>
      </c>
      <c r="S267" t="inlineStr">
        <is>
          <t>DM7590</t>
        </is>
      </c>
    </row>
    <row r="268" ht="75" customHeight="1">
      <c r="A268" s="1">
        <f>HYPERLINK("https://www.dickssportinggoods.com/p/nike-womens-court-legacy-next-nature-shoes-22nikwcrtlgcynxtnftw/22nikwcrtlgcynxtnftw?categoryId=10928215", "https://www.dickssportinggoods.com/p/nike-womens-court-legacy-next-nature-shoes-22nikwcrtlgcynxtnftw/22nikwcrtlgcynxtnftw?categoryId=10928215")</f>
        <v/>
      </c>
      <c r="B268" t="inlineStr">
        <is>
          <t>undefined</t>
        </is>
      </c>
      <c r="C268" t="inlineStr">
        <is>
          <t>Nike Women's Court Legacy Next Nature Shoes</t>
        </is>
      </c>
      <c r="D268" t="inlineStr">
        <is>
          <t>Nike Womens Court Legacy Next Nature Shoe</t>
        </is>
      </c>
      <c r="E268" s="1">
        <f>HYPERLINK("https://www.amazon.com/Nike-Womens-Court-Legacy-Nature/dp/B09NMHJJKW/ref=sr_1_2?keywords=Nike+Womens+Court+Legacy+Next+Nature+Shoes&amp;qid=1695764009&amp;sr=8-2", "https://www.amazon.com/Nike-Womens-Court-Legacy-Nature/dp/B09NMHJJKW/ref=sr_1_2?keywords=Nike+Womens+Court+Legacy+Next+Nature+Shoes&amp;qid=1695764009&amp;sr=8-2")</f>
        <v/>
      </c>
      <c r="F268" t="inlineStr">
        <is>
          <t>B09NMHJJKW</t>
        </is>
      </c>
      <c r="G268">
        <f>_xlfn.IMAGE("https://dks.scene7.com/is/image/GolfGalaxy/22NIKWCRTLGCYNXTNFTW_Honeydew?qlt=70&amp;wid=600&amp;fmt=pjpeg")</f>
        <v/>
      </c>
      <c r="H268">
        <f>_xlfn.IMAGE("https://m.media-amazon.com/images/I/71st6+FRrZL._AC_UL320_.jpg")</f>
        <v/>
      </c>
      <c r="K268" t="inlineStr">
        <is>
          <t>51.97</t>
        </is>
      </c>
      <c r="L268" t="n">
        <v>89.34</v>
      </c>
      <c r="M268" s="2" t="inlineStr">
        <is>
          <t>71.91%</t>
        </is>
      </c>
      <c r="N268" t="n">
        <v>4.8</v>
      </c>
      <c r="O268" t="n">
        <v>16</v>
      </c>
      <c r="Q268" t="inlineStr">
        <is>
          <t>InStock</t>
        </is>
      </c>
      <c r="R268" t="inlineStr">
        <is>
          <t>undefined</t>
        </is>
      </c>
      <c r="S268" t="inlineStr">
        <is>
          <t>22NIKWCRTLGCYNXTNFTW</t>
        </is>
      </c>
    </row>
    <row r="269" ht="75" customHeight="1">
      <c r="A269" s="1">
        <f>HYPERLINK("https://www.dickssportinggoods.com/p/nike-womens-pro-3-shorts-20nikwpr3shrtxxxxapb/20nikwpr3shrtxxxxapb?categoryId=10928215", "https://www.dickssportinggoods.com/p/nike-womens-pro-3-shorts-20nikwpr3shrtxxxxapb/20nikwpr3shrtxxxxapb?categoryId=10928215")</f>
        <v/>
      </c>
      <c r="B269" t="inlineStr">
        <is>
          <t>undefined</t>
        </is>
      </c>
      <c r="C269" t="inlineStr">
        <is>
          <t>Nike Women's Pro 3” Shorts</t>
        </is>
      </c>
      <c r="D269" t="inlineStr">
        <is>
          <t>Nike Women's Pro 365 3 Inch Shorts</t>
        </is>
      </c>
      <c r="E269" s="1">
        <f>HYPERLINK("https://www.amazon.com/Nike-Womens-Shorts-DH4863-X-Large/dp/B0BG9FXXC1/ref=sr_1_5?keywords=Nike+Women%27s+Pro+3%E2%80%9D+Shorts&amp;qid=1695764011&amp;sr=8-5", "https://www.amazon.com/Nike-Womens-Shorts-DH4863-X-Large/dp/B0BG9FXXC1/ref=sr_1_5?keywords=Nike+Women%27s+Pro+3%E2%80%9D+Shorts&amp;qid=1695764011&amp;sr=8-5")</f>
        <v/>
      </c>
      <c r="F269" t="inlineStr">
        <is>
          <t>B0BG9FXXC1</t>
        </is>
      </c>
      <c r="G269">
        <f>_xlfn.IMAGE("https://dks.scene7.com/is/image/GolfGalaxy/20NIKWPR3SHRTXXXXAPB_Viotech?qlt=70&amp;wid=600&amp;fmt=pjpeg")</f>
        <v/>
      </c>
      <c r="H269">
        <f>_xlfn.IMAGE("https://m.media-amazon.com/images/I/516racU8imL._AC_UL320_.jpg")</f>
        <v/>
      </c>
      <c r="K269" t="inlineStr">
        <is>
          <t>16.97</t>
        </is>
      </c>
      <c r="L269" t="n">
        <v>36.9</v>
      </c>
      <c r="M269" s="2" t="inlineStr">
        <is>
          <t>117.44%</t>
        </is>
      </c>
      <c r="N269" t="n">
        <v>4.6</v>
      </c>
      <c r="O269" t="n">
        <v>104</v>
      </c>
      <c r="Q269" t="inlineStr">
        <is>
          <t>InStock</t>
        </is>
      </c>
      <c r="R269" t="inlineStr">
        <is>
          <t>30.0</t>
        </is>
      </c>
      <c r="S269" t="inlineStr">
        <is>
          <t>20NIKWPR3SHRTXXXXAPB</t>
        </is>
      </c>
    </row>
    <row r="270" ht="75" customHeight="1">
      <c r="A270" s="1">
        <f>HYPERLINK("https://www.dickssportinggoods.com/p/nike-womens-pro-3-shorts-20nikwpr3shrtxxxxapb/20nikwpr3shrtxxxxapb?categoryId=10928215", "https://www.dickssportinggoods.com/p/nike-womens-pro-3-shorts-20nikwpr3shrtxxxxapb/20nikwpr3shrtxxxxapb?categoryId=10928215")</f>
        <v/>
      </c>
      <c r="B270" t="inlineStr">
        <is>
          <t>undefined</t>
        </is>
      </c>
      <c r="C270" t="inlineStr">
        <is>
          <t>Nike Women's Pro 3” Shorts</t>
        </is>
      </c>
      <c r="D270" t="inlineStr">
        <is>
          <t>Nike Women's Pro 3" Training Shorts</t>
        </is>
      </c>
      <c r="E270" s="1">
        <f>HYPERLINK("https://www.amazon.com/Nike-Womens-Training-Shorts-Indigo/dp/B07XJDQFL3/ref=sr_1_1?keywords=Nike+Women%27s+Pro+3%E2%80%9D+Shorts&amp;qid=1695764011&amp;sr=8-1", "https://www.amazon.com/Nike-Womens-Training-Shorts-Indigo/dp/B07XJDQFL3/ref=sr_1_1?keywords=Nike+Women%27s+Pro+3%E2%80%9D+Shorts&amp;qid=1695764011&amp;sr=8-1")</f>
        <v/>
      </c>
      <c r="F270" t="inlineStr">
        <is>
          <t>B07XJDQFL3</t>
        </is>
      </c>
      <c r="G270">
        <f>_xlfn.IMAGE("https://dks.scene7.com/is/image/GolfGalaxy/20NIKWPR3SHRTXXXXAPB_Viotech?qlt=70&amp;wid=600&amp;fmt=pjpeg")</f>
        <v/>
      </c>
      <c r="H270">
        <f>_xlfn.IMAGE("https://m.media-amazon.com/images/I/71FWnuZNE3L._AC_UL320_.jpg")</f>
        <v/>
      </c>
      <c r="K270" t="inlineStr">
        <is>
          <t>16.97</t>
        </is>
      </c>
      <c r="L270" t="n">
        <v>32.75</v>
      </c>
      <c r="M270" s="2" t="inlineStr">
        <is>
          <t>92.99%</t>
        </is>
      </c>
      <c r="N270" t="n">
        <v>4.6</v>
      </c>
      <c r="O270" t="n">
        <v>11388</v>
      </c>
      <c r="Q270" t="inlineStr">
        <is>
          <t>InStock</t>
        </is>
      </c>
      <c r="R270" t="inlineStr">
        <is>
          <t>30.0</t>
        </is>
      </c>
      <c r="S270" t="inlineStr">
        <is>
          <t>20NIKWPR3SHRTXXXXAPB</t>
        </is>
      </c>
    </row>
    <row r="271" ht="75" customHeight="1">
      <c r="A271" s="1">
        <f>HYPERLINK("https://www.dickssportinggoods.com/p/nike-womens-tempo-running-shorts-23nikwtmpshrtcrxxapb/23nikwtmpshrtcrxxapb?categoryId=10928215", "https://www.dickssportinggoods.com/p/nike-womens-tempo-running-shorts-23nikwtmpshrtcrxxapb/23nikwtmpshrtcrxxapb?categoryId=10928215")</f>
        <v/>
      </c>
      <c r="B271" t="inlineStr">
        <is>
          <t>undefined</t>
        </is>
      </c>
      <c r="C271" t="inlineStr">
        <is>
          <t>Nike Women's Tempo Running Shorts</t>
        </is>
      </c>
      <c r="D271" t="inlineStr">
        <is>
          <t>Nike Women's Dry 10K Running Shorts</t>
        </is>
      </c>
      <c r="E271" s="1">
        <f>HYPERLINK("https://www.amazon.com/Nike-Womens-Running-Shorts-Medium/dp/B0BB4C8983/ref=sr_1_6?keywords=Nike+Womens+Tempo+Running+Shorts&amp;qid=1695764015&amp;sr=8-6", "https://www.amazon.com/Nike-Womens-Running-Shorts-Medium/dp/B0BB4C8983/ref=sr_1_6?keywords=Nike+Womens+Tempo+Running+Shorts&amp;qid=1695764015&amp;sr=8-6")</f>
        <v/>
      </c>
      <c r="F271" t="inlineStr">
        <is>
          <t>B0BB4C8983</t>
        </is>
      </c>
      <c r="G271">
        <f>_xlfn.IMAGE("https://dks.scene7.com/is/image/GolfGalaxy/23NIKWTMPSHRTCRXXAPB_Anthracite_White_Wolf_Gre?qlt=70&amp;wid=600&amp;fmt=pjpeg")</f>
        <v/>
      </c>
      <c r="H271">
        <f>_xlfn.IMAGE("https://m.media-amazon.com/images/I/41vtmRF423L._AC_UL320_.jpg")</f>
        <v/>
      </c>
      <c r="K271" t="inlineStr">
        <is>
          <t>24.0</t>
        </is>
      </c>
      <c r="L271" t="n">
        <v>39.99</v>
      </c>
      <c r="M271" s="2" t="inlineStr">
        <is>
          <t>66.63%</t>
        </is>
      </c>
      <c r="N271" t="n">
        <v>4.5</v>
      </c>
      <c r="O271" t="n">
        <v>48</v>
      </c>
      <c r="Q271" t="inlineStr">
        <is>
          <t>InStock</t>
        </is>
      </c>
      <c r="R271" t="inlineStr">
        <is>
          <t>32.0</t>
        </is>
      </c>
      <c r="S271" t="inlineStr">
        <is>
          <t>23NIKWTMPSHRTCRXXAPB</t>
        </is>
      </c>
    </row>
    <row r="272" ht="75" customHeight="1">
      <c r="A272" s="1">
        <f>HYPERLINK("https://www.dickssportinggoods.com/p/stanley-30-ozquencher-h2-0-flowstate-tumbler-22stau30zstnlyqnchydb/22stau30zstnlyqnchydb?recid=home_PageElement_home3_rr_2_55593_&amp;rrec=true", "https://www.dickssportinggoods.com/p/stanley-30-ozquencher-h2-0-flowstate-tumbler-22stau30zstnlyqnchydb/22stau30zstnlyqnchydb?recid=home_PageElement_home3_rr_2_55593_&amp;rrec=true")</f>
        <v/>
      </c>
      <c r="B272" t="inlineStr">
        <is>
          <t>undefined</t>
        </is>
      </c>
      <c r="C272" t="inlineStr">
        <is>
          <t>Stanley 30 oz. Quencher H2.0 FlowState Tumbler</t>
        </is>
      </c>
      <c r="D272" t="inlineStr">
        <is>
          <t>Stanley Adventure Quencher H2.0 Flowstate 30 oz Tumbler - Cream Speckle</t>
        </is>
      </c>
      <c r="E272" s="1">
        <f>HYPERLINK("https://www.amazon.com/Stanley-Adventure-Quencher-Flowstate-Tumbler/dp/B0C9PCPZRC/ref=sr_1_7?keywords=Stanley+30+oz.+Quencher+H2.0+FlowState+Tumbler&amp;qid=1695764016&amp;sr=8-7", "https://www.amazon.com/Stanley-Adventure-Quencher-Flowstate-Tumbler/dp/B0C9PCPZRC/ref=sr_1_7?keywords=Stanley+30+oz.+Quencher+H2.0+FlowState+Tumbler&amp;qid=1695764016&amp;sr=8-7")</f>
        <v/>
      </c>
      <c r="F272" t="inlineStr">
        <is>
          <t>B0C9PCPZRC</t>
        </is>
      </c>
      <c r="G272">
        <f>_xlfn.IMAGE("https://dks.scene7.com/is/image/GolfGalaxy/22STAU30ZSTNLYQNCHYDB_Deep_Iris_Speckle?qlt=70&amp;wid=600&amp;fmt=pjpeg")</f>
        <v/>
      </c>
      <c r="H272">
        <f>_xlfn.IMAGE("https://m.media-amazon.com/images/I/5191i51VEFL._AC_UL320_.jpg")</f>
        <v/>
      </c>
      <c r="K272" t="inlineStr">
        <is>
          <t>35.0</t>
        </is>
      </c>
      <c r="L272" t="n">
        <v>62.99</v>
      </c>
      <c r="M272" s="2" t="inlineStr">
        <is>
          <t>79.97%</t>
        </is>
      </c>
      <c r="N272" t="n">
        <v>3.8</v>
      </c>
      <c r="O272" t="n">
        <v>14</v>
      </c>
      <c r="Q272" t="inlineStr">
        <is>
          <t>InStock</t>
        </is>
      </c>
      <c r="R272" t="inlineStr">
        <is>
          <t>undefined</t>
        </is>
      </c>
      <c r="S272" t="inlineStr">
        <is>
          <t>10-10827</t>
        </is>
      </c>
    </row>
    <row r="273" ht="75" customHeight="1">
      <c r="A273" s="1">
        <f>HYPERLINK("https://www.dickssportinggoods.com/p/stanley-30-ozquencher-h2-0-flowstate-tumbler-22stau30zstnlyqnchydb/22stau30zstnlyqnchydb?recid=home_PageElement_home3_rr_2_55593_&amp;rrec=true", "https://www.dickssportinggoods.com/p/stanley-30-ozquencher-h2-0-flowstate-tumbler-22stau30zstnlyqnchydb/22stau30zstnlyqnchydb?recid=home_PageElement_home3_rr_2_55593_&amp;rrec=true")</f>
        <v/>
      </c>
      <c r="B273" t="inlineStr">
        <is>
          <t>undefined</t>
        </is>
      </c>
      <c r="C273" t="inlineStr">
        <is>
          <t>Stanley 30 oz. Quencher H2.0 FlowState Tumbler</t>
        </is>
      </c>
      <c r="D273" t="inlineStr">
        <is>
          <t>STANLEY The Quencher H2.0 FlowState Tumbler (Soft Matte) 30 OZ Shale</t>
        </is>
      </c>
      <c r="E273" s="1">
        <f>HYPERLINK("https://www.amazon.com/STANLEY-Quencher-FlowState-Tumbler-Shale/dp/B0C4RMVPF8/ref=sr_1_8?keywords=Stanley+30+oz.+Quencher+H2.0+FlowState+Tumbler&amp;qid=1695764016&amp;sr=8-8", "https://www.amazon.com/STANLEY-Quencher-FlowState-Tumbler-Shale/dp/B0C4RMVPF8/ref=sr_1_8?keywords=Stanley+30+oz.+Quencher+H2.0+FlowState+Tumbler&amp;qid=1695764016&amp;sr=8-8")</f>
        <v/>
      </c>
      <c r="F273" t="inlineStr">
        <is>
          <t>B0C4RMVPF8</t>
        </is>
      </c>
      <c r="G273">
        <f>_xlfn.IMAGE("https://dks.scene7.com/is/image/GolfGalaxy/22STAU30ZSTNLYQNCHYDB_Deep_Iris_Speckle?qlt=70&amp;wid=600&amp;fmt=pjpeg")</f>
        <v/>
      </c>
      <c r="H273">
        <f>_xlfn.IMAGE("https://m.media-amazon.com/images/I/21O14ohXotL._AC_UL320_.jpg")</f>
        <v/>
      </c>
      <c r="K273" t="inlineStr">
        <is>
          <t>35.0</t>
        </is>
      </c>
      <c r="L273" t="n">
        <v>62.03</v>
      </c>
      <c r="M273" s="2" t="inlineStr">
        <is>
          <t>77.23%</t>
        </is>
      </c>
      <c r="N273" t="n">
        <v>4.7</v>
      </c>
      <c r="O273" t="n">
        <v>11</v>
      </c>
      <c r="Q273" t="inlineStr">
        <is>
          <t>InStock</t>
        </is>
      </c>
      <c r="R273" t="inlineStr">
        <is>
          <t>undefined</t>
        </is>
      </c>
      <c r="S273" t="inlineStr">
        <is>
          <t>10-10827</t>
        </is>
      </c>
    </row>
    <row r="274" ht="75" customHeight="1">
      <c r="A274" s="1">
        <f>HYPERLINK("https://www.dickssportinggoods.com/p/stanley-30-ozquencher-h2-0-flowstate-tumbler-22stau30zstnlyqnchydb/22stau30zstnlyqnchydb?recid=home_PageElement_home3_rr_2_55593_&amp;rrec=true", "https://www.dickssportinggoods.com/p/stanley-30-ozquencher-h2-0-flowstate-tumbler-22stau30zstnlyqnchydb/22stau30zstnlyqnchydb?recid=home_PageElement_home3_rr_2_55593_&amp;rrec=true")</f>
        <v/>
      </c>
      <c r="B274" t="inlineStr">
        <is>
          <t>undefined</t>
        </is>
      </c>
      <c r="C274" t="inlineStr">
        <is>
          <t>Stanley 30 oz. Quencher H2.0 FlowState Tumbler</t>
        </is>
      </c>
      <c r="D274" t="inlineStr">
        <is>
          <t>Stanley 30 oz. Quencher H2.0 FlowState Tumbler, Polar Swirl</t>
        </is>
      </c>
      <c r="E274" s="1">
        <f>HYPERLINK("https://www.amazon.com/Stanley-Quencher-FlowState-Tumbler-Polar/dp/B0CDN31Q5T/ref=sr_1_2?keywords=Stanley+30+oz.+Quencher+H2.0+FlowState+Tumbler&amp;qid=1695764016&amp;sr=8-2", "https://www.amazon.com/Stanley-Quencher-FlowState-Tumbler-Polar/dp/B0CDN31Q5T/ref=sr_1_2?keywords=Stanley+30+oz.+Quencher+H2.0+FlowState+Tumbler&amp;qid=1695764016&amp;sr=8-2")</f>
        <v/>
      </c>
      <c r="F274" t="inlineStr">
        <is>
          <t>B0CDN31Q5T</t>
        </is>
      </c>
      <c r="G274">
        <f>_xlfn.IMAGE("https://dks.scene7.com/is/image/GolfGalaxy/22STAU30ZSTNLYQNCHYDB_Deep_Iris_Speckle?qlt=70&amp;wid=600&amp;fmt=pjpeg")</f>
        <v/>
      </c>
      <c r="H274">
        <f>_xlfn.IMAGE("https://m.media-amazon.com/images/I/31NCF6RABjL._AC_UL320_.jpg")</f>
        <v/>
      </c>
      <c r="K274" t="inlineStr">
        <is>
          <t>35.0</t>
        </is>
      </c>
      <c r="L274" t="n">
        <v>59.85</v>
      </c>
      <c r="M274" s="2" t="inlineStr">
        <is>
          <t>71.00%</t>
        </is>
      </c>
      <c r="N274" t="n">
        <v>5</v>
      </c>
      <c r="O274" t="n">
        <v>5</v>
      </c>
      <c r="Q274" t="inlineStr">
        <is>
          <t>InStock</t>
        </is>
      </c>
      <c r="R274" t="inlineStr">
        <is>
          <t>undefined</t>
        </is>
      </c>
      <c r="S274" t="inlineStr">
        <is>
          <t>10-10827</t>
        </is>
      </c>
    </row>
    <row r="275" ht="75" customHeight="1">
      <c r="A275" s="1">
        <f>HYPERLINK("https://www.dickssportinggoods.com/p/stanley-30-ozquencher-h2-0-flowstate-tumbler-22stau30zstnlyqnchydb/22stau30zstnlyqnchydb?recid=home_PageElement_home3_rr_2_55593_&amp;rrec=true", "https://www.dickssportinggoods.com/p/stanley-30-ozquencher-h2-0-flowstate-tumbler-22stau30zstnlyqnchydb/22stau30zstnlyqnchydb?recid=home_PageElement_home3_rr_2_55593_&amp;rrec=true")</f>
        <v/>
      </c>
      <c r="B275" t="inlineStr">
        <is>
          <t>undefined</t>
        </is>
      </c>
      <c r="C275" t="inlineStr">
        <is>
          <t>Stanley 30 oz. Quencher H2.0 FlowState Tumbler</t>
        </is>
      </c>
      <c r="D275" t="inlineStr">
        <is>
          <t>STANLEY Quencher H2.0 FlowState Tumbler 30oz Soft Matte (Orchid)</t>
        </is>
      </c>
      <c r="E275" s="1">
        <f>HYPERLINK("https://www.amazon.com/STANLEY-Quencher-FlowState-Tumbler-Orchid/dp/B0C3GL93H8/ref=sr_1_4?keywords=Stanley+30+oz.+Quencher+H2.0+FlowState+Tumbler&amp;qid=1695764016&amp;sr=8-4", "https://www.amazon.com/STANLEY-Quencher-FlowState-Tumbler-Orchid/dp/B0C3GL93H8/ref=sr_1_4?keywords=Stanley+30+oz.+Quencher+H2.0+FlowState+Tumbler&amp;qid=1695764016&amp;sr=8-4")</f>
        <v/>
      </c>
      <c r="F275" t="inlineStr">
        <is>
          <t>B0C3GL93H8</t>
        </is>
      </c>
      <c r="G275">
        <f>_xlfn.IMAGE("https://dks.scene7.com/is/image/GolfGalaxy/22STAU30ZSTNLYQNCHYDB_Deep_Iris_Speckle?qlt=70&amp;wid=600&amp;fmt=pjpeg")</f>
        <v/>
      </c>
      <c r="H275">
        <f>_xlfn.IMAGE("https://m.media-amazon.com/images/I/41IrxK63mfL._AC_UL320_.jpg")</f>
        <v/>
      </c>
      <c r="K275" t="inlineStr">
        <is>
          <t>35.0</t>
        </is>
      </c>
      <c r="L275" t="n">
        <v>57.99</v>
      </c>
      <c r="M275" s="2" t="inlineStr">
        <is>
          <t>65.69%</t>
        </is>
      </c>
      <c r="N275" t="n">
        <v>3.8</v>
      </c>
      <c r="O275" t="n">
        <v>10</v>
      </c>
      <c r="Q275" t="inlineStr">
        <is>
          <t>InStock</t>
        </is>
      </c>
      <c r="R275" t="inlineStr">
        <is>
          <t>undefined</t>
        </is>
      </c>
      <c r="S275" t="inlineStr">
        <is>
          <t>10-10827</t>
        </is>
      </c>
    </row>
    <row r="276" ht="75" customHeight="1">
      <c r="A276" s="1">
        <f>HYPERLINK("https://www.havenwellwithin.com/faux-fur-suede-slippers/P224749005.html?cgid=haven-sale-view-all&amp;dwvar_P224749005_color=VICUNA/IVORY&amp;dwvar_P224749005_sizeType=AC", "https://www.havenwellwithin.com/faux-fur-suede-slippers/P224749005.html?cgid=haven-sale-view-all&amp;dwvar_P224749005_color=VICUNA/IVORY&amp;dwvar_P224749005_sizeType=AC")</f>
        <v/>
      </c>
      <c r="B276" s="1">
        <f>HYPERLINK("https://www.havenwellwithin.com/faux-fur-suede-slippers/P224749005.html", "https://www.havenwellwithin.com/faux-fur-suede-slippers/P224749005.html")</f>
        <v/>
      </c>
      <c r="C276" t="inlineStr">
        <is>
          <t>Faux Fur Suede Slippers</t>
        </is>
      </c>
      <c r="D276" t="inlineStr">
        <is>
          <t>Sorel Go Coffee Run Slippers for Women - Faux Fur Collar - Suede Upper - Tough Rubber Sole Epic Plum 6 B - Medium</t>
        </is>
      </c>
      <c r="E276" s="1">
        <f>HYPERLINK("https://www.amazon.com/Sorel-Womens-Go-Outdoor-Slipper/dp/B08B81R22T/ref=sr_1_6?keywords=Faux+Fur+Suede+Slippers&amp;qid=1695764056&amp;sr=8-6", "https://www.amazon.com/Sorel-Womens-Go-Outdoor-Slipper/dp/B08B81R22T/ref=sr_1_6?keywords=Faux+Fur+Suede+Slippers&amp;qid=1695764056&amp;sr=8-6")</f>
        <v/>
      </c>
      <c r="F276" t="inlineStr">
        <is>
          <t>B08B81R22T</t>
        </is>
      </c>
      <c r="G276">
        <f>_xlfn.IMAGE("https://www.havenwellwithin.com/dw/image/v2/BCMM_PRD/on/demandware.static/-/Sites-master-catalog-talbots/default/dw48739164/images/224749005/224749005_0852.jpg?sw=642&amp;sh=770&amp;sm=fit")</f>
        <v/>
      </c>
      <c r="H276">
        <f>_xlfn.IMAGE("https://m.media-amazon.com/images/I/81IN0Hn3JRL._AC_UL320_.jpg")</f>
        <v/>
      </c>
      <c r="K276" t="inlineStr">
        <is>
          <t>59.99</t>
        </is>
      </c>
      <c r="L276" t="n">
        <v>107.98</v>
      </c>
      <c r="M276" s="2" t="inlineStr">
        <is>
          <t>80.00%</t>
        </is>
      </c>
      <c r="N276" t="n">
        <v>5</v>
      </c>
      <c r="O276" t="n">
        <v>3</v>
      </c>
      <c r="Q276" t="inlineStr">
        <is>
          <t>undefined</t>
        </is>
      </c>
      <c r="R276" t="inlineStr">
        <is>
          <t>88.0</t>
        </is>
      </c>
      <c r="S276" t="inlineStr">
        <is>
          <t>P224749005</t>
        </is>
      </c>
    </row>
    <row r="277" ht="75" customHeight="1">
      <c r="A277" s="1">
        <f>HYPERLINK("https://www.havenwellwithin.com/organic-cotton-gauze-dress/P232730435.html?cgid=haven-sale-view-all&amp;dwvar_P232730435_color=PEONY&amp;dwvar_P232730435_sizeType=MS", "https://www.havenwellwithin.com/organic-cotton-gauze-dress/P232730435.html?cgid=haven-sale-view-all&amp;dwvar_P232730435_color=PEONY&amp;dwvar_P232730435_sizeType=MS")</f>
        <v/>
      </c>
      <c r="B277" s="1">
        <f>HYPERLINK("https://www.havenwellwithin.com/organic-cotton-gauze-dress/P232730435.html", "https://www.havenwellwithin.com/organic-cotton-gauze-dress/P232730435.html")</f>
        <v/>
      </c>
      <c r="C277" t="inlineStr">
        <is>
          <t>Organic Cotton Gauze Dress</t>
        </is>
      </c>
      <c r="D277" t="inlineStr">
        <is>
          <t>Eileen Fisher Womens Organic Cotton V-Neck Midi Dress</t>
        </is>
      </c>
      <c r="E277" s="1">
        <f>HYPERLINK("https://www.amazon.com/Eileen-Fisher-Organic-Cotton-V-Neck/dp/B07PVJH4X9/ref=sr_1_3?keywords=Organic+Cotton+Gauze+Dress&amp;qid=1695764050&amp;sr=8-3", "https://www.amazon.com/Eileen-Fisher-Organic-Cotton-V-Neck/dp/B07PVJH4X9/ref=sr_1_3?keywords=Organic+Cotton+Gauze+Dress&amp;qid=1695764050&amp;sr=8-3")</f>
        <v/>
      </c>
      <c r="F277" t="inlineStr">
        <is>
          <t>B07PVJH4X9</t>
        </is>
      </c>
      <c r="G277">
        <f>_xlfn.IMAGE("https://www.havenwellwithin.com/dw/image/v2/BCMM_PRD/on/demandware.static/-/Sites-master-catalog-talbots/default/dw31b44a20/images/232730435/232730435_3897.jpg?sw=642&amp;sh=770&amp;sm=fit")</f>
        <v/>
      </c>
      <c r="H277">
        <f>_xlfn.IMAGE("https://m.media-amazon.com/images/I/51iADBG9ejL._MCnd_AC_UL320_.jpg")</f>
        <v/>
      </c>
      <c r="K277" t="inlineStr">
        <is>
          <t>69.99</t>
        </is>
      </c>
      <c r="L277" t="n">
        <v>148</v>
      </c>
      <c r="M277" s="2" t="inlineStr">
        <is>
          <t>111.46%</t>
        </is>
      </c>
      <c r="N277" t="n">
        <v>5</v>
      </c>
      <c r="O277" t="n">
        <v>1</v>
      </c>
      <c r="Q277" t="inlineStr">
        <is>
          <t>undefined</t>
        </is>
      </c>
      <c r="R277" t="inlineStr">
        <is>
          <t>88.0</t>
        </is>
      </c>
      <c r="S277" t="inlineStr">
        <is>
          <t>P232730435</t>
        </is>
      </c>
    </row>
    <row r="278" ht="75" customHeight="1">
      <c r="A278" s="1">
        <f>HYPERLINK("https://www.loft.com/clothing/tops/catl000011/584976.html?priceSort=DES", "https://www.loft.com/clothing/tops/catl000011/584976.html?priceSort=DES")</f>
        <v/>
      </c>
      <c r="B278" s="1">
        <f>HYPERLINK("https://www.loft.com/clothing/tops/catl000011/584976.html", "https://www.loft.com/clothing/tops/catl000011/584976.html")</f>
        <v/>
      </c>
      <c r="C278" t="inlineStr">
        <is>
          <t>Double V Layering Cami</t>
        </is>
      </c>
      <c r="D278" t="inlineStr">
        <is>
          <t>Amiliashp Amilia Women's Basic Solid Deep V Neck Cami Spaghetti Double Layer Crop Tank Tops Casual Shirts</t>
        </is>
      </c>
      <c r="E278" s="1">
        <f>HYPERLINK("https://www.amazon.com/Amilia-Womens-Spaghetti-Double-Casual/dp/B08ZY2YMTK/ref=sr_1_1?keywords=Double+V+Layering+Cami&amp;qid=1695764126&amp;sr=8-1", "https://www.amazon.com/Amilia-Womens-Spaghetti-Double-Casual/dp/B08ZY2YMTK/ref=sr_1_1?keywords=Double+V+Layering+Cami&amp;qid=1695764126&amp;sr=8-1")</f>
        <v/>
      </c>
      <c r="F278" t="inlineStr">
        <is>
          <t>B08ZY2YMTK</t>
        </is>
      </c>
      <c r="G278">
        <f>_xlfn.IMAGE("https://anninc.scene7.com/is/image/LO/584976_9000?$fullBpdp$")</f>
        <v/>
      </c>
      <c r="H278">
        <f>_xlfn.IMAGE("https://m.media-amazon.com/images/I/71FaFmYybQL._AC_UL320_.jpg")</f>
        <v/>
      </c>
      <c r="K278" t="inlineStr">
        <is>
          <t>13.96</t>
        </is>
      </c>
      <c r="L278" t="n">
        <v>24.99</v>
      </c>
      <c r="M278" s="2" t="inlineStr">
        <is>
          <t>79.01%</t>
        </is>
      </c>
      <c r="N278" t="n">
        <v>4.1</v>
      </c>
      <c r="O278" t="n">
        <v>803</v>
      </c>
      <c r="Q278" t="inlineStr">
        <is>
          <t>InStock</t>
        </is>
      </c>
      <c r="R278" t="inlineStr">
        <is>
          <t>19.95</t>
        </is>
      </c>
      <c r="S278" t="inlineStr">
        <is>
          <t>584976</t>
        </is>
      </c>
    </row>
    <row r="279" ht="75" customHeight="1">
      <c r="A279" s="1">
        <f>HYPERLINK("https://www.loft.com/clothing/tops/catl000011/584976.html?priceSort=DES", "https://www.loft.com/clothing/tops/catl000011/584976.html?priceSort=DES")</f>
        <v/>
      </c>
      <c r="B279" s="1">
        <f>HYPERLINK("https://www.loft.com/clothing/tops/catl000011/584976.html", "https://www.loft.com/clothing/tops/catl000011/584976.html")</f>
        <v/>
      </c>
      <c r="C279" t="inlineStr">
        <is>
          <t>Double V Layering Cami</t>
        </is>
      </c>
      <c r="D279" t="inlineStr">
        <is>
          <t>Vanity Fair Women's Tops for Layering (Camisole &amp; Tank Tops)</t>
        </is>
      </c>
      <c r="E279" s="1">
        <f>HYPERLINK("https://www.amazon.com/Vanity-Fair-Seamless-Tailored-17210/dp/B006LFV97G/ref=sr_1_10?keywords=Double+V+Layering+Cami&amp;qid=1695764126&amp;sr=8-10", "https://www.amazon.com/Vanity-Fair-Seamless-Tailored-17210/dp/B006LFV97G/ref=sr_1_10?keywords=Double+V+Layering+Cami&amp;qid=1695764126&amp;sr=8-10")</f>
        <v/>
      </c>
      <c r="F279" t="inlineStr">
        <is>
          <t>B006LFV97G</t>
        </is>
      </c>
      <c r="G279">
        <f>_xlfn.IMAGE("https://anninc.scene7.com/is/image/LO/584976_9000?$fullBpdp$")</f>
        <v/>
      </c>
      <c r="H279">
        <f>_xlfn.IMAGE("https://m.media-amazon.com/images/I/71rNEGu8cxL._AC_UL320_.jpg")</f>
        <v/>
      </c>
      <c r="K279" t="inlineStr">
        <is>
          <t>13.96</t>
        </is>
      </c>
      <c r="L279" t="n">
        <v>24</v>
      </c>
      <c r="M279" s="2" t="inlineStr">
        <is>
          <t>71.92%</t>
        </is>
      </c>
      <c r="N279" t="n">
        <v>4.1</v>
      </c>
      <c r="O279" t="n">
        <v>4154</v>
      </c>
      <c r="Q279" t="inlineStr">
        <is>
          <t>InStock</t>
        </is>
      </c>
      <c r="R279" t="inlineStr">
        <is>
          <t>19.95</t>
        </is>
      </c>
      <c r="S279" t="inlineStr">
        <is>
          <t>584976</t>
        </is>
      </c>
    </row>
    <row r="280" ht="75" customHeight="1">
      <c r="A280" s="1">
        <f>HYPERLINK("https://www.loft.com/clothing/tops/catl000011/586193.html?dwvar_586193_color=2222&amp;priceSort=DES", "https://www.loft.com/clothing/tops/catl000011/586193.html?dwvar_586193_color=2222&amp;priceSort=DES")</f>
        <v/>
      </c>
      <c r="B280" s="1">
        <f>HYPERLINK("https://www.loft.com/clothing/tops/catl000011/586193.html", "https://www.loft.com/clothing/tops/catl000011/586193.html")</f>
        <v/>
      </c>
      <c r="C280" t="inlineStr">
        <is>
          <t>Perfect Tank</t>
        </is>
      </c>
      <c r="D280" t="inlineStr">
        <is>
          <t>NIC+ZOE Women's Stonefall Shirt Tail Perfect Tank</t>
        </is>
      </c>
      <c r="E280" s="1">
        <f>HYPERLINK("https://www.amazon.com/NIC-ZOE-Womens-STONEFALL-Perfect/dp/B0BP3YT7F4/ref=sr_1_7?keywords=Perfect+Tank&amp;qid=1695764160&amp;sr=8-7", "https://www.amazon.com/NIC-ZOE-Womens-STONEFALL-Perfect/dp/B0BP3YT7F4/ref=sr_1_7?keywords=Perfect+Tank&amp;qid=1695764160&amp;sr=8-7")</f>
        <v/>
      </c>
      <c r="F280" t="inlineStr">
        <is>
          <t>B0BP3YT7F4</t>
        </is>
      </c>
      <c r="G280">
        <f>_xlfn.IMAGE("https://anninc.scene7.com/is/image/LO/586193_2222_B1?$fullBpdp$")</f>
        <v/>
      </c>
      <c r="H280">
        <f>_xlfn.IMAGE("https://m.media-amazon.com/images/I/61GQPJZZ3eL._AC_UL320_.jpg")</f>
        <v/>
      </c>
      <c r="K280" t="inlineStr">
        <is>
          <t>19.88</t>
        </is>
      </c>
      <c r="L280" t="n">
        <v>71</v>
      </c>
      <c r="M280" s="2" t="inlineStr">
        <is>
          <t>257.14%</t>
        </is>
      </c>
      <c r="N280" t="n">
        <v>5</v>
      </c>
      <c r="O280" t="n">
        <v>1</v>
      </c>
      <c r="Q280" t="inlineStr">
        <is>
          <t>undefined</t>
        </is>
      </c>
      <c r="R280" t="inlineStr">
        <is>
          <t>26.95</t>
        </is>
      </c>
      <c r="S280" t="inlineStr">
        <is>
          <t>586193</t>
        </is>
      </c>
    </row>
    <row r="281" ht="75" customHeight="1">
      <c r="A281" s="1">
        <f>HYPERLINK("https://www.loft.com/clothing/tops/catl000011/586193.html?dwvar_586193_color=2222&amp;priceSort=DES", "https://www.loft.com/clothing/tops/catl000011/586193.html?dwvar_586193_color=2222&amp;priceSort=DES")</f>
        <v/>
      </c>
      <c r="B281" s="1">
        <f>HYPERLINK("https://www.loft.com/clothing/tops/catl000011/586193.html", "https://www.loft.com/clothing/tops/catl000011/586193.html")</f>
        <v/>
      </c>
      <c r="C281" t="inlineStr">
        <is>
          <t>Perfect Tank</t>
        </is>
      </c>
      <c r="D281" t="inlineStr">
        <is>
          <t>NIC+ZOE Women's Shirt Tail Perfect Tank</t>
        </is>
      </c>
      <c r="E281" s="1">
        <f>HYPERLINK("https://www.amazon.com/NIC-ZOE-womens-Perfect-Medium/dp/B09JQX9J7K/ref=sr_1_4?keywords=Perfect+Tank&amp;qid=1695764160&amp;sr=8-4", "https://www.amazon.com/NIC-ZOE-womens-Perfect-Medium/dp/B09JQX9J7K/ref=sr_1_4?keywords=Perfect+Tank&amp;qid=1695764160&amp;sr=8-4")</f>
        <v/>
      </c>
      <c r="F281" t="inlineStr">
        <is>
          <t>B09JQX9J7K</t>
        </is>
      </c>
      <c r="G281">
        <f>_xlfn.IMAGE("https://anninc.scene7.com/is/image/LO/586193_2222_B1?$fullBpdp$")</f>
        <v/>
      </c>
      <c r="H281">
        <f>_xlfn.IMAGE("https://m.media-amazon.com/images/I/819EEuXVwTL._AC_UL320_.jpg")</f>
        <v/>
      </c>
      <c r="K281" t="inlineStr">
        <is>
          <t>19.88</t>
        </is>
      </c>
      <c r="L281" t="n">
        <v>40.09</v>
      </c>
      <c r="M281" s="2" t="inlineStr">
        <is>
          <t>101.66%</t>
        </is>
      </c>
      <c r="N281" t="n">
        <v>4</v>
      </c>
      <c r="O281" t="n">
        <v>46</v>
      </c>
      <c r="Q281" t="inlineStr">
        <is>
          <t>undefined</t>
        </is>
      </c>
      <c r="R281" t="inlineStr">
        <is>
          <t>26.95</t>
        </is>
      </c>
      <c r="S281" t="inlineStr">
        <is>
          <t>586193</t>
        </is>
      </c>
    </row>
    <row r="282" ht="75" customHeight="1">
      <c r="A282" s="1">
        <f>HYPERLINK("https://www.loft.com/clothing/tops/catl000011/596262.html?dwvar_596262_color=4899&amp;priceSort=DES", "https://www.loft.com/clothing/tops/catl000011/596262.html?dwvar_596262_color=4899&amp;priceSort=DES")</f>
        <v/>
      </c>
      <c r="B282" s="1">
        <f>HYPERLINK("https://www.loft.com/clothing/tops/catl000011/596262.html", "https://www.loft.com/clothing/tops/catl000011/596262.html")</f>
        <v/>
      </c>
      <c r="C282" t="inlineStr">
        <is>
          <t>Ribbed Mock Neck Shell</t>
        </is>
      </c>
      <c r="D282" t="inlineStr">
        <is>
          <t>ANRABESS Women's Mock Neck Knit Sweater Vest Casual Sleeveless Summer Trendy Ribbed Pullover Tank Tops</t>
        </is>
      </c>
      <c r="E282" s="1">
        <f>HYPERLINK("https://www.amazon.com/ANRABESS-Sleeveless-Sweater-Pullover-1181huahui-M/dp/B0C8CJ316R/ref=sr_1_6?keywords=Ribbed+Mock+Neck+Shell&amp;qid=1695764138&amp;sr=8-6", "https://www.amazon.com/ANRABESS-Sleeveless-Sweater-Pullover-1181huahui-M/dp/B0C8CJ316R/ref=sr_1_6?keywords=Ribbed+Mock+Neck+Shell&amp;qid=1695764138&amp;sr=8-6")</f>
        <v/>
      </c>
      <c r="F282" t="inlineStr">
        <is>
          <t>B0C8CJ316R</t>
        </is>
      </c>
      <c r="G282">
        <f>_xlfn.IMAGE("https://anninc.scene7.com/is/image/LO/596262_4899?$fullBpdp$")</f>
        <v/>
      </c>
      <c r="H282">
        <f>_xlfn.IMAGE("https://m.media-amazon.com/images/I/81Qvt9SlzwL._AC_UF264,320_.jpg")</f>
        <v/>
      </c>
      <c r="K282" t="inlineStr">
        <is>
          <t>18.82</t>
        </is>
      </c>
      <c r="L282" t="n">
        <v>32.99</v>
      </c>
      <c r="M282" s="2" t="inlineStr">
        <is>
          <t>75.29%</t>
        </is>
      </c>
      <c r="N282" t="n">
        <v>4.3</v>
      </c>
      <c r="O282" t="n">
        <v>32</v>
      </c>
      <c r="Q282" t="inlineStr">
        <is>
          <t>undefined</t>
        </is>
      </c>
      <c r="R282" t="inlineStr">
        <is>
          <t>34.95</t>
        </is>
      </c>
      <c r="S282" t="inlineStr">
        <is>
          <t>596262</t>
        </is>
      </c>
    </row>
    <row r="283" ht="75" customHeight="1">
      <c r="A283" s="1">
        <f>HYPERLINK("https://www.loft.com/clothing/tops/catl000011/761763.html?priceSort=DES", "https://www.loft.com/clothing/tops/catl000011/761763.html?priceSort=DES")</f>
        <v/>
      </c>
      <c r="B283" s="1">
        <f>HYPERLINK("https://www.loft.com/clothing/tops/catl000011/761763.html", "https://www.loft.com/clothing/tops/catl000011/761763.html")</f>
        <v/>
      </c>
      <c r="C283" t="inlineStr">
        <is>
          <t>Dahlia Everyday V-Neck Tee</t>
        </is>
      </c>
      <c r="D283" t="inlineStr">
        <is>
          <t>Woolly Clothing Co Woolly Clothing Men's Merino Wool V-Neck Tee Shirt - Everyday Weight - Wicking Breathable Anti-Odor</t>
        </is>
      </c>
      <c r="E283" s="1">
        <f>HYPERLINK("https://www.amazon.com/Woolly-Clothing-Merino-V-Neck-Shirt/dp/B07XH125Z6/ref=sr_1_fkmr1_1?keywords=Dahlia+Everyday+V-Neck+Tee&amp;qid=1695764113&amp;sr=8-1-fkmr1", "https://www.amazon.com/Woolly-Clothing-Merino-V-Neck-Shirt/dp/B07XH125Z6/ref=sr_1_fkmr1_1?keywords=Dahlia+Everyday+V-Neck+Tee&amp;qid=1695764113&amp;sr=8-1-fkmr1")</f>
        <v/>
      </c>
      <c r="F283" t="inlineStr">
        <is>
          <t>B07XH125Z6</t>
        </is>
      </c>
      <c r="G283">
        <f>_xlfn.IMAGE("https://anninc.scene7.com/is/image/LO/761763_500869?$fullBpdp$")</f>
        <v/>
      </c>
      <c r="H283">
        <f>_xlfn.IMAGE("https://m.media-amazon.com/images/I/71z5K53m+GL._AC_UL320_.jpg")</f>
        <v/>
      </c>
      <c r="K283" t="inlineStr">
        <is>
          <t>25.86</t>
        </is>
      </c>
      <c r="L283" t="n">
        <v>64.98999999999999</v>
      </c>
      <c r="M283" s="2" t="inlineStr">
        <is>
          <t>151.31%</t>
        </is>
      </c>
      <c r="N283" t="n">
        <v>4.4</v>
      </c>
      <c r="O283" t="n">
        <v>388</v>
      </c>
      <c r="Q283" t="inlineStr">
        <is>
          <t>InStock</t>
        </is>
      </c>
      <c r="R283" t="inlineStr">
        <is>
          <t>36.95</t>
        </is>
      </c>
      <c r="S283" t="inlineStr">
        <is>
          <t>761763</t>
        </is>
      </c>
    </row>
    <row r="284" ht="75" customHeight="1">
      <c r="A284" s="1">
        <f>HYPERLINK("https://www.loft.com/clothing/tops/catl000011/grp_580214_018525.html?priceSort=DES", "https://www.loft.com/clothing/tops/catl000011/grp_580214_018525.html?priceSort=DES")</f>
        <v/>
      </c>
      <c r="B284" s="1">
        <f>HYPERLINK("https://www.loft.com/clothing/tops/catl000011/580214.html", "https://www.loft.com/clothing/tops/catl000011/580214.html")</f>
        <v/>
      </c>
      <c r="C284" t="inlineStr">
        <is>
          <t>Everyday Crew Tee</t>
        </is>
      </c>
      <c r="D284" t="inlineStr">
        <is>
          <t>Woolly Clothing Co Woolly Clothing Men's Merino Wool Crew Neck Tee Shirt - Everyday Weight - Wicking Breathable Anti-Odor</t>
        </is>
      </c>
      <c r="E284" s="1">
        <f>HYPERLINK("https://www.amazon.com/Woolly-Clothing-Mens-Merino-Shirt/dp/B00UWHJO2Q/ref=sr_1_6?keywords=Everyday+Crew+Tee&amp;qid=1695764113&amp;sr=8-6", "https://www.amazon.com/Woolly-Clothing-Mens-Merino-Shirt/dp/B00UWHJO2Q/ref=sr_1_6?keywords=Everyday+Crew+Tee&amp;qid=1695764113&amp;sr=8-6")</f>
        <v/>
      </c>
      <c r="F284" t="inlineStr">
        <is>
          <t>B00UWHJO2Q</t>
        </is>
      </c>
      <c r="G284">
        <f>_xlfn.IMAGE("https://anninc.scene7.com/is/image/LO/580214_018525?$fullBpdp$")</f>
        <v/>
      </c>
      <c r="H284">
        <f>_xlfn.IMAGE("https://m.media-amazon.com/images/I/61LB9MtT9YL._AC_UL320_.jpg")</f>
        <v/>
      </c>
      <c r="K284" t="inlineStr">
        <is>
          <t>19.88</t>
        </is>
      </c>
      <c r="L284" t="n">
        <v>64.98999999999999</v>
      </c>
      <c r="M284" s="2" t="inlineStr">
        <is>
          <t>226.91%</t>
        </is>
      </c>
      <c r="N284" t="n">
        <v>4.3</v>
      </c>
      <c r="O284" t="n">
        <v>312</v>
      </c>
      <c r="Q284" t="inlineStr">
        <is>
          <t>undefined</t>
        </is>
      </c>
      <c r="R284" t="inlineStr">
        <is>
          <t>29.95</t>
        </is>
      </c>
      <c r="S284" t="inlineStr">
        <is>
          <t>580214_018525</t>
        </is>
      </c>
    </row>
    <row r="285" ht="75" customHeight="1">
      <c r="A285" s="1">
        <f>HYPERLINK("https://www.loft.com/clothing/tops/catl000011/grp_580214_0473.html?priceSort=DES", "https://www.loft.com/clothing/tops/catl000011/grp_580214_0473.html?priceSort=DES")</f>
        <v/>
      </c>
      <c r="B285" s="1">
        <f>HYPERLINK("https://www.loft.com/clothing/tops/catl000011/580214.html", "https://www.loft.com/clothing/tops/catl000011/580214.html")</f>
        <v/>
      </c>
      <c r="C285" t="inlineStr">
        <is>
          <t>Everyday Crew Tee</t>
        </is>
      </c>
      <c r="D285" t="inlineStr">
        <is>
          <t>Woolly Clothing Co Woolly Clothing Men's Merino Wool Crew Neck Tee Shirt - Everyday Weight - Wicking Breathable Anti-Odor</t>
        </is>
      </c>
      <c r="E285" s="1">
        <f>HYPERLINK("https://www.amazon.com/Woolly-Clothing-Mens-Merino-Shirt/dp/B00UWHJO2Q/ref=sr_1_6?keywords=Everyday+Crew+Tee&amp;qid=1695764129&amp;sr=8-6", "https://www.amazon.com/Woolly-Clothing-Mens-Merino-Shirt/dp/B00UWHJO2Q/ref=sr_1_6?keywords=Everyday+Crew+Tee&amp;qid=1695764129&amp;sr=8-6")</f>
        <v/>
      </c>
      <c r="F285" t="inlineStr">
        <is>
          <t>B00UWHJO2Q</t>
        </is>
      </c>
      <c r="G285">
        <f>_xlfn.IMAGE("https://anninc.scene7.com/is/image/LO/580214_0473_B1?$fullBpdp$")</f>
        <v/>
      </c>
      <c r="H285">
        <f>_xlfn.IMAGE("https://m.media-amazon.com/images/I/61LB9MtT9YL._AC_UL320_.jpg")</f>
        <v/>
      </c>
      <c r="K285" t="inlineStr">
        <is>
          <t>19.88</t>
        </is>
      </c>
      <c r="L285" t="n">
        <v>64.98999999999999</v>
      </c>
      <c r="M285" s="2" t="inlineStr">
        <is>
          <t>226.91%</t>
        </is>
      </c>
      <c r="N285" t="n">
        <v>4.3</v>
      </c>
      <c r="O285" t="n">
        <v>312</v>
      </c>
      <c r="Q285" t="inlineStr">
        <is>
          <t>undefined</t>
        </is>
      </c>
      <c r="R285" t="inlineStr">
        <is>
          <t>29.95</t>
        </is>
      </c>
      <c r="S285" t="inlineStr">
        <is>
          <t>580214</t>
        </is>
      </c>
    </row>
    <row r="286" ht="75" customHeight="1">
      <c r="A286" s="1">
        <f>HYPERLINK("https://www.loft.com/clothing/tops/catl000011/grp_580214_4638.html?priceSort=DES", "https://www.loft.com/clothing/tops/catl000011/grp_580214_4638.html?priceSort=DES")</f>
        <v/>
      </c>
      <c r="B286" s="1">
        <f>HYPERLINK("https://www.loft.com/clothing/tops/catl000011/580214.html", "https://www.loft.com/clothing/tops/catl000011/580214.html")</f>
        <v/>
      </c>
      <c r="C286" t="inlineStr">
        <is>
          <t>Everyday Crew Tee</t>
        </is>
      </c>
      <c r="D286" t="inlineStr">
        <is>
          <t>Woolly Clothing Co Woolly Clothing Men's Merino Wool Crew Neck Tee Shirt - Everyday Weight - Wicking Breathable Anti-Odor</t>
        </is>
      </c>
      <c r="E286" s="1">
        <f>HYPERLINK("https://www.amazon.com/Woolly-Clothing-Mens-Merino-Shirt/dp/B00UWHJO2Q/ref=sr_1_6?keywords=Everyday+Crew+Tee&amp;qid=1695764105&amp;sr=8-6", "https://www.amazon.com/Woolly-Clothing-Mens-Merino-Shirt/dp/B00UWHJO2Q/ref=sr_1_6?keywords=Everyday+Crew+Tee&amp;qid=1695764105&amp;sr=8-6")</f>
        <v/>
      </c>
      <c r="F286" t="inlineStr">
        <is>
          <t>B00UWHJO2Q</t>
        </is>
      </c>
      <c r="G286">
        <f>_xlfn.IMAGE("https://anninc.scene7.com/is/image/LO/580214_4638?$fullBpdp$")</f>
        <v/>
      </c>
      <c r="H286">
        <f>_xlfn.IMAGE("https://m.media-amazon.com/images/I/61LB9MtT9YL._AC_UL320_.jpg")</f>
        <v/>
      </c>
      <c r="K286" t="inlineStr">
        <is>
          <t>19.88</t>
        </is>
      </c>
      <c r="L286" t="n">
        <v>64.98999999999999</v>
      </c>
      <c r="M286" s="2" t="inlineStr">
        <is>
          <t>226.91%</t>
        </is>
      </c>
      <c r="N286" t="n">
        <v>4.3</v>
      </c>
      <c r="O286" t="n">
        <v>312</v>
      </c>
      <c r="Q286" t="inlineStr">
        <is>
          <t>undefined</t>
        </is>
      </c>
      <c r="R286" t="inlineStr">
        <is>
          <t>29.95</t>
        </is>
      </c>
      <c r="S286" t="inlineStr">
        <is>
          <t>580214</t>
        </is>
      </c>
    </row>
    <row r="287" ht="75" customHeight="1">
      <c r="A287" s="1">
        <f>HYPERLINK("https://www.loft.com/clothing/tops/catl000011/grp_580214_4661.html?priceSort=DES", "https://www.loft.com/clothing/tops/catl000011/grp_580214_4661.html?priceSort=DES")</f>
        <v/>
      </c>
      <c r="B287" s="1">
        <f>HYPERLINK("https://www.loft.com/clothing/tops/catl000011/580214.html", "https://www.loft.com/clothing/tops/catl000011/580214.html")</f>
        <v/>
      </c>
      <c r="C287" t="inlineStr">
        <is>
          <t>Everyday Crew Tee</t>
        </is>
      </c>
      <c r="D287" t="inlineStr">
        <is>
          <t>Woolly Clothing Co Woolly Clothing Men's Merino Wool Crew Neck Tee Shirt - Everyday Weight - Wicking Breathable Anti-Odor</t>
        </is>
      </c>
      <c r="E287" s="1" t="n"/>
      <c r="F287" t="inlineStr">
        <is>
          <t>B00UWHK524</t>
        </is>
      </c>
      <c r="G287">
        <f>_xlfn.IMAGE("https://anninc.scene7.com/is/image/LO/580214_4661?$fullBpdp$")</f>
        <v/>
      </c>
      <c r="H287">
        <f>_xlfn.IMAGE("https://m.media-amazon.com/images/I/71BkXKTAD4L._AC_UL320_.jpg")</f>
        <v/>
      </c>
      <c r="K287" t="inlineStr">
        <is>
          <t>19.88</t>
        </is>
      </c>
      <c r="L287" t="n">
        <v>64.98999999999999</v>
      </c>
      <c r="M287" s="2" t="inlineStr">
        <is>
          <t>226.91%</t>
        </is>
      </c>
      <c r="N287" t="n">
        <v>4.3</v>
      </c>
      <c r="O287" t="n">
        <v>312</v>
      </c>
      <c r="Q287" t="inlineStr">
        <is>
          <t>undefined</t>
        </is>
      </c>
      <c r="R287" t="inlineStr">
        <is>
          <t>29.95</t>
        </is>
      </c>
      <c r="S287" t="inlineStr">
        <is>
          <t>580214_4661</t>
        </is>
      </c>
    </row>
    <row r="288" ht="75" customHeight="1">
      <c r="A288" s="1">
        <f>HYPERLINK("https://www.loft.com/clothing/tops/catl000011/grp_580214_4661.html?priceSort=DES", "https://www.loft.com/clothing/tops/catl000011/grp_580214_4661.html?priceSort=DES")</f>
        <v/>
      </c>
      <c r="B288" s="1">
        <f>HYPERLINK("https://www.loft.com/clothing/tops/catl000011/580214.html", "https://www.loft.com/clothing/tops/catl000011/580214.html")</f>
        <v/>
      </c>
      <c r="C288" t="inlineStr">
        <is>
          <t>Everyday Crew Tee</t>
        </is>
      </c>
      <c r="D288" t="inlineStr">
        <is>
          <t>Woolly Clothing Co Woolly Clothing Men's Merino Wool Crew Neck Tee Shirt - Everyday Weight - Wicking Breathable Anti-Odor</t>
        </is>
      </c>
      <c r="E288" s="1">
        <f>HYPERLINK("https://www.amazon.com/Woolly-Clothing-Mens-Merino-Shirt/dp/B00UWHJO2Q/ref=sr_1_6?keywords=Everyday+Crew+Tee&amp;qid=1695764154&amp;sr=8-6", "https://www.amazon.com/Woolly-Clothing-Mens-Merino-Shirt/dp/B00UWHJO2Q/ref=sr_1_6?keywords=Everyday+Crew+Tee&amp;qid=1695764154&amp;sr=8-6")</f>
        <v/>
      </c>
      <c r="F288" t="inlineStr">
        <is>
          <t>B00UWHJO2Q</t>
        </is>
      </c>
      <c r="G288">
        <f>_xlfn.IMAGE("https://anninc.scene7.com/is/image/LO/580214_4661?$fullBpdp$")</f>
        <v/>
      </c>
      <c r="H288">
        <f>_xlfn.IMAGE("https://m.media-amazon.com/images/I/61LB9MtT9YL._AC_UL320_.jpg")</f>
        <v/>
      </c>
      <c r="K288" t="inlineStr">
        <is>
          <t>19.88</t>
        </is>
      </c>
      <c r="L288" t="n">
        <v>64.98999999999999</v>
      </c>
      <c r="M288" s="2" t="inlineStr">
        <is>
          <t>226.91%</t>
        </is>
      </c>
      <c r="N288" t="n">
        <v>4.3</v>
      </c>
      <c r="O288" t="n">
        <v>312</v>
      </c>
      <c r="Q288" t="inlineStr">
        <is>
          <t>undefined</t>
        </is>
      </c>
      <c r="R288" t="inlineStr">
        <is>
          <t>29.95</t>
        </is>
      </c>
      <c r="S288" t="inlineStr">
        <is>
          <t>580214_4661</t>
        </is>
      </c>
    </row>
    <row r="289" ht="75" customHeight="1">
      <c r="A289" s="1">
        <f>HYPERLINK("https://www.loft.com/clothing/tops/catl000011/grp_580214_9000.html?priceSort=DES", "https://www.loft.com/clothing/tops/catl000011/grp_580214_9000.html?priceSort=DES")</f>
        <v/>
      </c>
      <c r="B289" s="1">
        <f>HYPERLINK("https://www.loft.com/clothing/tops/catl000011/580214.html", "https://www.loft.com/clothing/tops/catl000011/580214.html")</f>
        <v/>
      </c>
      <c r="C289" t="inlineStr">
        <is>
          <t>Everyday Crew Tee</t>
        </is>
      </c>
      <c r="D289" t="inlineStr">
        <is>
          <t>Woolly Clothing Co Woolly Clothing Men's Merino Wool Crew Neck Tee Shirt - Everyday Weight - Wicking Breathable Anti-Odor</t>
        </is>
      </c>
      <c r="E289" s="1">
        <f>HYPERLINK("https://www.amazon.com/Woolly-Clothing-Mens-Merino-Shirt/dp/B00UWHJO2Q/ref=sr_1_6?keywords=Everyday+Crew+Tee&amp;qid=1695764109&amp;sr=8-6", "https://www.amazon.com/Woolly-Clothing-Mens-Merino-Shirt/dp/B00UWHJO2Q/ref=sr_1_6?keywords=Everyday+Crew+Tee&amp;qid=1695764109&amp;sr=8-6")</f>
        <v/>
      </c>
      <c r="F289" t="inlineStr">
        <is>
          <t>B00UWHJO2Q</t>
        </is>
      </c>
      <c r="G289">
        <f>_xlfn.IMAGE("https://anninc.scene7.com/is/image/LO/580214_9000?$fullBpdp$")</f>
        <v/>
      </c>
      <c r="H289">
        <f>_xlfn.IMAGE("https://m.media-amazon.com/images/I/61LB9MtT9YL._AC_UL320_.jpg")</f>
        <v/>
      </c>
      <c r="K289" t="inlineStr">
        <is>
          <t>19.88</t>
        </is>
      </c>
      <c r="L289" t="n">
        <v>64.98999999999999</v>
      </c>
      <c r="M289" s="2" t="inlineStr">
        <is>
          <t>226.91%</t>
        </is>
      </c>
      <c r="N289" t="n">
        <v>4.3</v>
      </c>
      <c r="O289" t="n">
        <v>312</v>
      </c>
      <c r="Q289" t="inlineStr">
        <is>
          <t>undefined</t>
        </is>
      </c>
      <c r="R289" t="inlineStr">
        <is>
          <t>29.95</t>
        </is>
      </c>
      <c r="S289" t="inlineStr">
        <is>
          <t>580214</t>
        </is>
      </c>
    </row>
    <row r="290" ht="75" customHeight="1">
      <c r="A290" s="1">
        <f>HYPERLINK("https://www.mountainside-medical.com/collections/analgesic-joint-and-muscle-pain-relief/products/arnicare-pain-relief-cream-2-5-oz", "https://www.mountainside-medical.com/collections/analgesic-joint-and-muscle-pain-relief/products/arnicare-pain-relief-cream-2-5-oz")</f>
        <v/>
      </c>
      <c r="B290" s="1">
        <f>HYPERLINK("https://www.mountainside-medical.com/products/arnicare-pain-relief-cream-2-5-oz", "https://www.mountainside-medical.com/products/arnicare-pain-relief-cream-2-5-oz")</f>
        <v/>
      </c>
      <c r="C290" t="inlineStr">
        <is>
          <t>Arnicare Arnica Pain Relief Cream</t>
        </is>
      </c>
      <c r="D290" t="inlineStr">
        <is>
          <t>MaxRelief Arnica Montana Pain Cream - For Sufferers of Knee, Joint &amp; Outback Muscle Pain. Reduce Arthritis &amp; Joint Inflammation. Plantar Fasciitis &amp; Fibromyalgia Relief + Emu Oil 3.5 oz</t>
        </is>
      </c>
      <c r="E290" s="1">
        <f>HYPERLINK("https://www.amazon.com/MaxRelief-Arnica-Montana-Pain-Cream/dp/B00V3YEPIU/ref=sr_1_6?keywords=Arnicare+Arnica+Pain+Relief+Cream&amp;qid=1695764171&amp;sr=8-6", "https://www.amazon.com/MaxRelief-Arnica-Montana-Pain-Cream/dp/B00V3YEPIU/ref=sr_1_6?keywords=Arnicare+Arnica+Pain+Relief+Cream&amp;qid=1695764171&amp;sr=8-6")</f>
        <v/>
      </c>
      <c r="F290" t="inlineStr">
        <is>
          <t>B00V3YEPIU</t>
        </is>
      </c>
      <c r="G290">
        <f>_xlfn.IMAGE("https://www.mountainside-medical.com/cdn/shop/products/arnicare-cream_-2.5_oz.png?v=1600349264")</f>
        <v/>
      </c>
      <c r="H290">
        <f>_xlfn.IMAGE("https://m.media-amazon.com/images/I/81q2YQO8VCL._AC_UL320_.jpg")</f>
        <v/>
      </c>
      <c r="K290" t="inlineStr">
        <is>
          <t>13.5</t>
        </is>
      </c>
      <c r="L290" t="n">
        <v>22.25</v>
      </c>
      <c r="M290" s="2" t="inlineStr">
        <is>
          <t>64.81%</t>
        </is>
      </c>
      <c r="N290" t="n">
        <v>4.3</v>
      </c>
      <c r="O290" t="n">
        <v>3305</v>
      </c>
      <c r="Q290" t="inlineStr">
        <is>
          <t>InStock</t>
        </is>
      </c>
      <c r="R290" t="inlineStr">
        <is>
          <t>13.95</t>
        </is>
      </c>
      <c r="S290" t="inlineStr">
        <is>
          <t>1594902276</t>
        </is>
      </c>
    </row>
    <row r="291" ht="75" customHeight="1">
      <c r="A291" s="1">
        <f>HYPERLINK("https://www.mountainside-medical.com/collections/antifungal-medications/products/aloe-vesta-antifungal-ointment-5-oz", "https://www.mountainside-medical.com/collections/antifungal-medications/products/aloe-vesta-antifungal-ointment-5-oz")</f>
        <v/>
      </c>
      <c r="B291" s="1">
        <f>HYPERLINK("https://www.mountainside-medical.com/products/aloe-vesta-antifungal-ointment-5-oz", "https://www.mountainside-medical.com/products/aloe-vesta-antifungal-ointment-5-oz")</f>
        <v/>
      </c>
      <c r="C291" t="inlineStr">
        <is>
          <t>Aloe Vesta Antifungal Ointment 5 oz</t>
        </is>
      </c>
      <c r="D291" t="inlineStr">
        <is>
          <t>ALOE VESTA ANTIFUNGAL OINTMENT 5OZ (EA)</t>
        </is>
      </c>
      <c r="E291" s="1">
        <f>HYPERLINK("https://www.amazon.com/ALOE-VESTA-ANTIFUNGAL-OINTMENT-2-N-1/dp/B00B9BP8VK/ref=sr_1_4?keywords=Aloe+Vesta+Antifungal+Ointment+5+oz&amp;qid=1695764342&amp;sr=8-4", "https://www.amazon.com/ALOE-VESTA-ANTIFUNGAL-OINTMENT-2-N-1/dp/B00B9BP8VK/ref=sr_1_4?keywords=Aloe+Vesta+Antifungal+Ointment+5+oz&amp;qid=1695764342&amp;sr=8-4")</f>
        <v/>
      </c>
      <c r="F291" t="inlineStr">
        <is>
          <t>B00B9BP8VK</t>
        </is>
      </c>
      <c r="G291">
        <f>_xlfn.IMAGE("https://www.mountainside-medical.com/cdn/shop/products/Aloe-Vesta-Antifungal-Ointment-5-oz.jpg?v=1664555874")</f>
        <v/>
      </c>
      <c r="H291">
        <f>_xlfn.IMAGE("https://m.media-amazon.com/images/I/61ml0k-YMIL._AC_UL320_.jpg")</f>
        <v/>
      </c>
      <c r="K291" t="inlineStr">
        <is>
          <t>14.95</t>
        </is>
      </c>
      <c r="L291" t="n">
        <v>25</v>
      </c>
      <c r="M291" s="2" t="inlineStr">
        <is>
          <t>67.22%</t>
        </is>
      </c>
      <c r="N291" t="n">
        <v>4.8</v>
      </c>
      <c r="O291" t="n">
        <v>9</v>
      </c>
      <c r="Q291" t="inlineStr">
        <is>
          <t>InStock</t>
        </is>
      </c>
      <c r="R291" t="inlineStr">
        <is>
          <t>19.95</t>
        </is>
      </c>
      <c r="S291" t="inlineStr">
        <is>
          <t>1509068356</t>
        </is>
      </c>
    </row>
    <row r="292" ht="75" customHeight="1">
      <c r="A292" s="1">
        <f>HYPERLINK("https://www.mountainside-medical.com/collections/antifungal-medications/products/dynarex-antifungal-cream-4-oz", "https://www.mountainside-medical.com/collections/antifungal-medications/products/dynarex-antifungal-cream-4-oz")</f>
        <v/>
      </c>
      <c r="B292" s="1">
        <f>HYPERLINK("https://www.mountainside-medical.com/products/dynarex-antifungal-cream-4-oz", "https://www.mountainside-medical.com/products/dynarex-antifungal-cream-4-oz")</f>
        <v/>
      </c>
      <c r="C292" t="inlineStr">
        <is>
          <t>Dynarex Antifungal Cream Clotrimazole 1% Treatment 4oz</t>
        </is>
      </c>
      <c r="D292" t="inlineStr">
        <is>
          <t>Lotrimin AF Cream for Athlete's Foot, Clotrimazole 1% Antifungal Treatment, Clinically Proven Effective Antifungal Treatment of Most AF, Jock Itch and Ringworm, Cream, .42 Ounce (12 Grams)</t>
        </is>
      </c>
      <c r="E292" s="1">
        <f>HYPERLINK("https://www.amazon.com/Lotrimin-Clotrimazole-Antifungal-Treatment-Clinically/dp/B01BODX2YM/ref=sr_1_10?keywords=Dynarex+Antifungal+Cream+Clotrimazole+1%25+Treatment+4oz&amp;qid=1695764341&amp;sr=8-10", "https://www.amazon.com/Lotrimin-Clotrimazole-Antifungal-Treatment-Clinically/dp/B01BODX2YM/ref=sr_1_10?keywords=Dynarex+Antifungal+Cream+Clotrimazole+1%25+Treatment+4oz&amp;qid=1695764341&amp;sr=8-10")</f>
        <v/>
      </c>
      <c r="F292" t="inlineStr">
        <is>
          <t>B01BODX2YM</t>
        </is>
      </c>
      <c r="G292">
        <f>_xlfn.IMAGE("https://www.mountainside-medical.com/cdn/shop/products/antifungal-cream-dynarex_1.jpeg?v=1600359594")</f>
        <v/>
      </c>
      <c r="H292">
        <f>_xlfn.IMAGE("https://m.media-amazon.com/images/I/81zrqo+vm5L._AC_UL320_.jpg")</f>
        <v/>
      </c>
      <c r="K292" t="inlineStr">
        <is>
          <t>3.59</t>
        </is>
      </c>
      <c r="L292" t="n">
        <v>18.99</v>
      </c>
      <c r="M292" s="2" t="inlineStr">
        <is>
          <t>428.97%</t>
        </is>
      </c>
      <c r="N292" t="n">
        <v>4.4</v>
      </c>
      <c r="O292" t="n">
        <v>25</v>
      </c>
      <c r="Q292" t="inlineStr">
        <is>
          <t>InStock</t>
        </is>
      </c>
      <c r="R292" t="inlineStr">
        <is>
          <t>5.95</t>
        </is>
      </c>
      <c r="S292" t="inlineStr">
        <is>
          <t>1509343748</t>
        </is>
      </c>
    </row>
    <row r="293" ht="75" customHeight="1">
      <c r="A293" s="1">
        <f>HYPERLINK("https://www.mountainside-medical.com/collections/antifungal-medications/products/lotrimin-af-antifungal-powder-90-grams", "https://www.mountainside-medical.com/collections/antifungal-medications/products/lotrimin-af-antifungal-powder-90-grams")</f>
        <v/>
      </c>
      <c r="B293" s="1">
        <f>HYPERLINK("https://www.mountainside-medical.com/products/lotrimin-af-antifungal-powder-90-grams", "https://www.mountainside-medical.com/products/lotrimin-af-antifungal-powder-90-grams")</f>
        <v/>
      </c>
      <c r="C293" t="inlineStr">
        <is>
          <t>Lotrimin AF Antifungal Athlete's Foot Powder</t>
        </is>
      </c>
      <c r="D293" t="inlineStr">
        <is>
          <t>Lotrimin AF Athlete's Foot Antifungal Powder, Miconazole Nitrate 2% Treatment, Clinically Proven Effective Antifungal Treatment of Most AF, Jock Itch and Ringworm, 3 Ounces (90 Grams) Bottle</t>
        </is>
      </c>
      <c r="E293" s="1">
        <f>HYPERLINK("https://www.amazon.com/Lotrimin-Antifungal-Miconazole-Treatment-Clinically/dp/B001V9N61Y/ref=sr_1_8?keywords=Lotrimin+AF+Antifungal+Athlete%27s+Foot+Powder&amp;qid=1695764347&amp;sr=8-8", "https://www.amazon.com/Lotrimin-Antifungal-Miconazole-Treatment-Clinically/dp/B001V9N61Y/ref=sr_1_8?keywords=Lotrimin+AF+Antifungal+Athlete%27s+Foot+Powder&amp;qid=1695764347&amp;sr=8-8")</f>
        <v/>
      </c>
      <c r="F293" t="inlineStr">
        <is>
          <t>B001V9N61Y</t>
        </is>
      </c>
      <c r="G293">
        <f>_xlfn.IMAGE("https://www.mountainside-medical.com/cdn/shop/products/Lotrimin-AF-Antifungal-Athlete_s-Foot-Powder.jpg?v=1664559226")</f>
        <v/>
      </c>
      <c r="H293">
        <f>_xlfn.IMAGE("https://m.media-amazon.com/images/I/71yZaGtCDNL._AC_UL320_.jpg")</f>
        <v/>
      </c>
      <c r="K293" t="inlineStr">
        <is>
          <t>8.29</t>
        </is>
      </c>
      <c r="L293" t="n">
        <v>29.49</v>
      </c>
      <c r="M293" s="2" t="inlineStr">
        <is>
          <t>255.73%</t>
        </is>
      </c>
      <c r="N293" t="n">
        <v>4.6</v>
      </c>
      <c r="O293" t="n">
        <v>1876</v>
      </c>
      <c r="Q293" t="inlineStr">
        <is>
          <t>InStock</t>
        </is>
      </c>
      <c r="R293" t="inlineStr">
        <is>
          <t>13.95</t>
        </is>
      </c>
      <c r="S293" t="inlineStr">
        <is>
          <t>1509269828</t>
        </is>
      </c>
    </row>
    <row r="294" ht="75" customHeight="1">
      <c r="A294" s="1">
        <f>HYPERLINK("https://www.mountainside-medical.com/collections/antifungal-medications/products/lotrimin-af-jock-itch-antifungal-cream-1-clotrimazole-12gm", "https://www.mountainside-medical.com/collections/antifungal-medications/products/lotrimin-af-jock-itch-antifungal-cream-1-clotrimazole-12gm")</f>
        <v/>
      </c>
      <c r="B294" s="1">
        <f>HYPERLINK("https://www.mountainside-medical.com/products/lotrimin-af-jock-itch-antifungal-cream-1-clotrimazole-12gm", "https://www.mountainside-medical.com/products/lotrimin-af-jock-itch-antifungal-cream-1-clotrimazole-12gm")</f>
        <v/>
      </c>
      <c r="C294" t="inlineStr">
        <is>
          <t>Lotrimin AF Jock Itch Antifungal Cream (1% Clotrimazole)</t>
        </is>
      </c>
      <c r="D294" t="inlineStr">
        <is>
          <t>Lotrimin AF Cream for Athlete's Foot, Clotrimazole 1% Antifungal Treatment, Clinically Proven Effective Antifungal Treatment of Most AF, Jock Itch and Ringworm, Cream, 1.1 Ounce (30 Grams)</t>
        </is>
      </c>
      <c r="E294" s="1">
        <f>HYPERLINK("https://www.amazon.com/Lotrimin-AF-Antifungal-Cream-1-05/dp/B073SYVYWT/ref=sr_1_5?keywords=Lotrimin+AF+Jock+Itch+Antifungal+Cream+%281%25+Clotrimazole%29&amp;qid=1695764347&amp;sr=8-5", "https://www.amazon.com/Lotrimin-AF-Antifungal-Cream-1-05/dp/B073SYVYWT/ref=sr_1_5?keywords=Lotrimin+AF+Jock+Itch+Antifungal+Cream+%281%25+Clotrimazole%29&amp;qid=1695764347&amp;sr=8-5")</f>
        <v/>
      </c>
      <c r="F294" t="inlineStr">
        <is>
          <t>B073SYVYWT</t>
        </is>
      </c>
      <c r="G294">
        <f>_xlfn.IMAGE("https://www.mountainside-medical.com/cdn/shop/products/LotriminAFJockItchAntifungalCream.png?v=1622719685")</f>
        <v/>
      </c>
      <c r="H294">
        <f>_xlfn.IMAGE("https://m.media-amazon.com/images/I/61Kxq7T-keL._AC_UF264,320_.jpg")</f>
        <v/>
      </c>
      <c r="K294" t="inlineStr">
        <is>
          <t>11.99</t>
        </is>
      </c>
      <c r="L294" t="n">
        <v>23.9</v>
      </c>
      <c r="M294" s="2" t="inlineStr">
        <is>
          <t>99.33%</t>
        </is>
      </c>
      <c r="N294" t="n">
        <v>4.6</v>
      </c>
      <c r="O294" t="n">
        <v>495</v>
      </c>
      <c r="Q294" t="inlineStr">
        <is>
          <t>InStock</t>
        </is>
      </c>
      <c r="R294" t="inlineStr">
        <is>
          <t>undefined</t>
        </is>
      </c>
      <c r="S294" t="inlineStr">
        <is>
          <t>6558454644808</t>
        </is>
      </c>
    </row>
    <row r="295" ht="75" customHeight="1">
      <c r="A295" s="1">
        <f>HYPERLINK("https://www.mountainside-medical.com/collections/antifungal-medications/products/lotrimin-af-liquid-antifungal-spray-5-3-oz", "https://www.mountainside-medical.com/collections/antifungal-medications/products/lotrimin-af-liquid-antifungal-spray-5-3-oz")</f>
        <v/>
      </c>
      <c r="B295" s="1">
        <f>HYPERLINK("https://www.mountainside-medical.com/products/lotrimin-af-liquid-antifungal-spray-5-3-oz", "https://www.mountainside-medical.com/products/lotrimin-af-liquid-antifungal-spray-5-3-oz")</f>
        <v/>
      </c>
      <c r="C295" s="2" t="inlineStr">
        <is>
          <t>Lotrimin AF Athlete's Foot Liquid Spray, Miconazole Nitrate 2%</t>
        </is>
      </c>
      <c r="D295" t="inlineStr">
        <is>
          <t>Lotrimin AF Athlete's Foot Antifungal Powder, Miconazole Nitrate 2% Treatment, Clinically Proven Effective Antifungal Treatment of Most AF, Jock Itch and Ringworm, 3 Ounces (90 Grams) Bottle</t>
        </is>
      </c>
      <c r="E295" s="1">
        <f>HYPERLINK("https://www.amazon.com/Lotrimin-Antifungal-Miconazole-Treatment-Clinically/dp/B001V9N61Y/ref=sr_1_5?keywords=Lotrimin+AF+Athlete%27s+Foot+Liquid+Spray%2C+Miconazole+Nitrate+2%25&amp;qid=1695764352&amp;sr=8-5", "https://www.amazon.com/Lotrimin-Antifungal-Miconazole-Treatment-Clinically/dp/B001V9N61Y/ref=sr_1_5?keywords=Lotrimin+AF+Athlete%27s+Foot+Liquid+Spray%2C+Miconazole+Nitrate+2%25&amp;qid=1695764352&amp;sr=8-5")</f>
        <v/>
      </c>
      <c r="F295" t="inlineStr">
        <is>
          <t>B001V9N61Y</t>
        </is>
      </c>
      <c r="G295">
        <f>_xlfn.IMAGE("https://www.mountainside-medical.com/cdn/shop/products/Lotrimin-AF-Liquid-Antifungal-Spray-Miconazole-Nitrate.jpg?v=1664559760")</f>
        <v/>
      </c>
      <c r="H295">
        <f>_xlfn.IMAGE("https://m.media-amazon.com/images/I/71yZaGtCDNL._AC_UL320_.jpg")</f>
        <v/>
      </c>
      <c r="K295" t="inlineStr">
        <is>
          <t>11.95</t>
        </is>
      </c>
      <c r="L295" t="n">
        <v>29.49</v>
      </c>
      <c r="M295" s="2" t="inlineStr">
        <is>
          <t>146.78%</t>
        </is>
      </c>
      <c r="N295" t="n">
        <v>4.6</v>
      </c>
      <c r="O295" t="n">
        <v>1876</v>
      </c>
      <c r="Q295" t="inlineStr">
        <is>
          <t>InStock</t>
        </is>
      </c>
      <c r="R295" t="inlineStr">
        <is>
          <t>16.79</t>
        </is>
      </c>
      <c r="S295" t="inlineStr">
        <is>
          <t>1509269316</t>
        </is>
      </c>
    </row>
    <row r="296" ht="75" customHeight="1">
      <c r="A296" s="1">
        <f>HYPERLINK("https://www.mountainside-medical.com/collections/antifungal-medications/products/pedifix-fungasoap-liquid-with-tea-tree-oil-6-oz", "https://www.mountainside-medical.com/collections/antifungal-medications/products/pedifix-fungasoap-liquid-with-tea-tree-oil-6-oz")</f>
        <v/>
      </c>
      <c r="B296" s="1">
        <f>HYPERLINK("https://www.mountainside-medical.com/products/pedifix-fungasoap-liquid-with-tea-tree-oil-6-oz", "https://www.mountainside-medical.com/products/pedifix-fungasoap-liquid-with-tea-tree-oil-6-oz")</f>
        <v/>
      </c>
      <c r="C296" t="inlineStr">
        <is>
          <t>PediFix Fungal Cleansing Soap and Body Wash with Tea Tree Oil 6 oz</t>
        </is>
      </c>
      <c r="D296" t="inlineStr">
        <is>
          <t>Antifungal Antibacterial Soap &amp; Body Wash - Natural Fungal Treatment with Tea Tree Oil for Athletes Foot, Body Odor, Nail Fungus, Ringworm, Eczema &amp; Back Acne - For Men and Women - 16oz</t>
        </is>
      </c>
      <c r="E296" s="1">
        <f>HYPERLINK("https://www.amazon.com/Antifungal-Antibacterial-Soap-Body-Wash/dp/B082WMX64T/ref=sr_1_8?keywords=PediFix+Fungal+Cleansing+Soap+and+Body+Wash+with+Tea+Tree+Oil+6+oz&amp;qid=1695764341&amp;rdc=1&amp;sr=8-8", "https://www.amazon.com/Antifungal-Antibacterial-Soap-Body-Wash/dp/B082WMX64T/ref=sr_1_8?keywords=PediFix+Fungal+Cleansing+Soap+and+Body+Wash+with+Tea+Tree+Oil+6+oz&amp;qid=1695764341&amp;rdc=1&amp;sr=8-8")</f>
        <v/>
      </c>
      <c r="F296" t="inlineStr">
        <is>
          <t>B082WMX64T</t>
        </is>
      </c>
      <c r="G296">
        <f>_xlfn.IMAGE("https://www.mountainside-medical.com/cdn/shop/products/PediFix-Fungal-Cleansing-Soap-and-Body-Wash-with-Tea-Tree-Oil.jpg?v=1642520220")</f>
        <v/>
      </c>
      <c r="H296">
        <f>_xlfn.IMAGE("https://m.media-amazon.com/images/I/51N9xheMU+L._AC_UL320_.jpg")</f>
        <v/>
      </c>
      <c r="K296" t="inlineStr">
        <is>
          <t>13.79</t>
        </is>
      </c>
      <c r="L296" t="n">
        <v>34.95</v>
      </c>
      <c r="M296" s="2" t="inlineStr">
        <is>
          <t>153.44%</t>
        </is>
      </c>
      <c r="N296" t="n">
        <v>4.4</v>
      </c>
      <c r="O296" t="n">
        <v>13150</v>
      </c>
      <c r="Q296" t="inlineStr">
        <is>
          <t>InStock</t>
        </is>
      </c>
      <c r="R296" t="inlineStr">
        <is>
          <t>undefined</t>
        </is>
      </c>
      <c r="S296" t="inlineStr">
        <is>
          <t>1509268548</t>
        </is>
      </c>
    </row>
    <row r="297" ht="75" customHeight="1">
      <c r="A297" s="1">
        <f>HYPERLINK("https://www.mountainside-medical.com/collections/antifungal-medications/products/tolnaftate-1-antifungal-cream-1-oz", "https://www.mountainside-medical.com/collections/antifungal-medications/products/tolnaftate-1-antifungal-cream-1-oz")</f>
        <v/>
      </c>
      <c r="B297" s="1">
        <f>HYPERLINK("https://www.mountainside-medical.com/products/tolnaftate-1-antifungal-cream-1-oz", "https://www.mountainside-medical.com/products/tolnaftate-1-antifungal-cream-1-oz")</f>
        <v/>
      </c>
      <c r="C297" t="inlineStr">
        <is>
          <t>Tolnaftate 1% Antifungal Cream 1 oz</t>
        </is>
      </c>
      <c r="D297" t="inlineStr">
        <is>
          <t>Lot of 12 Tolnaftate 1% athletes foot cream anti-fungal Medicated - 1 oz each</t>
        </is>
      </c>
      <c r="E297" s="1">
        <f>HYPERLINK("https://www.amazon.com/Tolnaftate-athletes-cream-anti-fungal-Medicated/dp/B014JJ0Q7Y/ref=sr_1_2?keywords=Tolnaftate+1%25+Antifungal+Cream+1+oz&amp;qid=1695764346&amp;sr=8-2", "https://www.amazon.com/Tolnaftate-athletes-cream-anti-fungal-Medicated/dp/B014JJ0Q7Y/ref=sr_1_2?keywords=Tolnaftate+1%25+Antifungal+Cream+1+oz&amp;qid=1695764346&amp;sr=8-2")</f>
        <v/>
      </c>
      <c r="F297" t="inlineStr">
        <is>
          <t>B014JJ0Q7Y</t>
        </is>
      </c>
      <c r="G297">
        <f>_xlfn.IMAGE("https://www.mountainside-medical.com/cdn/shop/products/Tolnaftate1AntifungalCream1oz.jpg?v=1641844876")</f>
        <v/>
      </c>
      <c r="H297">
        <f>_xlfn.IMAGE("https://m.media-amazon.com/images/I/51+aDDGLfJL._AC_UL320_.jpg")</f>
        <v/>
      </c>
      <c r="K297" t="inlineStr">
        <is>
          <t>4.75</t>
        </is>
      </c>
      <c r="L297" t="n">
        <v>24.99</v>
      </c>
      <c r="M297" s="2" t="inlineStr">
        <is>
          <t>426.11%</t>
        </is>
      </c>
      <c r="N297" t="n">
        <v>4.7</v>
      </c>
      <c r="O297" t="n">
        <v>164</v>
      </c>
      <c r="Q297" t="inlineStr">
        <is>
          <t>InStock</t>
        </is>
      </c>
      <c r="R297" t="inlineStr">
        <is>
          <t>undefined</t>
        </is>
      </c>
      <c r="S297" t="inlineStr">
        <is>
          <t>1593102276</t>
        </is>
      </c>
    </row>
    <row r="298" ht="75" customHeight="1">
      <c r="A298" s="1">
        <f>HYPERLINK("https://www.mountainside-medical.com/collections/cold-and-flu/products/breathe-right-nasal-strips-clear-small-medium-30-count", "https://www.mountainside-medical.com/collections/cold-and-flu/products/breathe-right-nasal-strips-clear-small-medium-30-count")</f>
        <v/>
      </c>
      <c r="B298" s="1">
        <f>HYPERLINK("https://www.mountainside-medical.com/products/breathe-right-nasal-strips-clear-small-medium-30-count", "https://www.mountainside-medical.com/products/breathe-right-nasal-strips-clear-small-medium-30-count")</f>
        <v/>
      </c>
      <c r="C298" t="inlineStr">
        <is>
          <t>Breathe Right Nasal Strips Clear Small/ Medium, 30 Count</t>
        </is>
      </c>
      <c r="D298" t="inlineStr">
        <is>
          <t>Breathe Right Nasal Strips, Small/Medium, Clear (Clear - 90 Count)</t>
        </is>
      </c>
      <c r="E298" s="1">
        <f>HYPERLINK("https://www.amazon.com/Breathe-Right-Nasal-Strips-Medium/dp/B00GVGW0FA/ref=sr_1_2?keywords=Breathe+Right+Nasal+Strips+Clear+Small%2F+Medium%2C+30+Count&amp;qid=1695764314&amp;sr=8-2", "https://www.amazon.com/Breathe-Right-Nasal-Strips-Medium/dp/B00GVGW0FA/ref=sr_1_2?keywords=Breathe+Right+Nasal+Strips+Clear+Small%2F+Medium%2C+30+Count&amp;qid=1695764314&amp;sr=8-2")</f>
        <v/>
      </c>
      <c r="F298" t="inlineStr">
        <is>
          <t>B00GVGW0FA</t>
        </is>
      </c>
      <c r="G298">
        <f>_xlfn.IMAGE("https://www.mountainside-medical.com/cdn/shop/products/Screenshot2022-01-31at10-07-31BreatheRightOriginalClearNasalStrips_NasalCongestionReliefduetoColdsAllergies_....png?v=1643641874")</f>
        <v/>
      </c>
      <c r="H298">
        <f>_xlfn.IMAGE("https://m.media-amazon.com/images/I/61s0tF5gFQL._AC_UL320_.jpg")</f>
        <v/>
      </c>
      <c r="I298" t="inlineStr">
        <is>
          <t>10 plus</t>
        </is>
      </c>
      <c r="J298" t="inlineStr">
        <is>
          <t>this looks gold / just double check the listing cause it says 90 count but other info says 30 count and it should be 3o count / 5% cb topcashback / code REORDER</t>
        </is>
      </c>
      <c r="K298" t="inlineStr">
        <is>
          <t>14.95</t>
        </is>
      </c>
      <c r="L298" t="n">
        <v>37.97</v>
      </c>
      <c r="M298" s="2" t="inlineStr">
        <is>
          <t>153.98%</t>
        </is>
      </c>
      <c r="N298" t="n">
        <v>4.5</v>
      </c>
      <c r="O298" t="n">
        <v>442</v>
      </c>
      <c r="Q298" t="inlineStr">
        <is>
          <t>InStock</t>
        </is>
      </c>
      <c r="R298" t="inlineStr">
        <is>
          <t>16.95</t>
        </is>
      </c>
      <c r="S298" t="inlineStr">
        <is>
          <t>6608046653512</t>
        </is>
      </c>
    </row>
    <row r="299" ht="75" customHeight="1">
      <c r="A299" s="1">
        <f>HYPERLINK("https://www.mountainside-medical.com/collections/cold-and-flu/products/breathe-right-nasal-strips-clear-small-medium-30-count", "https://www.mountainside-medical.com/collections/cold-and-flu/products/breathe-right-nasal-strips-clear-small-medium-30-count")</f>
        <v/>
      </c>
      <c r="B299" s="1">
        <f>HYPERLINK("https://www.mountainside-medical.com/products/breathe-right-nasal-strips-clear-small-medium-30-count", "https://www.mountainside-medical.com/products/breathe-right-nasal-strips-clear-small-medium-30-count")</f>
        <v/>
      </c>
      <c r="C299" t="inlineStr">
        <is>
          <t>Breathe Right Nasal Strips Clear Small/ Medium, 30 Count</t>
        </is>
      </c>
      <c r="D299" t="inlineStr">
        <is>
          <t>Breathe Right Nasal Strips, Small/Medium, Clear (Clear - 90 Count)</t>
        </is>
      </c>
      <c r="E299" s="1">
        <f>HYPERLINK("https://www.amazon.com/Breathe-Right-Nasal-Strips-Medium/dp/B00GVGW0FA/ref=sr_1_2?keywords=Breathe+Right+Nasal+Strips+Clear+Small%2F+Medium%2C+30+Count&amp;qid=1695764534&amp;sr=8-2", "https://www.amazon.com/Breathe-Right-Nasal-Strips-Medium/dp/B00GVGW0FA/ref=sr_1_2?keywords=Breathe+Right+Nasal+Strips+Clear+Small%2F+Medium%2C+30+Count&amp;qid=1695764534&amp;sr=8-2")</f>
        <v/>
      </c>
      <c r="F299" t="inlineStr">
        <is>
          <t>B00GVGW0FA</t>
        </is>
      </c>
      <c r="G299">
        <f>_xlfn.IMAGE("https://www.mountainside-medical.com/cdn/shop/products/Screenshot2022-01-31at10-07-31BreatheRightOriginalClearNasalStrips_NasalCongestionReliefduetoColdsAllergies_....png?v=1643641874")</f>
        <v/>
      </c>
      <c r="H299">
        <f>_xlfn.IMAGE("https://m.media-amazon.com/images/I/61s0tF5gFQL._AC_UL320_.jpg")</f>
        <v/>
      </c>
      <c r="K299" t="inlineStr">
        <is>
          <t>14.95</t>
        </is>
      </c>
      <c r="L299" t="n">
        <v>37.97</v>
      </c>
      <c r="M299" s="2" t="inlineStr">
        <is>
          <t>153.98%</t>
        </is>
      </c>
      <c r="N299" t="n">
        <v>4.5</v>
      </c>
      <c r="O299" t="n">
        <v>442</v>
      </c>
      <c r="Q299" t="inlineStr">
        <is>
          <t>InStock</t>
        </is>
      </c>
      <c r="R299" t="inlineStr">
        <is>
          <t>16.95</t>
        </is>
      </c>
      <c r="S299" t="inlineStr">
        <is>
          <t>6608046653512</t>
        </is>
      </c>
    </row>
    <row r="300" ht="75" customHeight="1">
      <c r="A300" s="1">
        <f>HYPERLINK("https://www.mountainside-medical.com/collections/cold-and-flu/products/childrens-robitussin-cough-chest-congestion-dm-4-oz", "https://www.mountainside-medical.com/collections/cold-and-flu/products/childrens-robitussin-cough-chest-congestion-dm-4-oz")</f>
        <v/>
      </c>
      <c r="B300" s="1">
        <f>HYPERLINK("https://www.mountainside-medical.com/products/childrens-robitussin-cough-chest-congestion-dm-4-oz", "https://www.mountainside-medical.com/products/childrens-robitussin-cough-chest-congestion-dm-4-oz")</f>
        <v/>
      </c>
      <c r="C300" t="inlineStr">
        <is>
          <t>Children's Robitussin Cough &amp; Chest Congestion DM 4 oz</t>
        </is>
      </c>
      <c r="D300" t="inlineStr">
        <is>
          <t>Children's Robitussin Honey Cough and Chest Congestion DM, Children's Cough Medicine Made with Real Honey for Flavor - 4 Fl Oz x 3</t>
        </is>
      </c>
      <c r="E300" s="1">
        <f>HYPERLINK("https://www.amazon.com/Robitussin-Childrens-Congestion-Medicine-Flavor/dp/B0B82Q3PBX/ref=sr_1_5?keywords=children%27s+robitussin+cough&amp;qid=1695764319&amp;rdc=1&amp;sr=8-5", "https://www.amazon.com/Robitussin-Childrens-Congestion-Medicine-Flavor/dp/B0B82Q3PBX/ref=sr_1_5?keywords=children%27s+robitussin+cough&amp;qid=1695764319&amp;rdc=1&amp;sr=8-5")</f>
        <v/>
      </c>
      <c r="F300" t="inlineStr">
        <is>
          <t>B0B82Q3PBX</t>
        </is>
      </c>
      <c r="G300">
        <f>_xlfn.IMAGE("https://www.mountainside-medical.com/cdn/shop/products/Children_sRobitussinCough_ChestCongestionDM4oz.png?v=1640792289")</f>
        <v/>
      </c>
      <c r="H300">
        <f>_xlfn.IMAGE("https://m.media-amazon.com/images/I/81xSckTEFQL._AC_UL320_.jpg")</f>
        <v/>
      </c>
      <c r="K300" t="inlineStr">
        <is>
          <t>8.79</t>
        </is>
      </c>
      <c r="L300" t="n">
        <v>17.94</v>
      </c>
      <c r="M300" s="2" t="inlineStr">
        <is>
          <t>104.10%</t>
        </is>
      </c>
      <c r="N300" t="n">
        <v>4.4</v>
      </c>
      <c r="O300" t="n">
        <v>176</v>
      </c>
      <c r="Q300" t="inlineStr">
        <is>
          <t>InStock</t>
        </is>
      </c>
      <c r="R300" t="inlineStr">
        <is>
          <t>9.95</t>
        </is>
      </c>
      <c r="S300" t="inlineStr">
        <is>
          <t>6604029067336</t>
        </is>
      </c>
    </row>
    <row r="301" ht="75" customHeight="1">
      <c r="A301" s="1">
        <f>HYPERLINK("https://www.mountainside-medical.com/collections/cold-and-flu/products/childrens-robitussin-cough-chest-congestion-dm-4-oz", "https://www.mountainside-medical.com/collections/cold-and-flu/products/childrens-robitussin-cough-chest-congestion-dm-4-oz")</f>
        <v/>
      </c>
      <c r="B301" s="1">
        <f>HYPERLINK("https://www.mountainside-medical.com/products/childrens-robitussin-cough-chest-congestion-dm-4-oz", "https://www.mountainside-medical.com/products/childrens-robitussin-cough-chest-congestion-dm-4-oz")</f>
        <v/>
      </c>
      <c r="C301" t="inlineStr">
        <is>
          <t>Children's Robitussin Cough &amp; Chest Congestion DM 4 oz</t>
        </is>
      </c>
      <c r="D301" t="inlineStr">
        <is>
          <t>Children's Robitussin Honey Cough and Chest Congestion DM, Children's Cough Medicine Made with Real Honey for Flavor - 4 Fl Oz x 3</t>
        </is>
      </c>
      <c r="E301" s="1">
        <f>HYPERLINK("https://www.amazon.com/Robitussin-Childrens-Congestion-Medicine-Flavor/dp/B0B82Q3PBX/ref=sr_1_5?keywords=Children%27s+Robitussin+Cough&amp;qid=1695764537&amp;rdc=1&amp;sr=8-5", "https://www.amazon.com/Robitussin-Childrens-Congestion-Medicine-Flavor/dp/B0B82Q3PBX/ref=sr_1_5?keywords=Children%27s+Robitussin+Cough&amp;qid=1695764537&amp;rdc=1&amp;sr=8-5")</f>
        <v/>
      </c>
      <c r="F301" t="inlineStr">
        <is>
          <t>B0B82Q3PBX</t>
        </is>
      </c>
      <c r="G301">
        <f>_xlfn.IMAGE("https://www.mountainside-medical.com/cdn/shop/products/Children_sRobitussinCough_ChestCongestionDM4oz.png?v=1640792289")</f>
        <v/>
      </c>
      <c r="H301">
        <f>_xlfn.IMAGE("https://m.media-amazon.com/images/I/81xSckTEFQL._AC_UL320_.jpg")</f>
        <v/>
      </c>
      <c r="K301" t="inlineStr">
        <is>
          <t>8.79</t>
        </is>
      </c>
      <c r="L301" t="n">
        <v>17.94</v>
      </c>
      <c r="M301" s="2" t="inlineStr">
        <is>
          <t>104.10%</t>
        </is>
      </c>
      <c r="N301" t="n">
        <v>4.4</v>
      </c>
      <c r="O301" t="n">
        <v>176</v>
      </c>
      <c r="Q301" t="inlineStr">
        <is>
          <t>InStock</t>
        </is>
      </c>
      <c r="R301" t="inlineStr">
        <is>
          <t>9.95</t>
        </is>
      </c>
      <c r="S301" t="inlineStr">
        <is>
          <t>6604029067336</t>
        </is>
      </c>
    </row>
    <row r="302" ht="75" customHeight="1">
      <c r="A302" s="1">
        <f>HYPERLINK("https://www.mountainside-medical.com/collections/cold-and-flu/products/childrens-robitussin-honey-cough-chest-congestion-dm", "https://www.mountainside-medical.com/collections/cold-and-flu/products/childrens-robitussin-honey-cough-chest-congestion-dm")</f>
        <v/>
      </c>
      <c r="B302" s="1">
        <f>HYPERLINK("https://www.mountainside-medical.com/products/childrens-robitussin-honey-cough-chest-congestion-dm", "https://www.mountainside-medical.com/products/childrens-robitussin-honey-cough-chest-congestion-dm")</f>
        <v/>
      </c>
      <c r="C302" t="inlineStr">
        <is>
          <t>Children's Robitussin Honey Cough &amp; Chest Congestion DM 4 oz</t>
        </is>
      </c>
      <c r="D302" t="inlineStr">
        <is>
          <t>Children's Robitussin Honey Cough and Chest Congestion DM, Children's Cough Medicine Made with Real Honey for Flavor - 4 Fl Oz x 3</t>
        </is>
      </c>
      <c r="E302" s="1">
        <f>HYPERLINK("https://www.amazon.com/Robitussin-Childrens-Congestion-Medicine-Flavor/dp/B0B82Q3PBX/ref=sr_1_2?keywords=children%27s+robitussin+honey+cough&amp;qid=1695764308&amp;rdc=1&amp;sr=8-2", "https://www.amazon.com/Robitussin-Childrens-Congestion-Medicine-Flavor/dp/B0B82Q3PBX/ref=sr_1_2?keywords=children%27s+robitussin+honey+cough&amp;qid=1695764308&amp;rdc=1&amp;sr=8-2")</f>
        <v/>
      </c>
      <c r="F302" t="inlineStr">
        <is>
          <t>B0B82Q3PBX</t>
        </is>
      </c>
      <c r="G302">
        <f>_xlfn.IMAGE("https://www.mountainside-medical.com/cdn/shop/products/Children_sRobitussinHoneyCough_ChestCongestionDM.jpg?v=1665583805")</f>
        <v/>
      </c>
      <c r="H302">
        <f>_xlfn.IMAGE("https://m.media-amazon.com/images/I/81xSckTEFQL._AC_UL320_.jpg")</f>
        <v/>
      </c>
      <c r="K302" t="inlineStr">
        <is>
          <t>8.6</t>
        </is>
      </c>
      <c r="L302" t="n">
        <v>17.94</v>
      </c>
      <c r="M302" s="2" t="inlineStr">
        <is>
          <t>108.60%</t>
        </is>
      </c>
      <c r="N302" t="n">
        <v>4.4</v>
      </c>
      <c r="O302" t="n">
        <v>176</v>
      </c>
      <c r="Q302" t="inlineStr">
        <is>
          <t>InStock</t>
        </is>
      </c>
      <c r="R302" t="inlineStr">
        <is>
          <t>9.95</t>
        </is>
      </c>
      <c r="S302" t="inlineStr">
        <is>
          <t>1597868572744</t>
        </is>
      </c>
    </row>
    <row r="303" ht="75" customHeight="1">
      <c r="A303" s="1">
        <f>HYPERLINK("https://www.mountainside-medical.com/collections/cold-and-flu/products/childrens-robitussin-honey-cough-chest-congestion-dm", "https://www.mountainside-medical.com/collections/cold-and-flu/products/childrens-robitussin-honey-cough-chest-congestion-dm")</f>
        <v/>
      </c>
      <c r="B303" s="1">
        <f>HYPERLINK("https://www.mountainside-medical.com/products/childrens-robitussin-honey-cough-chest-congestion-dm", "https://www.mountainside-medical.com/products/childrens-robitussin-honey-cough-chest-congestion-dm")</f>
        <v/>
      </c>
      <c r="C303" t="inlineStr">
        <is>
          <t>Children's Robitussin Honey Cough &amp; Chest Congestion DM 4 oz</t>
        </is>
      </c>
      <c r="D303" t="inlineStr">
        <is>
          <t>Robitussin Maximum Strength Honey Cough Plus Chest Congestion DM, Cough Medicine for Cough and Chest Congestion Relief Made with Real Honey for Flavor - 8 Fl Oz x 2</t>
        </is>
      </c>
      <c r="E303" s="1" t="n"/>
      <c r="F303" t="inlineStr">
        <is>
          <t>B0B8ZFLYCZ</t>
        </is>
      </c>
      <c r="G303">
        <f>_xlfn.IMAGE("https://www.mountainside-medical.com/cdn/shop/products/Children_sRobitussinHoneyCough_ChestCongestionDM.jpg?v=1665583805")</f>
        <v/>
      </c>
      <c r="H303">
        <f>_xlfn.IMAGE("https://m.media-amazon.com/images/I/71yuprEBvaL._AC_UL320_.jpg")</f>
        <v/>
      </c>
      <c r="K303" t="inlineStr">
        <is>
          <t>8.6</t>
        </is>
      </c>
      <c r="L303" t="n">
        <v>21.96</v>
      </c>
      <c r="M303" s="2" t="inlineStr">
        <is>
          <t>155.35%</t>
        </is>
      </c>
      <c r="N303" t="n">
        <v>4.5</v>
      </c>
      <c r="O303" t="n">
        <v>384</v>
      </c>
      <c r="Q303" t="inlineStr">
        <is>
          <t>InStock</t>
        </is>
      </c>
      <c r="R303" t="inlineStr">
        <is>
          <t>9.95</t>
        </is>
      </c>
      <c r="S303" t="inlineStr">
        <is>
          <t>1597868572744</t>
        </is>
      </c>
    </row>
    <row r="304" ht="75" customHeight="1">
      <c r="A304" s="1">
        <f>HYPERLINK("https://www.mountainside-medical.com/collections/cold-and-flu/products/childrens-robitussin-honey-cough-chest-congestion-dm", "https://www.mountainside-medical.com/collections/cold-and-flu/products/childrens-robitussin-honey-cough-chest-congestion-dm")</f>
        <v/>
      </c>
      <c r="B304" s="1">
        <f>HYPERLINK("https://www.mountainside-medical.com/products/childrens-robitussin-honey-cough-chest-congestion-dm", "https://www.mountainside-medical.com/products/childrens-robitussin-honey-cough-chest-congestion-dm")</f>
        <v/>
      </c>
      <c r="C304" t="inlineStr">
        <is>
          <t>Children's Robitussin Honey Cough &amp; Chest Congestion DM 4 oz</t>
        </is>
      </c>
      <c r="D304" t="inlineStr">
        <is>
          <t>Robitussin Children's Honey Cough &amp; Chest Congestion DM</t>
        </is>
      </c>
      <c r="E304" s="1">
        <f>HYPERLINK("https://www.amazon.com/Childrens-Robitussin-Honey-Cough-Congestion/dp/B07TB54CGR/ref=sr_1_5?keywords=Children%27s+Robitussin+Honey+Cough+%26+Chest+Congestion+DM+4+oz&amp;qid=1695764534&amp;sr=8-5", "https://www.amazon.com/Childrens-Robitussin-Honey-Cough-Congestion/dp/B07TB54CGR/ref=sr_1_5?keywords=Children%27s+Robitussin+Honey+Cough+%26+Chest+Congestion+DM+4+oz&amp;qid=1695764534&amp;sr=8-5")</f>
        <v/>
      </c>
      <c r="F304" t="inlineStr">
        <is>
          <t>B07TB54CGR</t>
        </is>
      </c>
      <c r="G304">
        <f>_xlfn.IMAGE("https://www.mountainside-medical.com/cdn/shop/products/Children_sRobitussinHoneyCough_ChestCongestionDM.jpg?v=1665583805")</f>
        <v/>
      </c>
      <c r="H304">
        <f>_xlfn.IMAGE("https://m.media-amazon.com/images/I/81hL9-fLGWL._AC_UL320_.jpg")</f>
        <v/>
      </c>
      <c r="K304" t="inlineStr">
        <is>
          <t>8.6</t>
        </is>
      </c>
      <c r="L304" t="n">
        <v>17.94</v>
      </c>
      <c r="M304" s="2" t="inlineStr">
        <is>
          <t>108.60%</t>
        </is>
      </c>
      <c r="N304" t="n">
        <v>4.5</v>
      </c>
      <c r="O304" t="n">
        <v>80</v>
      </c>
      <c r="Q304" t="inlineStr">
        <is>
          <t>InStock</t>
        </is>
      </c>
      <c r="R304" t="inlineStr">
        <is>
          <t>9.95</t>
        </is>
      </c>
      <c r="S304" t="inlineStr">
        <is>
          <t>1597868572744</t>
        </is>
      </c>
    </row>
    <row r="305" ht="75" customHeight="1">
      <c r="A305" s="1">
        <f>HYPERLINK("https://www.mountainside-medical.com/collections/cold-and-flu/products/coricidin-hbp-cold-and-cough-medicine-20-count", "https://www.mountainside-medical.com/collections/cold-and-flu/products/coricidin-hbp-cold-and-cough-medicine-20-count")</f>
        <v/>
      </c>
      <c r="B305" s="1">
        <f>HYPERLINK("https://www.mountainside-medical.com/products/coricidin-hbp-cold-and-cough-medicine-20-count", "https://www.mountainside-medical.com/products/coricidin-hbp-cold-and-cough-medicine-20-count")</f>
        <v/>
      </c>
      <c r="C305" t="inlineStr">
        <is>
          <t>Coricidin HBP Cold and Cough Medicine, Tablets 16 Count</t>
        </is>
      </c>
      <c r="D305" t="inlineStr">
        <is>
          <t>Coricidin HBP Cough and Cold Tablets-16 ct. (Quantity of 5)</t>
        </is>
      </c>
      <c r="E305" s="1">
        <f>HYPERLINK("https://www.amazon.com/Coricidin-Cough-Cold-Tablets-16-Quantity/dp/B00620W190/ref=sr_1_6?keywords=Coricidin+HBP+Cold+and+Cough+Medicine%2C+Tablets+16+Count&amp;qid=1695764318&amp;sr=8-6", "https://www.amazon.com/Coricidin-Cough-Cold-Tablets-16-Quantity/dp/B00620W190/ref=sr_1_6?keywords=Coricidin+HBP+Cold+and+Cough+Medicine%2C+Tablets+16+Count&amp;qid=1695764318&amp;sr=8-6")</f>
        <v/>
      </c>
      <c r="F305" t="inlineStr">
        <is>
          <t>B00620W190</t>
        </is>
      </c>
      <c r="G305">
        <f>_xlfn.IMAGE("https://www.mountainside-medical.com/cdn/shop/products/Coricidin-HBP-Cold-and-Cough-Medicine-tablets-16-Count.jpg?v=1641393304")</f>
        <v/>
      </c>
      <c r="H305">
        <f>_xlfn.IMAGE("https://m.media-amazon.com/images/I/81pf9MO3+GL._AC_UL320_.jpg")</f>
        <v/>
      </c>
      <c r="K305" t="inlineStr">
        <is>
          <t>10.45</t>
        </is>
      </c>
      <c r="L305" t="n">
        <v>48.4</v>
      </c>
      <c r="M305" s="2" t="inlineStr">
        <is>
          <t>363.16%</t>
        </is>
      </c>
      <c r="N305" t="n">
        <v>4.8</v>
      </c>
      <c r="O305" t="n">
        <v>97</v>
      </c>
      <c r="Q305" t="inlineStr">
        <is>
          <t>InStock</t>
        </is>
      </c>
      <c r="R305" t="inlineStr">
        <is>
          <t>undefined</t>
        </is>
      </c>
      <c r="S305" t="inlineStr">
        <is>
          <t>1594282820</t>
        </is>
      </c>
    </row>
    <row r="306" ht="75" customHeight="1">
      <c r="A306" s="1">
        <f>HYPERLINK("https://www.mountainside-medical.com/collections/cold-and-flu/products/coricidin-hbp-cold-and-cough-medicine-20-count", "https://www.mountainside-medical.com/collections/cold-and-flu/products/coricidin-hbp-cold-and-cough-medicine-20-count")</f>
        <v/>
      </c>
      <c r="B306" s="1">
        <f>HYPERLINK("https://www.mountainside-medical.com/products/coricidin-hbp-cold-and-cough-medicine-20-count", "https://www.mountainside-medical.com/products/coricidin-hbp-cold-and-cough-medicine-20-count")</f>
        <v/>
      </c>
      <c r="C306" t="inlineStr">
        <is>
          <t>Coricidin HBP Cold and Cough Medicine, Tablets 16 Count</t>
        </is>
      </c>
      <c r="D306" t="inlineStr">
        <is>
          <t>Coricidin HBP Cough and Cold Tablets-16 ct. (Quantity of 5)</t>
        </is>
      </c>
      <c r="E306" s="1">
        <f>HYPERLINK("https://www.amazon.com/Coricidin-Cough-Cold-Tablets-16-Quantity/dp/B00620W190/ref=sr_1_6?keywords=Coricidin+HBP+Cold+and+Cough+Medicine%2C+Tablets+16+Count&amp;qid=1695764533&amp;sr=8-6", "https://www.amazon.com/Coricidin-Cough-Cold-Tablets-16-Quantity/dp/B00620W190/ref=sr_1_6?keywords=Coricidin+HBP+Cold+and+Cough+Medicine%2C+Tablets+16+Count&amp;qid=1695764533&amp;sr=8-6")</f>
        <v/>
      </c>
      <c r="F306" t="inlineStr">
        <is>
          <t>B00620W190</t>
        </is>
      </c>
      <c r="G306">
        <f>_xlfn.IMAGE("https://www.mountainside-medical.com/cdn/shop/products/Coricidin-HBP-Cold-and-Cough-Medicine-tablets-16-Count.jpg?v=1641393304")</f>
        <v/>
      </c>
      <c r="H306">
        <f>_xlfn.IMAGE("https://m.media-amazon.com/images/I/81pf9MO3+GL._AC_UL320_.jpg")</f>
        <v/>
      </c>
      <c r="K306" t="inlineStr">
        <is>
          <t>10.45</t>
        </is>
      </c>
      <c r="L306" t="n">
        <v>48.4</v>
      </c>
      <c r="M306" s="2" t="inlineStr">
        <is>
          <t>363.16%</t>
        </is>
      </c>
      <c r="N306" t="n">
        <v>4.8</v>
      </c>
      <c r="O306" t="n">
        <v>97</v>
      </c>
      <c r="Q306" t="inlineStr">
        <is>
          <t>InStock</t>
        </is>
      </c>
      <c r="R306" t="inlineStr">
        <is>
          <t>undefined</t>
        </is>
      </c>
      <c r="S306" t="inlineStr">
        <is>
          <t>1594282820</t>
        </is>
      </c>
    </row>
    <row r="307" ht="75" customHeight="1">
      <c r="A307" s="1">
        <f>HYPERLINK("https://www.mountainside-medical.com/collections/cold-and-flu/products/dristan-12-hour-nasal-decongestant-relief-spray", "https://www.mountainside-medical.com/collections/cold-and-flu/products/dristan-12-hour-nasal-decongestant-relief-spray")</f>
        <v/>
      </c>
      <c r="B307" s="1">
        <f>HYPERLINK("https://www.mountainside-medical.com/products/dristan-12-hour-nasal-decongestant-relief-spray", "https://www.mountainside-medical.com/products/dristan-12-hour-nasal-decongestant-relief-spray")</f>
        <v/>
      </c>
      <c r="C307" t="inlineStr">
        <is>
          <t>Dristan 12-Hour Nasal Decongestant Relief Spray</t>
        </is>
      </c>
      <c r="D307" t="inlineStr">
        <is>
          <t>Afrin Original Maximum Strength 12 Hour Sinus Congestion Relief Pump Mist - Fast Acting Allergy Nasal Decongestant and Sinus Spray for Powerful Nasal Congestion Relief 0.5oz (15mL)</t>
        </is>
      </c>
      <c r="E307" s="1">
        <f>HYPERLINK("https://www.amazon.com/Afrin-Hour-Pump-Original-Ounce/dp/B019DL5KAG/ref=sr_1_4?keywords=Dristan+12-Hour+Nasal+Decongestant+Relief+Spray&amp;qid=1695764313&amp;sr=8-4", "https://www.amazon.com/Afrin-Hour-Pump-Original-Ounce/dp/B019DL5KAG/ref=sr_1_4?keywords=Dristan+12-Hour+Nasal+Decongestant+Relief+Spray&amp;qid=1695764313&amp;sr=8-4")</f>
        <v/>
      </c>
      <c r="F307" t="inlineStr">
        <is>
          <t>B019DL5KAG</t>
        </is>
      </c>
      <c r="G307">
        <f>_xlfn.IMAGE("https://www.mountainside-medical.com/cdn/shop/products/Dristan12-HourNasalDecongestantRelefSprayforAllergies.jpg?v=1665577900")</f>
        <v/>
      </c>
      <c r="H307">
        <f>_xlfn.IMAGE("https://m.media-amazon.com/images/I/81lfsEyuTvL._AC_UL320_.jpg")</f>
        <v/>
      </c>
      <c r="K307" t="inlineStr">
        <is>
          <t>7.25</t>
        </is>
      </c>
      <c r="L307" t="n">
        <v>17.57</v>
      </c>
      <c r="M307" s="2" t="inlineStr">
        <is>
          <t>142.34%</t>
        </is>
      </c>
      <c r="N307" t="n">
        <v>4.6</v>
      </c>
      <c r="O307" t="n">
        <v>4421</v>
      </c>
      <c r="Q307" t="inlineStr">
        <is>
          <t>OutOfStock</t>
        </is>
      </c>
      <c r="R307" t="inlineStr">
        <is>
          <t>10.95</t>
        </is>
      </c>
      <c r="S307" t="inlineStr">
        <is>
          <t>1594797444</t>
        </is>
      </c>
    </row>
    <row r="308" ht="75" customHeight="1">
      <c r="A308" s="1">
        <f>HYPERLINK("https://www.mountainside-medical.com/collections/cold-and-flu/products/dristan-12-hour-nasal-decongestant-relief-spray", "https://www.mountainside-medical.com/collections/cold-and-flu/products/dristan-12-hour-nasal-decongestant-relief-spray")</f>
        <v/>
      </c>
      <c r="B308" s="1">
        <f>HYPERLINK("https://www.mountainside-medical.com/products/dristan-12-hour-nasal-decongestant-relief-spray", "https://www.mountainside-medical.com/products/dristan-12-hour-nasal-decongestant-relief-spray")</f>
        <v/>
      </c>
      <c r="C308" t="inlineStr">
        <is>
          <t>Dristan 12-Hour Nasal Decongestant Relief Spray</t>
        </is>
      </c>
      <c r="D308" t="inlineStr">
        <is>
          <t>Afrin Original Maximum Strength 12 Hour Sinus Congestion Relief Pump Mist - Fast Acting Allergy Nasal Decongestant and Sinus Spray for Powerful Nasal Congestion Relief 0.5oz (15mL)</t>
        </is>
      </c>
      <c r="E308" s="1">
        <f>HYPERLINK("https://www.amazon.com/Afrin-Hour-Pump-Original-Ounce/dp/B019DL5KAG/ref=sr_1_3?keywords=Dristan+12-Hour+Nasal+Decongestant+Relief+Spray&amp;qid=1695764540&amp;sr=8-3", "https://www.amazon.com/Afrin-Hour-Pump-Original-Ounce/dp/B019DL5KAG/ref=sr_1_3?keywords=Dristan+12-Hour+Nasal+Decongestant+Relief+Spray&amp;qid=1695764540&amp;sr=8-3")</f>
        <v/>
      </c>
      <c r="F308" t="inlineStr">
        <is>
          <t>B019DL5KAG</t>
        </is>
      </c>
      <c r="G308">
        <f>_xlfn.IMAGE("https://www.mountainside-medical.com/cdn/shop/products/Dristan12-HourNasalDecongestantRelefSprayforAllergies.jpg?v=1665577900")</f>
        <v/>
      </c>
      <c r="H308">
        <f>_xlfn.IMAGE("https://m.media-amazon.com/images/I/81lfsEyuTvL._AC_UL320_.jpg")</f>
        <v/>
      </c>
      <c r="K308" t="inlineStr">
        <is>
          <t>7.25</t>
        </is>
      </c>
      <c r="L308" t="n">
        <v>17.57</v>
      </c>
      <c r="M308" s="2" t="inlineStr">
        <is>
          <t>142.34%</t>
        </is>
      </c>
      <c r="N308" t="n">
        <v>4.6</v>
      </c>
      <c r="O308" t="n">
        <v>4421</v>
      </c>
      <c r="Q308" t="inlineStr">
        <is>
          <t>OutOfStock</t>
        </is>
      </c>
      <c r="R308" t="inlineStr">
        <is>
          <t>10.95</t>
        </is>
      </c>
      <c r="S308" t="inlineStr">
        <is>
          <t>1594797444</t>
        </is>
      </c>
    </row>
    <row r="309" ht="75" customHeight="1">
      <c r="A309" s="1">
        <f>HYPERLINK("https://www.mountainside-medical.com/collections/cold-and-flu/products/mucinex-fast-max-cold-flu-relief-liquid-6-fl-oz", "https://www.mountainside-medical.com/collections/cold-and-flu/products/mucinex-fast-max-cold-flu-relief-liquid-6-fl-oz")</f>
        <v/>
      </c>
      <c r="B309" s="1">
        <f>HYPERLINK("https://www.mountainside-medical.com/products/mucinex-fast-max-cold-flu-relief-liquid-6-fl-oz", "https://www.mountainside-medical.com/products/mucinex-fast-max-cold-flu-relief-liquid-6-fl-oz")</f>
        <v/>
      </c>
      <c r="C309" t="inlineStr">
        <is>
          <t>Mucinex Fast-Max Cold &amp; Flu Relief Liquid 6 fl oz</t>
        </is>
      </c>
      <c r="D309" t="inlineStr">
        <is>
          <t>Mucinex Fast-Max Cold &amp; Flu Arctic Burst and Mucinex Nightshift Severe Cold &amp; Flu Arctic Burst Liquids - 2 x 6 fl. oz. Fast, Powerful Multi-Symptom Relief with Just 1 Dose</t>
        </is>
      </c>
      <c r="E309" s="1">
        <f>HYPERLINK("https://www.amazon.com/Mucinex-Fast-Max-Arctic-Nightshift-Liquids/dp/B094X55NFZ/ref=sr_1_5?keywords=Mucinex+Fast-Max+Cold+%26+Flu+Relief+Liquid+6+fl+oz&amp;qid=1695764334&amp;sr=8-5", "https://www.amazon.com/Mucinex-Fast-Max-Arctic-Nightshift-Liquids/dp/B094X55NFZ/ref=sr_1_5?keywords=Mucinex+Fast-Max+Cold+%26+Flu+Relief+Liquid+6+fl+oz&amp;qid=1695764334&amp;sr=8-5")</f>
        <v/>
      </c>
      <c r="F309" t="inlineStr">
        <is>
          <t>B094X55NFZ</t>
        </is>
      </c>
      <c r="G309">
        <f>_xlfn.IMAGE("https://www.mountainside-medical.com/cdn/shop/products/MucinexFast-MaxCold_FluRelief.png?v=1637178745")</f>
        <v/>
      </c>
      <c r="H309">
        <f>_xlfn.IMAGE("https://m.media-amazon.com/images/I/91DibCm516L._AC_UL320_.jpg")</f>
        <v/>
      </c>
      <c r="K309" t="inlineStr">
        <is>
          <t>16.85</t>
        </is>
      </c>
      <c r="L309" t="n">
        <v>31.99</v>
      </c>
      <c r="M309" s="2" t="inlineStr">
        <is>
          <t>89.85%</t>
        </is>
      </c>
      <c r="N309" t="n">
        <v>4.3</v>
      </c>
      <c r="O309" t="n">
        <v>13</v>
      </c>
      <c r="Q309" t="inlineStr">
        <is>
          <t>InStock</t>
        </is>
      </c>
      <c r="R309" t="inlineStr">
        <is>
          <t>19.95</t>
        </is>
      </c>
      <c r="S309" t="inlineStr">
        <is>
          <t>6596627038280</t>
        </is>
      </c>
    </row>
    <row r="310" ht="75" customHeight="1">
      <c r="A310" s="1">
        <f>HYPERLINK("https://www.mountainside-medical.com/collections/cold-and-flu/products/mucinex-fast-max-cold-flu-relief-liquid-6-fl-oz", "https://www.mountainside-medical.com/collections/cold-and-flu/products/mucinex-fast-max-cold-flu-relief-liquid-6-fl-oz")</f>
        <v/>
      </c>
      <c r="B310" s="1">
        <f>HYPERLINK("https://www.mountainside-medical.com/products/mucinex-fast-max-cold-flu-relief-liquid-6-fl-oz", "https://www.mountainside-medical.com/products/mucinex-fast-max-cold-flu-relief-liquid-6-fl-oz")</f>
        <v/>
      </c>
      <c r="C310" t="inlineStr">
        <is>
          <t>Mucinex Fast-Max Cold &amp; Flu Relief Liquid 6 fl oz</t>
        </is>
      </c>
      <c r="D310" t="inlineStr">
        <is>
          <t>Mucinex Fast-Max Cold &amp; Flu Arctic Burst and Mucinex Nightshift Severe Cold &amp; Flu Arctic Burst Liquids - 2 x 6 fl. oz. Fast, Powerful Multi-Symptom Relief with Just 1 Dose</t>
        </is>
      </c>
      <c r="E310" s="1">
        <f>HYPERLINK("https://www.amazon.com/Mucinex-Fast-Max-Arctic-Nightshift-Liquids/dp/B094X55NFZ/ref=sr_1_5?keywords=Mucinex+Fast-Max+Cold+%26+Flu+Relief+Liquid+6+fl+oz&amp;qid=1695764550&amp;sr=8-5", "https://www.amazon.com/Mucinex-Fast-Max-Arctic-Nightshift-Liquids/dp/B094X55NFZ/ref=sr_1_5?keywords=Mucinex+Fast-Max+Cold+%26+Flu+Relief+Liquid+6+fl+oz&amp;qid=1695764550&amp;sr=8-5")</f>
        <v/>
      </c>
      <c r="F310" t="inlineStr">
        <is>
          <t>B094X55NFZ</t>
        </is>
      </c>
      <c r="G310">
        <f>_xlfn.IMAGE("https://www.mountainside-medical.com/cdn/shop/products/MucinexFast-MaxCold_FluRelief.png?v=1637178745")</f>
        <v/>
      </c>
      <c r="H310">
        <f>_xlfn.IMAGE("https://m.media-amazon.com/images/I/91DibCm516L._AC_UL320_.jpg")</f>
        <v/>
      </c>
      <c r="K310" t="inlineStr">
        <is>
          <t>16.85</t>
        </is>
      </c>
      <c r="L310" t="n">
        <v>31.99</v>
      </c>
      <c r="M310" s="2" t="inlineStr">
        <is>
          <t>89.85%</t>
        </is>
      </c>
      <c r="N310" t="n">
        <v>4.3</v>
      </c>
      <c r="O310" t="n">
        <v>13</v>
      </c>
      <c r="Q310" t="inlineStr">
        <is>
          <t>InStock</t>
        </is>
      </c>
      <c r="R310" t="inlineStr">
        <is>
          <t>19.95</t>
        </is>
      </c>
      <c r="S310" t="inlineStr">
        <is>
          <t>6596627038280</t>
        </is>
      </c>
    </row>
    <row r="311" ht="75" customHeight="1">
      <c r="A311" s="1">
        <f>HYPERLINK("https://www.mountainside-medical.com/collections/cold-and-flu/products/nasamist-hypertonic-saline-spray-125ml", "https://www.mountainside-medical.com/collections/cold-and-flu/products/nasamist-hypertonic-saline-spray-125ml")</f>
        <v/>
      </c>
      <c r="B311" s="1">
        <f>HYPERLINK("https://www.mountainside-medical.com/products/nasamist-hypertonic-saline-spray-125ml", "https://www.mountainside-medical.com/products/nasamist-hypertonic-saline-spray-125ml")</f>
        <v/>
      </c>
      <c r="C311" t="inlineStr">
        <is>
          <t>NasaMist Saline Nasal Decongestant Spray Extra Strength</t>
        </is>
      </c>
      <c r="D311" t="inlineStr">
        <is>
          <t>VICKS Sinex Saline Extra Strength Nasal Spray, 3X Concentrated Drug Free Ultra Fine Mist, Instantly Clears Mucus, Fast &amp;, Effective Relief for Congestion from Sinus &amp; Allergy</t>
        </is>
      </c>
      <c r="E311" s="1">
        <f>HYPERLINK("https://www.amazon.com/Strength-Concentrated-Instantly-Effective-Congestion/dp/B0C7DB8WXX/ref=sr_1_4?keywords=NasaMist+Saline+Nasal+Decongestant+Spray+Extra+Strength&amp;qid=1695764313&amp;sr=8-4", "https://www.amazon.com/Strength-Concentrated-Instantly-Effective-Congestion/dp/B0C7DB8WXX/ref=sr_1_4?keywords=NasaMist+Saline+Nasal+Decongestant+Spray+Extra+Strength&amp;qid=1695764313&amp;sr=8-4")</f>
        <v/>
      </c>
      <c r="F311" t="inlineStr">
        <is>
          <t>B0C7DB8WXX</t>
        </is>
      </c>
      <c r="G311">
        <f>_xlfn.IMAGE("https://www.mountainside-medical.com/cdn/shop/products/NasaMist-Saline-Extra-Strength-Nasal-Decongestant-Spray-for-Sinus-Allergy-Cold-Relief.jpg?v=1665581910")</f>
        <v/>
      </c>
      <c r="H311">
        <f>_xlfn.IMAGE("https://m.media-amazon.com/images/I/51ImU9WvCGL._AC_UL320_.jpg")</f>
        <v/>
      </c>
      <c r="K311" t="inlineStr">
        <is>
          <t>8.95</t>
        </is>
      </c>
      <c r="L311" t="n">
        <v>23.35</v>
      </c>
      <c r="M311" s="2" t="inlineStr">
        <is>
          <t>160.89%</t>
        </is>
      </c>
      <c r="N311" t="n">
        <v>4.8</v>
      </c>
      <c r="O311" t="n">
        <v>19</v>
      </c>
      <c r="Q311" t="inlineStr">
        <is>
          <t>InStock</t>
        </is>
      </c>
      <c r="R311" t="inlineStr">
        <is>
          <t>12.95</t>
        </is>
      </c>
      <c r="S311" t="inlineStr">
        <is>
          <t>1594902532</t>
        </is>
      </c>
    </row>
    <row r="312" ht="75" customHeight="1">
      <c r="A312" s="1">
        <f>HYPERLINK("https://www.mountainside-medical.com/collections/cold-and-flu/products/nasamist-hypertonic-saline-spray-125ml", "https://www.mountainside-medical.com/collections/cold-and-flu/products/nasamist-hypertonic-saline-spray-125ml")</f>
        <v/>
      </c>
      <c r="B312" s="1">
        <f>HYPERLINK("https://www.mountainside-medical.com/products/nasamist-hypertonic-saline-spray-125ml", "https://www.mountainside-medical.com/products/nasamist-hypertonic-saline-spray-125ml")</f>
        <v/>
      </c>
      <c r="C312" t="inlineStr">
        <is>
          <t>NasaMist Saline Nasal Decongestant Spray Extra Strength</t>
        </is>
      </c>
      <c r="D312" t="inlineStr">
        <is>
          <t>VICKS Sinex Saline Extra Strength Nasal Spray, 3X Concentrated Drug Free Ultra Fine Mist, Instantly Clears Mucus, Fast &amp;, Effective Relief for Congestion from Sinus &amp; Allergy</t>
        </is>
      </c>
      <c r="E312" s="1">
        <f>HYPERLINK("https://www.amazon.com/Strength-Concentrated-Instantly-Effective-Congestion/dp/B0C7DB8WXX/ref=sr_1_4?keywords=NasaMist+Saline+Nasal+Decongestant+Spray+Extra+Strength&amp;qid=1695764530&amp;sr=8-4", "https://www.amazon.com/Strength-Concentrated-Instantly-Effective-Congestion/dp/B0C7DB8WXX/ref=sr_1_4?keywords=NasaMist+Saline+Nasal+Decongestant+Spray+Extra+Strength&amp;qid=1695764530&amp;sr=8-4")</f>
        <v/>
      </c>
      <c r="F312" t="inlineStr">
        <is>
          <t>B0C7DB8WXX</t>
        </is>
      </c>
      <c r="G312">
        <f>_xlfn.IMAGE("https://www.mountainside-medical.com/cdn/shop/products/NasaMist-Saline-Extra-Strength-Nasal-Decongestant-Spray-for-Sinus-Allergy-Cold-Relief.jpg?v=1665581910")</f>
        <v/>
      </c>
      <c r="H312">
        <f>_xlfn.IMAGE("https://m.media-amazon.com/images/I/51ImU9WvCGL._AC_UL320_.jpg")</f>
        <v/>
      </c>
      <c r="K312" t="inlineStr">
        <is>
          <t>8.95</t>
        </is>
      </c>
      <c r="L312" t="n">
        <v>23.35</v>
      </c>
      <c r="M312" s="2" t="inlineStr">
        <is>
          <t>160.89%</t>
        </is>
      </c>
      <c r="N312" t="n">
        <v>4.8</v>
      </c>
      <c r="O312" t="n">
        <v>19</v>
      </c>
      <c r="Q312" t="inlineStr">
        <is>
          <t>InStock</t>
        </is>
      </c>
      <c r="R312" t="inlineStr">
        <is>
          <t>12.95</t>
        </is>
      </c>
      <c r="S312" t="inlineStr">
        <is>
          <t>1594902532</t>
        </is>
      </c>
    </row>
    <row r="313" ht="75" customHeight="1">
      <c r="A313" s="1">
        <f>HYPERLINK("https://www.mountainside-medical.com/collections/cold-and-flu/products/robitussin-maximum-strength-cough-chest-congestion-dm-max-4-oz", "https://www.mountainside-medical.com/collections/cold-and-flu/products/robitussin-maximum-strength-cough-chest-congestion-dm-max-4-oz")</f>
        <v/>
      </c>
      <c r="B313" s="1">
        <f>HYPERLINK("https://www.mountainside-medical.com/products/robitussin-maximum-strength-cough-chest-congestion-dm-max-4-oz", "https://www.mountainside-medical.com/products/robitussin-maximum-strength-cough-chest-congestion-dm-max-4-oz")</f>
        <v/>
      </c>
      <c r="C313" t="inlineStr">
        <is>
          <t>Robitussin Cough &amp; Chest Congestion DM Max Strength Berry 4 oz</t>
        </is>
      </c>
      <c r="D313" t="inlineStr">
        <is>
          <t>Robitussin Maximum Strength Honey Cough Plus Chest Congestion DM, Cough Medicine for Cough and Chest Congestion Relief Made with Real Honey for Flavor - 8 Fl Oz x 2</t>
        </is>
      </c>
      <c r="E313" s="1">
        <f>HYPERLINK("https://www.amazon.com/Robitussin-Maximum-Strength-Congestion-Medicine/dp/B0B8ZFLYCZ/ref=sr_1_7?keywords=Robitussin+Cough&amp;qid=1695764317&amp;sr=8-7", "https://www.amazon.com/Robitussin-Maximum-Strength-Congestion-Medicine/dp/B0B8ZFLYCZ/ref=sr_1_7?keywords=Robitussin+Cough&amp;qid=1695764317&amp;sr=8-7")</f>
        <v/>
      </c>
      <c r="F313" t="inlineStr">
        <is>
          <t>B0B8ZFLYCZ</t>
        </is>
      </c>
      <c r="G313">
        <f>_xlfn.IMAGE("https://www.mountainside-medical.com/cdn/shop/products/RobitussinMaximumStrengthCough_ChestCongestionDMMax.png?v=1640884359")</f>
        <v/>
      </c>
      <c r="H313">
        <f>_xlfn.IMAGE("https://m.media-amazon.com/images/I/71yuprEBvaL._AC_UL320_.jpg")</f>
        <v/>
      </c>
      <c r="K313" t="inlineStr">
        <is>
          <t>10.99</t>
        </is>
      </c>
      <c r="L313" t="n">
        <v>21.96</v>
      </c>
      <c r="M313" s="2" t="inlineStr">
        <is>
          <t>99.82%</t>
        </is>
      </c>
      <c r="N313" t="n">
        <v>4.5</v>
      </c>
      <c r="O313" t="n">
        <v>384</v>
      </c>
      <c r="Q313" t="inlineStr">
        <is>
          <t>InStock</t>
        </is>
      </c>
      <c r="R313" t="inlineStr">
        <is>
          <t>12.95</t>
        </is>
      </c>
      <c r="S313" t="inlineStr">
        <is>
          <t>6604153815112</t>
        </is>
      </c>
    </row>
    <row r="314" ht="75" customHeight="1">
      <c r="A314" s="1">
        <f>HYPERLINK("https://www.mountainside-medical.com/collections/cold-and-flu/products/vicks-dayquil-liquid-8-oz", "https://www.mountainside-medical.com/collections/cold-and-flu/products/vicks-dayquil-liquid-8-oz")</f>
        <v/>
      </c>
      <c r="B314" s="1">
        <f>HYPERLINK("https://www.mountainside-medical.com/products/vicks-dayquil-liquid-8-oz", "https://www.mountainside-medical.com/products/vicks-dayquil-liquid-8-oz")</f>
        <v/>
      </c>
      <c r="C314" t="inlineStr">
        <is>
          <t>Vicks Dayquil Liquid Severe Cold &amp; Flu Relief Medicine 8 oz</t>
        </is>
      </c>
      <c r="D314" t="inlineStr">
        <is>
          <t>Vicks VapoShower Plus, Shower Bomb Tablets, Extra Strong Soothing Vapors, 12 Tablets, DayQuil and NyQuil Severe, Liquid Cough, Cold and Flu Relief, Sore Throat, Fever &amp; Congestion Relief</t>
        </is>
      </c>
      <c r="E314" s="1">
        <f>HYPERLINK("https://www.amazon.com/Vicks-VapoShower-Tablets-Soothing-Congestion/dp/B09NXDS8KF/ref=sr_1_8?keywords=Vicks+Dayquil+Liquid+Severe+Cold&amp;qid=1695764534&amp;sr=8-8", "https://www.amazon.com/Vicks-VapoShower-Tablets-Soothing-Congestion/dp/B09NXDS8KF/ref=sr_1_8?keywords=Vicks+Dayquil+Liquid+Severe+Cold&amp;qid=1695764534&amp;sr=8-8")</f>
        <v/>
      </c>
      <c r="F314" t="inlineStr">
        <is>
          <t>B09NXDS8KF</t>
        </is>
      </c>
      <c r="G314">
        <f>_xlfn.IMAGE("https://www.mountainside-medical.com/cdn/shop/products/Vicks-Dayquil-Liquid-Severe-Cold-Flu-Relief-Medicine-8-oz.jpg?v=1665583083")</f>
        <v/>
      </c>
      <c r="H314">
        <f>_xlfn.IMAGE("https://m.media-amazon.com/images/I/61ry7SlcxwL._AC_UL320_.jpg")</f>
        <v/>
      </c>
      <c r="K314" t="inlineStr">
        <is>
          <t>13.95</t>
        </is>
      </c>
      <c r="L314" t="n">
        <v>39.11</v>
      </c>
      <c r="M314" s="2" t="inlineStr">
        <is>
          <t>180.36%</t>
        </is>
      </c>
      <c r="N314" t="n">
        <v>4.5</v>
      </c>
      <c r="O314" t="n">
        <v>16315</v>
      </c>
      <c r="Q314" t="inlineStr">
        <is>
          <t>InStock</t>
        </is>
      </c>
      <c r="R314" t="inlineStr">
        <is>
          <t>17.95</t>
        </is>
      </c>
      <c r="S314" t="inlineStr">
        <is>
          <t>1594293636</t>
        </is>
      </c>
    </row>
    <row r="315" ht="75" customHeight="1">
      <c r="A315" s="1">
        <f>HYPERLINK("https://www.mountainside-medical.com/collections/cold-and-flu/products/vicks-dayquil-liquid-8-oz", "https://www.mountainside-medical.com/collections/cold-and-flu/products/vicks-dayquil-liquid-8-oz")</f>
        <v/>
      </c>
      <c r="B315" s="1">
        <f>HYPERLINK("https://www.mountainside-medical.com/products/vicks-dayquil-liquid-8-oz", "https://www.mountainside-medical.com/products/vicks-dayquil-liquid-8-oz")</f>
        <v/>
      </c>
      <c r="C315" t="inlineStr">
        <is>
          <t>Vicks Dayquil Liquid Severe Cold &amp; Flu Relief Medicine 8 oz</t>
        </is>
      </c>
      <c r="D315" t="inlineStr">
        <is>
          <t>Vicks DayQuil and NyQuil VapoCOOL SEVERE Combo Cold &amp; Flu + Congestion Medicine, Max Strength Relief For Fever, Sore Throat, Nasal Congestion, Sinus Pressure, Cough, 48 Count - 32 DayQuil, 16 NyQuil</t>
        </is>
      </c>
      <c r="E315" s="1">
        <f>HYPERLINK("https://www.amazon.com/DayQuil-NyQuil-Vicks-VapoCOOL-Convenience/dp/B00PWRQXCK/ref=sr_1_6?keywords=Vicks+Dayquil+Liquid+Severe+Cold&amp;qid=1695764534&amp;sr=8-6", "https://www.amazon.com/DayQuil-NyQuil-Vicks-VapoCOOL-Convenience/dp/B00PWRQXCK/ref=sr_1_6?keywords=Vicks+Dayquil+Liquid+Severe+Cold&amp;qid=1695764534&amp;sr=8-6")</f>
        <v/>
      </c>
      <c r="F315" t="inlineStr">
        <is>
          <t>B00PWRQXCK</t>
        </is>
      </c>
      <c r="G315">
        <f>_xlfn.IMAGE("https://www.mountainside-medical.com/cdn/shop/products/Vicks-Dayquil-Liquid-Severe-Cold-Flu-Relief-Medicine-8-oz.jpg?v=1665583083")</f>
        <v/>
      </c>
      <c r="H315">
        <f>_xlfn.IMAGE("https://m.media-amazon.com/images/I/917JHF9BlhL._AC_UL320_.jpg")</f>
        <v/>
      </c>
      <c r="K315" t="inlineStr">
        <is>
          <t>13.95</t>
        </is>
      </c>
      <c r="L315" t="n">
        <v>27.49</v>
      </c>
      <c r="M315" s="2" t="inlineStr">
        <is>
          <t>97.06%</t>
        </is>
      </c>
      <c r="N315" t="n">
        <v>4.8</v>
      </c>
      <c r="O315" t="n">
        <v>10054</v>
      </c>
      <c r="Q315" t="inlineStr">
        <is>
          <t>InStock</t>
        </is>
      </c>
      <c r="R315" t="inlineStr">
        <is>
          <t>17.95</t>
        </is>
      </c>
      <c r="S315" t="inlineStr">
        <is>
          <t>1594293636</t>
        </is>
      </c>
    </row>
    <row r="316" ht="75" customHeight="1">
      <c r="A316" s="1">
        <f>HYPERLINK("https://www.mountainside-medical.com/collections/cold-and-flu/products/vicks-nyquil-severe-vapocool-cold-flu-caplets-24-ct", "https://www.mountainside-medical.com/collections/cold-and-flu/products/vicks-nyquil-severe-vapocool-cold-flu-caplets-24-ct")</f>
        <v/>
      </c>
      <c r="B316" s="1">
        <f>HYPERLINK("https://www.mountainside-medical.com/products/vicks-nyquil-severe-vapocool-cold-flu-caplets-24-ct", "https://www.mountainside-medical.com/products/vicks-nyquil-severe-vapocool-cold-flu-caplets-24-ct")</f>
        <v/>
      </c>
      <c r="C316" t="inlineStr">
        <is>
          <t>Vicks NyQuil Severe VapoCOOL Cold &amp; Flu Caplets 24 ct</t>
        </is>
      </c>
      <c r="D316" t="inlineStr">
        <is>
          <t>Vicks DayQuil and NyQuil VapoCOOL SEVERE Combo Cold &amp; Flu + Congestion Medicine, Max Strength Relief For Fever, Sore Throat, Nasal Congestion, Sinus Pressure, Cough, 48 Count - 32 DayQuil, 16 NyQuil</t>
        </is>
      </c>
      <c r="E316" s="1">
        <f>HYPERLINK("https://www.amazon.com/DayQuil-NyQuil-Vicks-VapoCOOL-Convenience/dp/B00PWRQXCK/ref=sr_1_4?keywords=Vicks+NyQuil+Severe+VapoCOOL+Cold&amp;qid=1695764324&amp;sr=8-4", "https://www.amazon.com/DayQuil-NyQuil-Vicks-VapoCOOL-Convenience/dp/B00PWRQXCK/ref=sr_1_4?keywords=Vicks+NyQuil+Severe+VapoCOOL+Cold&amp;qid=1695764324&amp;sr=8-4")</f>
        <v/>
      </c>
      <c r="F316" t="inlineStr">
        <is>
          <t>B00PWRQXCK</t>
        </is>
      </c>
      <c r="G316">
        <f>_xlfn.IMAGE("https://www.mountainside-medical.com/cdn/shop/products/VicksNyQuilSevereVapoCOOLCold_FluCaplets.jpg?v=1640202625")</f>
        <v/>
      </c>
      <c r="H316">
        <f>_xlfn.IMAGE("https://m.media-amazon.com/images/I/917JHF9BlhL._AC_UL320_.jpg")</f>
        <v/>
      </c>
      <c r="K316" t="inlineStr">
        <is>
          <t>13.85</t>
        </is>
      </c>
      <c r="L316" t="n">
        <v>27.49</v>
      </c>
      <c r="M316" s="2" t="inlineStr">
        <is>
          <t>98.48%</t>
        </is>
      </c>
      <c r="N316" t="n">
        <v>4.8</v>
      </c>
      <c r="O316" t="n">
        <v>10054</v>
      </c>
      <c r="Q316" t="inlineStr">
        <is>
          <t>InStock</t>
        </is>
      </c>
      <c r="R316" t="inlineStr">
        <is>
          <t>15.95</t>
        </is>
      </c>
      <c r="S316" t="inlineStr">
        <is>
          <t>6603152818248</t>
        </is>
      </c>
    </row>
    <row r="317" ht="75" customHeight="1">
      <c r="A317" s="1">
        <f>HYPERLINK("https://www.mountainside-medical.com/collections/cold-and-flu/products/vicks-nyquil-severe-vapocool-cold-flu-caplets-24-ct", "https://www.mountainside-medical.com/collections/cold-and-flu/products/vicks-nyquil-severe-vapocool-cold-flu-caplets-24-ct")</f>
        <v/>
      </c>
      <c r="B317" s="1">
        <f>HYPERLINK("https://www.mountainside-medical.com/products/vicks-nyquil-severe-vapocool-cold-flu-caplets-24-ct", "https://www.mountainside-medical.com/products/vicks-nyquil-severe-vapocool-cold-flu-caplets-24-ct")</f>
        <v/>
      </c>
      <c r="C317" t="inlineStr">
        <is>
          <t>Vicks NyQuil Severe VapoCOOL Cold &amp; Flu Caplets 24 ct</t>
        </is>
      </c>
      <c r="D317" t="inlineStr">
        <is>
          <t>Vicks DayQuil and NyQuil VapoCOOL SEVERE Combo Cold &amp; Flu + Congestion Medicine, Max Strength Relief For Fever, Sore Throat, Nasal Congestion, Sinus Pressure, Cough, 48 Count - 32 DayQuil, 16 NyQuil</t>
        </is>
      </c>
      <c r="E317" s="1">
        <f>HYPERLINK("https://www.amazon.com/DayQuil-NyQuil-Vicks-VapoCOOL-Convenience/dp/B00PWRQXCK/ref=sr_1_4?keywords=Vicks+NyQuil+Severe+VapoCOOL+Cold&amp;qid=1695764562&amp;sr=8-4", "https://www.amazon.com/DayQuil-NyQuil-Vicks-VapoCOOL-Convenience/dp/B00PWRQXCK/ref=sr_1_4?keywords=Vicks+NyQuil+Severe+VapoCOOL+Cold&amp;qid=1695764562&amp;sr=8-4")</f>
        <v/>
      </c>
      <c r="F317" t="inlineStr">
        <is>
          <t>B00PWRQXCK</t>
        </is>
      </c>
      <c r="G317">
        <f>_xlfn.IMAGE("https://www.mountainside-medical.com/cdn/shop/products/VicksNyQuilSevereVapoCOOLCold_FluCaplets.jpg?v=1640202625")</f>
        <v/>
      </c>
      <c r="H317">
        <f>_xlfn.IMAGE("https://m.media-amazon.com/images/I/917JHF9BlhL._AC_UL320_.jpg")</f>
        <v/>
      </c>
      <c r="K317" t="inlineStr">
        <is>
          <t>13.85</t>
        </is>
      </c>
      <c r="L317" t="n">
        <v>27.49</v>
      </c>
      <c r="M317" s="2" t="inlineStr">
        <is>
          <t>98.48%</t>
        </is>
      </c>
      <c r="N317" t="n">
        <v>4.8</v>
      </c>
      <c r="O317" t="n">
        <v>10054</v>
      </c>
      <c r="Q317" t="inlineStr">
        <is>
          <t>InStock</t>
        </is>
      </c>
      <c r="R317" t="inlineStr">
        <is>
          <t>15.95</t>
        </is>
      </c>
      <c r="S317" t="inlineStr">
        <is>
          <t>6603152818248</t>
        </is>
      </c>
    </row>
    <row r="318" ht="75" customHeight="1">
      <c r="A318" s="1">
        <f>HYPERLINK("https://www.mountainside-medical.com/collections/cosmetic-surgery-and-aesthetics-supplies/products/aquaphor-healing-ointment", "https://www.mountainside-medical.com/collections/cosmetic-surgery-and-aesthetics-supplies/products/aquaphor-healing-ointment")</f>
        <v/>
      </c>
      <c r="B318" s="1">
        <f>HYPERLINK("https://www.mountainside-medical.com/products/aquaphor-healing-ointment", "https://www.mountainside-medical.com/products/aquaphor-healing-ointment")</f>
        <v/>
      </c>
      <c r="C318" t="inlineStr">
        <is>
          <t>Aquaphor Healing Ointment</t>
        </is>
      </c>
      <c r="D318" t="inlineStr">
        <is>
          <t>Aquaphor Aquaphor healing ointment - moisturizing skin protectant for dry cracked hands, heels and elbows - 14 oz. jar + 1.75 oz. tube, 15.75 Ounce</t>
        </is>
      </c>
      <c r="E318" s="1">
        <f>HYPERLINK("https://www.amazon.com/Aquaphor-Healing-Ointment-Moisturizing-Protectant/dp/B07QYWKLKP/ref=sr_1_6?keywords=Aquaphor+Healing+Ointment&amp;qid=1695764275&amp;sr=8-6", "https://www.amazon.com/Aquaphor-Healing-Ointment-Moisturizing-Protectant/dp/B07QYWKLKP/ref=sr_1_6?keywords=Aquaphor+Healing+Ointment&amp;qid=1695764275&amp;sr=8-6")</f>
        <v/>
      </c>
      <c r="F318" t="inlineStr">
        <is>
          <t>B07QYWKLKP</t>
        </is>
      </c>
      <c r="G318">
        <f>_xlfn.IMAGE("https://www.mountainside-medical.com/cdn/shop/products/aquaphor-healing-ointment1.png?v=1600349123")</f>
        <v/>
      </c>
      <c r="H318">
        <f>_xlfn.IMAGE("https://m.media-amazon.com/images/I/51Xkey5LSZL._AC_UL320_.jpg")</f>
        <v/>
      </c>
      <c r="K318" t="inlineStr">
        <is>
          <t>11.5</t>
        </is>
      </c>
      <c r="L318" t="n">
        <v>26.68</v>
      </c>
      <c r="M318" s="2" t="inlineStr">
        <is>
          <t>132.00%</t>
        </is>
      </c>
      <c r="N318" t="n">
        <v>4.8</v>
      </c>
      <c r="O318" t="n">
        <v>10984</v>
      </c>
      <c r="Q318" t="inlineStr">
        <is>
          <t>InStock</t>
        </is>
      </c>
      <c r="R318" t="inlineStr">
        <is>
          <t>10.49</t>
        </is>
      </c>
      <c r="S318" t="inlineStr">
        <is>
          <t>1594708932</t>
        </is>
      </c>
    </row>
    <row r="319" ht="75" customHeight="1">
      <c r="A319" s="1">
        <f>HYPERLINK("https://www.mountainside-medical.com/collections/cosmetic-surgery-and-aesthetics-supplies/products/bd-insyte-autoguard-bc-shielded-20-gauge-x-1-inch-iv-catheter-50-bx", "https://www.mountainside-medical.com/collections/cosmetic-surgery-and-aesthetics-supplies/products/bd-insyte-autoguard-bc-shielded-20-gauge-x-1-inch-iv-catheter-50-bx")</f>
        <v/>
      </c>
      <c r="B319" s="1">
        <f>HYPERLINK("https://www.mountainside-medical.com/products/bd-insyte-autoguard-bc-shielded-20-gauge-x-1-inch-iv-catheter-50-bx", "https://www.mountainside-medical.com/products/bd-insyte-autoguard-bc-shielded-20-gauge-x-1-inch-iv-catheter-50-bx")</f>
        <v/>
      </c>
      <c r="C319" t="inlineStr">
        <is>
          <t>BD Insyte IV Catheter Needle with Blood Control Catheter Shielded 20 Gauge 1" Pink (Each)</t>
        </is>
      </c>
      <c r="D319" t="inlineStr">
        <is>
          <t>BD Medical Systems 382523 Insyte Autoguard BC Shielded IV Catheter with Blood Control Technology, 22 Gauge, 1" Length, Blue (Box of 50)</t>
        </is>
      </c>
      <c r="E319" s="1">
        <f>HYPERLINK("https://www.amazon.com/BD-Medical-Systems-382523-Technology/dp/B019REB6CK/ref=sr_1_1?keywords=BD+Insyte+IV+Catheter+Needle+with+Blood+Control+Catheter+Shielded+20+Gauge+1%22+Pink+%28Each%29&amp;qid=1695764292&amp;sr=8-1", "https://www.amazon.com/BD-Medical-Systems-382523-Technology/dp/B019REB6CK/ref=sr_1_1?keywords=BD+Insyte+IV+Catheter+Needle+with+Blood+Control+Catheter+Shielded+20+Gauge+1%22+Pink+%28Each%29&amp;qid=1695764292&amp;sr=8-1")</f>
        <v/>
      </c>
      <c r="F319" t="inlineStr">
        <is>
          <t>B019REB6CK</t>
        </is>
      </c>
      <c r="G319">
        <f>_xlfn.IMAGE("https://www.mountainside-medical.com/cdn/shop/files/BD-Insyte-IV-Catheter-Needle--20-Gauge-1-Inch.jpg?v=1690462382")</f>
        <v/>
      </c>
      <c r="H319">
        <f>_xlfn.IMAGE("https://m.media-amazon.com/images/I/51DJzrvGLEL._AC_UY218_.jpg")</f>
        <v/>
      </c>
      <c r="K319" t="inlineStr">
        <is>
          <t>3.75</t>
        </is>
      </c>
      <c r="L319" t="n">
        <v>144.99</v>
      </c>
      <c r="M319" s="2" t="inlineStr">
        <is>
          <t>3766.40%</t>
        </is>
      </c>
      <c r="N319" t="n">
        <v>5</v>
      </c>
      <c r="O319" t="n">
        <v>3</v>
      </c>
      <c r="Q319" t="inlineStr">
        <is>
          <t>InStock</t>
        </is>
      </c>
      <c r="R319" t="inlineStr">
        <is>
          <t>5.95</t>
        </is>
      </c>
      <c r="S319" t="inlineStr">
        <is>
          <t>6729922314312</t>
        </is>
      </c>
    </row>
    <row r="320" ht="75" customHeight="1">
      <c r="A320" s="1">
        <f>HYPERLINK("https://www.mountainside-medical.com/collections/cosmetic-surgery-and-aesthetics-supplies/products/bd-insyte-autoguard-bc-shielded-22-gauge-x-1-inch-iv-catheter-50-bx", "https://www.mountainside-medical.com/collections/cosmetic-surgery-and-aesthetics-supplies/products/bd-insyte-autoguard-bc-shielded-22-gauge-x-1-inch-iv-catheter-50-bx")</f>
        <v/>
      </c>
      <c r="B320" s="1">
        <f>HYPERLINK("https://www.mountainside-medical.com/products/bd-insyte-autoguard-bc-shielded-22-gauge-x-1-inch-iv-catheter-50-bx", "https://www.mountainside-medical.com/products/bd-insyte-autoguard-bc-shielded-22-gauge-x-1-inch-iv-catheter-50-bx")</f>
        <v/>
      </c>
      <c r="C320" t="inlineStr">
        <is>
          <t>BD Insyte IV Catheter Needles with Blood Control Catheter Shielded 22 Gauge 1" Blue (Each)</t>
        </is>
      </c>
      <c r="D320" t="inlineStr">
        <is>
          <t>382523 Insyte Autoguard BC Shielded IV Catheter with Blood Control Technology, 22 Gauge, 1" Length, Blue (Box of 50)</t>
        </is>
      </c>
      <c r="E320" s="1">
        <f>HYPERLINK("https://www.amazon.com/BD-Medical-Systems-382523-Technology/dp/B019REB6CK/ref=sr_1_1?keywords=BD+Insyte+IV+Catheter+Needles+with+Blood+Control+Catheter+Shielded+22+Gauge+1%22+Blue+%28Each%29&amp;qid=1695764294&amp;sr=8-1", "https://www.amazon.com/BD-Medical-Systems-382523-Technology/dp/B019REB6CK/ref=sr_1_1?keywords=BD+Insyte+IV+Catheter+Needles+with+Blood+Control+Catheter+Shielded+22+Gauge+1%22+Blue+%28Each%29&amp;qid=1695764294&amp;sr=8-1")</f>
        <v/>
      </c>
      <c r="F320" t="inlineStr">
        <is>
          <t>B019REB6CK</t>
        </is>
      </c>
      <c r="G320">
        <f>_xlfn.IMAGE("https://www.mountainside-medical.com/cdn/shop/files/BD-Insyte-IV-Catheter-Needle-22-Gauge-1-inch.jpg?v=1690462754")</f>
        <v/>
      </c>
      <c r="H320">
        <f>_xlfn.IMAGE("https://m.media-amazon.com/images/I/51DJzrvGLEL._AC_UY218_.jpg")</f>
        <v/>
      </c>
      <c r="K320" t="inlineStr">
        <is>
          <t>3.75</t>
        </is>
      </c>
      <c r="L320" t="n">
        <v>144.99</v>
      </c>
      <c r="M320" s="2" t="inlineStr">
        <is>
          <t>3766.40%</t>
        </is>
      </c>
      <c r="N320" t="n">
        <v>5</v>
      </c>
      <c r="O320" t="n">
        <v>3</v>
      </c>
      <c r="Q320" t="inlineStr">
        <is>
          <t>InStock</t>
        </is>
      </c>
      <c r="R320" t="inlineStr">
        <is>
          <t>5.95</t>
        </is>
      </c>
      <c r="S320" t="inlineStr">
        <is>
          <t>6729921921096</t>
        </is>
      </c>
    </row>
    <row r="321" ht="75" customHeight="1">
      <c r="A321" s="1">
        <f>HYPERLINK("https://www.mountainside-medical.com/collections/cosmetic-surgery-and-aesthetics-supplies/products/bd-insyte-autoguard-bc-shielded-22-gauge-x-1-inch-retracting-safety-iv-catheter-50-bx", "https://www.mountainside-medical.com/collections/cosmetic-surgery-and-aesthetics-supplies/products/bd-insyte-autoguard-bc-shielded-22-gauge-x-1-inch-retracting-safety-iv-catheter-50-bx")</f>
        <v/>
      </c>
      <c r="B321" s="1">
        <f>HYPERLINK("https://www.mountainside-medical.com/products/bd-insyte-autoguard-bc-shielded-22-gauge-x-1-inch-retracting-safety-iv-catheter-50-bx", "https://www.mountainside-medical.com/products/bd-insyte-autoguard-bc-shielded-22-gauge-x-1-inch-retracting-safety-iv-catheter-50-bx")</f>
        <v/>
      </c>
      <c r="C321" t="inlineStr">
        <is>
          <t>BD Insyte IV Catheter Needles with Shielded 22 Gauge 1" Blue (Each)</t>
        </is>
      </c>
      <c r="D321" t="inlineStr">
        <is>
          <t>382523 Insyte Autoguard BC Shielded IV Catheter with Blood Control Technology, 22 Gauge, 1" Length, Blue (Box of 50)</t>
        </is>
      </c>
      <c r="E321" s="1">
        <f>HYPERLINK("https://www.amazon.com/BD-Medical-Systems-382523-Technology/dp/B019REB6CK/ref=sr_1_1?keywords=BD+Insyte+IV+Catheter+Needles+with+Shielded+22+Gauge+1%22+Blue+%28Each%29&amp;qid=1695764293&amp;sr=8-1", "https://www.amazon.com/BD-Medical-Systems-382523-Technology/dp/B019REB6CK/ref=sr_1_1?keywords=BD+Insyte+IV+Catheter+Needles+with+Shielded+22+Gauge+1%22+Blue+%28Each%29&amp;qid=1695764293&amp;sr=8-1")</f>
        <v/>
      </c>
      <c r="F321" t="inlineStr">
        <is>
          <t>B019REB6CK</t>
        </is>
      </c>
      <c r="G321">
        <f>_xlfn.IMAGE("https://www.mountainside-medical.com/cdn/shop/files/BD-Insyte-IV-Catheter-Needle-22-Gauge-1-inch_d8018e77-825a-4783-84b1-3a9858635bda.jpg?v=1690463835")</f>
        <v/>
      </c>
      <c r="H321">
        <f>_xlfn.IMAGE("https://m.media-amazon.com/images/I/51DJzrvGLEL._AC_UY218_.jpg")</f>
        <v/>
      </c>
      <c r="K321" t="inlineStr">
        <is>
          <t>3.75</t>
        </is>
      </c>
      <c r="L321" t="n">
        <v>144.99</v>
      </c>
      <c r="M321" s="2" t="inlineStr">
        <is>
          <t>3766.40%</t>
        </is>
      </c>
      <c r="N321" t="n">
        <v>5</v>
      </c>
      <c r="O321" t="n">
        <v>3</v>
      </c>
      <c r="Q321" t="inlineStr">
        <is>
          <t>InStock</t>
        </is>
      </c>
      <c r="R321" t="inlineStr">
        <is>
          <t>5.95</t>
        </is>
      </c>
      <c r="S321" t="inlineStr">
        <is>
          <t>6729921495112</t>
        </is>
      </c>
    </row>
    <row r="322" ht="75" customHeight="1">
      <c r="A322" s="1">
        <f>HYPERLINK("https://www.mountainside-medical.com/collections/cosmetic-surgery-and-aesthetics-supplies/products/black-nitrile-powder-examination-gloves-100-bx", "https://www.mountainside-medical.com/collections/cosmetic-surgery-and-aesthetics-supplies/products/black-nitrile-powder-examination-gloves-100-bx")</f>
        <v/>
      </c>
      <c r="B322" s="1">
        <f>HYPERLINK("https://www.mountainside-medical.com/products/black-nitrile-powder-examination-gloves-100-bx", "https://www.mountainside-medical.com/products/black-nitrile-powder-examination-gloves-100-bx")</f>
        <v/>
      </c>
      <c r="C322" t="inlineStr">
        <is>
          <t>Black Nitrile Powder Examination Gloves, 100/bx</t>
        </is>
      </c>
      <c r="D322" t="inlineStr">
        <is>
          <t>KT GLOVES - Black Industrial Grade Powder Free Nitrile Gloves, 100/BX - 5mil - Size XL</t>
        </is>
      </c>
      <c r="E322" s="1">
        <f>HYPERLINK("https://www.amazon.com/Black-Industrial-Powder-Nitrile-Gloves/dp/B08D1T42N2/ref=sr_1_5?keywords=Black+Nitrile+Powder+Examination+Gloves%2C+100%2Fbx&amp;qid=1695764289&amp;sr=8-5", "https://www.amazon.com/Black-Industrial-Powder-Nitrile-Gloves/dp/B08D1T42N2/ref=sr_1_5?keywords=Black+Nitrile+Powder+Examination+Gloves%2C+100%2Fbx&amp;qid=1695764289&amp;sr=8-5")</f>
        <v/>
      </c>
      <c r="F322" t="inlineStr">
        <is>
          <t>B08D1T42N2</t>
        </is>
      </c>
      <c r="G322">
        <f>_xlfn.IMAGE("https://www.mountainside-medical.com/cdn/shop/products/Screenshot2022-11-18at15-13-44OmniTrust_215BlackNitrilePowderFreeExaminationGlove-OmniInternational.png?v=1668802577")</f>
        <v/>
      </c>
      <c r="H322">
        <f>_xlfn.IMAGE("https://m.media-amazon.com/images/I/31JbWaMM8NL._AC_UY218_.jpg")</f>
        <v/>
      </c>
      <c r="K322" t="inlineStr">
        <is>
          <t>7.99</t>
        </is>
      </c>
      <c r="L322" t="n">
        <v>18.5</v>
      </c>
      <c r="M322" s="2" t="inlineStr">
        <is>
          <t>131.54%</t>
        </is>
      </c>
      <c r="N322" t="n">
        <v>4.2</v>
      </c>
      <c r="O322" t="n">
        <v>33</v>
      </c>
      <c r="Q322" t="inlineStr">
        <is>
          <t>InStock</t>
        </is>
      </c>
      <c r="R322" t="inlineStr">
        <is>
          <t>11.95</t>
        </is>
      </c>
      <c r="S322" t="inlineStr">
        <is>
          <t>6679532273736</t>
        </is>
      </c>
    </row>
    <row r="323" ht="75" customHeight="1">
      <c r="A323" s="1">
        <f>HYPERLINK("https://www.mountainside-medical.com/collections/cosmetic-surgery-and-aesthetics-supplies/products/black-nitrile-powder-examination-gloves-100-bx", "https://www.mountainside-medical.com/collections/cosmetic-surgery-and-aesthetics-supplies/products/black-nitrile-powder-examination-gloves-100-bx")</f>
        <v/>
      </c>
      <c r="B323" s="1">
        <f>HYPERLINK("https://www.mountainside-medical.com/products/black-nitrile-powder-examination-gloves-100-bx", "https://www.mountainside-medical.com/products/black-nitrile-powder-examination-gloves-100-bx")</f>
        <v/>
      </c>
      <c r="C323" t="inlineStr">
        <is>
          <t>Black Nitrile Powder Examination Gloves, 100/bx</t>
        </is>
      </c>
      <c r="D323" t="inlineStr">
        <is>
          <t>Microflex MK-296-L Large Black 9.645" MidKnight 4.7 mil Nitrile Ambidextrous Non-Sterile Medical Grade Powder-Free Disposable Gloves With Fully Textured Finish And Standard Examination Beaded Cuff (100 Each Per Box) (1/BX)</t>
        </is>
      </c>
      <c r="E323" s="1">
        <f>HYPERLINK("https://www.amazon.com/Ambidextrous-Non-Sterile-Powder-Free-Disposable-Examination/dp/B00Z2LFY62/ref=sr_1_2?keywords=Black+Nitrile+Powder+Examination+Gloves%2C+100%2Fbx&amp;qid=1695764289&amp;sr=8-2", "https://www.amazon.com/Ambidextrous-Non-Sterile-Powder-Free-Disposable-Examination/dp/B00Z2LFY62/ref=sr_1_2?keywords=Black+Nitrile+Powder+Examination+Gloves%2C+100%2Fbx&amp;qid=1695764289&amp;sr=8-2")</f>
        <v/>
      </c>
      <c r="F323" t="inlineStr">
        <is>
          <t>B00Z2LFY62</t>
        </is>
      </c>
      <c r="G323">
        <f>_xlfn.IMAGE("https://www.mountainside-medical.com/cdn/shop/products/Screenshot2022-11-18at15-13-44OmniTrust_215BlackNitrilePowderFreeExaminationGlove-OmniInternational.png?v=1668802577")</f>
        <v/>
      </c>
      <c r="H323">
        <f>_xlfn.IMAGE("https://m.media-amazon.com/images/I/918kUIyeAZL._AC_UY218_.jpg")</f>
        <v/>
      </c>
      <c r="K323" t="inlineStr">
        <is>
          <t>7.99</t>
        </is>
      </c>
      <c r="L323" t="n">
        <v>17.97</v>
      </c>
      <c r="M323" s="2" t="inlineStr">
        <is>
          <t>124.91%</t>
        </is>
      </c>
      <c r="N323" t="n">
        <v>4.7</v>
      </c>
      <c r="O323" t="n">
        <v>777</v>
      </c>
      <c r="Q323" t="inlineStr">
        <is>
          <t>InStock</t>
        </is>
      </c>
      <c r="R323" t="inlineStr">
        <is>
          <t>11.95</t>
        </is>
      </c>
      <c r="S323" t="inlineStr">
        <is>
          <t>6679532273736</t>
        </is>
      </c>
    </row>
    <row r="324" ht="75" customHeight="1">
      <c r="A324" s="1">
        <f>HYPERLINK("https://www.mountainside-medical.com/collections/cosmetic-surgery-and-aesthetics-supplies/products/black-nitrile-powder-examination-gloves-100-bx", "https://www.mountainside-medical.com/collections/cosmetic-surgery-and-aesthetics-supplies/products/black-nitrile-powder-examination-gloves-100-bx")</f>
        <v/>
      </c>
      <c r="B324" s="1">
        <f>HYPERLINK("https://www.mountainside-medical.com/products/black-nitrile-powder-examination-gloves-100-bx", "https://www.mountainside-medical.com/products/black-nitrile-powder-examination-gloves-100-bx")</f>
        <v/>
      </c>
      <c r="C324" t="inlineStr">
        <is>
          <t>Black Nitrile Powder Examination Gloves, 100/bx</t>
        </is>
      </c>
      <c r="D324" t="inlineStr">
        <is>
          <t>Black Industrial grade Powder Free Nitrile Gloves, 100/BX - 6mil - Size Large</t>
        </is>
      </c>
      <c r="E324" s="1">
        <f>HYPERLINK("https://www.amazon.com/Black-Industrial-Powder-Nitrile-Gloves/dp/B08D1QQMVB/ref=sr_1_4?keywords=Black+Nitrile+Powder+Examination+Gloves%2C+100%2Fbx&amp;qid=1695764289&amp;sr=8-4", "https://www.amazon.com/Black-Industrial-Powder-Nitrile-Gloves/dp/B08D1QQMVB/ref=sr_1_4?keywords=Black+Nitrile+Powder+Examination+Gloves%2C+100%2Fbx&amp;qid=1695764289&amp;sr=8-4")</f>
        <v/>
      </c>
      <c r="F324" t="inlineStr">
        <is>
          <t>B08D1QQMVB</t>
        </is>
      </c>
      <c r="G324">
        <f>_xlfn.IMAGE("https://www.mountainside-medical.com/cdn/shop/products/Screenshot2022-11-18at15-13-44OmniTrust_215BlackNitrilePowderFreeExaminationGlove-OmniInternational.png?v=1668802577")</f>
        <v/>
      </c>
      <c r="H324">
        <f>_xlfn.IMAGE("https://m.media-amazon.com/images/I/51e8ogGuAML._AC_UY218_.jpg")</f>
        <v/>
      </c>
      <c r="K324" t="inlineStr">
        <is>
          <t>7.99</t>
        </is>
      </c>
      <c r="L324" t="n">
        <v>15.99</v>
      </c>
      <c r="M324" s="2" t="inlineStr">
        <is>
          <t>100.13%</t>
        </is>
      </c>
      <c r="N324" t="n">
        <v>4</v>
      </c>
      <c r="O324" t="n">
        <v>205</v>
      </c>
      <c r="Q324" t="inlineStr">
        <is>
          <t>InStock</t>
        </is>
      </c>
      <c r="R324" t="inlineStr">
        <is>
          <t>11.95</t>
        </is>
      </c>
      <c r="S324" t="inlineStr">
        <is>
          <t>6679532273736</t>
        </is>
      </c>
    </row>
    <row r="325" ht="75" customHeight="1">
      <c r="A325" s="1">
        <f>HYPERLINK("https://www.mountainside-medical.com/collections/cosmetic-surgery-and-aesthetics-supplies/products/excilon-amd-drain-sponges-4-x-4", "https://www.mountainside-medical.com/collections/cosmetic-surgery-and-aesthetics-supplies/products/excilon-amd-drain-sponges-4-x-4")</f>
        <v/>
      </c>
      <c r="B325" s="1">
        <f>HYPERLINK("https://www.mountainside-medical.com/products/excilon-amd-drain-sponges-4-x-4", "https://www.mountainside-medical.com/products/excilon-amd-drain-sponges-4-x-4")</f>
        <v/>
      </c>
      <c r="C325" t="inlineStr">
        <is>
          <t>Excilon AMD Drain Sponges 4 x 4</t>
        </is>
      </c>
      <c r="D325" t="inlineStr">
        <is>
          <t>EXCILON Drain Sponges, 4" x 4", Case (7086)</t>
        </is>
      </c>
      <c r="E325" s="1">
        <f>HYPERLINK("https://www.amazon.com/Excilon-EXCILON-Drain-Sponges-Case/dp/B000PJJ4EY/ref=sr_1_3?keywords=excilon+and+drain+sponges+4+x+4&amp;qid=1695764276&amp;sr=8-3", "https://www.amazon.com/Excilon-EXCILON-Drain-Sponges-Case/dp/B000PJJ4EY/ref=sr_1_3?keywords=excilon+and+drain+sponges+4+x+4&amp;qid=1695764276&amp;sr=8-3")</f>
        <v/>
      </c>
      <c r="F325" t="inlineStr">
        <is>
          <t>B000PJJ4EY</t>
        </is>
      </c>
      <c r="G325">
        <f>_xlfn.IMAGE("https://www.mountainside-medical.com/cdn/shop/products/excilon-amd-antimicrobial-iv-drain-sponges__93297.jpeg?v=1600361068")</f>
        <v/>
      </c>
      <c r="H325">
        <f>_xlfn.IMAGE("https://m.media-amazon.com/images/I/61ghUPTlqxL._AC_UY218_.jpg")</f>
        <v/>
      </c>
      <c r="K325" t="inlineStr">
        <is>
          <t>25.0</t>
        </is>
      </c>
      <c r="L325" t="n">
        <v>81.91</v>
      </c>
      <c r="M325" s="2" t="inlineStr">
        <is>
          <t>227.64%</t>
        </is>
      </c>
      <c r="N325" t="n">
        <v>4.5</v>
      </c>
      <c r="O325" t="n">
        <v>11</v>
      </c>
      <c r="Q325" t="inlineStr">
        <is>
          <t>InStock</t>
        </is>
      </c>
      <c r="R325" t="inlineStr">
        <is>
          <t>39.95</t>
        </is>
      </c>
      <c r="S325" t="inlineStr">
        <is>
          <t>1509593668</t>
        </is>
      </c>
    </row>
    <row r="326" ht="75" customHeight="1">
      <c r="A326" s="1">
        <f>HYPERLINK("https://www.mountainside-medical.com/collections/cosmetic-surgery-and-aesthetics-supplies/products/gauze-sponges-4-x-4-non-sterile-200-bag", "https://www.mountainside-medical.com/collections/cosmetic-surgery-and-aesthetics-supplies/products/gauze-sponges-4-x-4-non-sterile-200-bag")</f>
        <v/>
      </c>
      <c r="B326" s="1">
        <f>HYPERLINK("https://www.mountainside-medical.com/products/gauze-sponges-4-x-4-non-sterile-200-bag", "https://www.mountainside-medical.com/products/gauze-sponges-4-x-4-non-sterile-200-bag")</f>
        <v/>
      </c>
      <c r="C326" t="inlineStr">
        <is>
          <t>Dynarex Non-Sterile Gauze Sponges 8-Ply, 200/Bag</t>
        </is>
      </c>
      <c r="D326" t="inlineStr">
        <is>
          <t>Dynarex Non-Woven Sponges, Non-Sterile, 3" x 3", 4 Ply, 5 Bags of 200</t>
        </is>
      </c>
      <c r="E326" s="1">
        <f>HYPERLINK("https://www.amazon.com/Dynarex-Non-Woven-Sponges-Non-Sterile-Bags/dp/B000BI1Z7S/ref=sr_1_2?keywords=Dynarex+Non-Sterile+Gauze+Sponges+8-Ply%2C+200%2FBag&amp;qid=1695764284&amp;sr=8-2", "https://www.amazon.com/Dynarex-Non-Woven-Sponges-Non-Sterile-Bags/dp/B000BI1Z7S/ref=sr_1_2?keywords=Dynarex+Non-Sterile+Gauze+Sponges+8-Ply%2C+200%2FBag&amp;qid=1695764284&amp;sr=8-2")</f>
        <v/>
      </c>
      <c r="F326" t="inlineStr">
        <is>
          <t>B000BI1Z7S</t>
        </is>
      </c>
      <c r="G326">
        <f>_xlfn.IMAGE("https://www.mountainside-medical.com/cdn/shop/products/Dynarex-Gauze-Sponges_-Non-Sterile-8-Ply.jpg?v=1675190447")</f>
        <v/>
      </c>
      <c r="H326">
        <f>_xlfn.IMAGE("https://m.media-amazon.com/images/I/41slK8MCqZL._AC_UY218_.jpg")</f>
        <v/>
      </c>
      <c r="K326" t="inlineStr">
        <is>
          <t>2.3</t>
        </is>
      </c>
      <c r="L326" t="n">
        <v>20.69</v>
      </c>
      <c r="M326" s="2" t="inlineStr">
        <is>
          <t>799.57%</t>
        </is>
      </c>
      <c r="N326" t="n">
        <v>5</v>
      </c>
      <c r="O326" t="n">
        <v>4</v>
      </c>
      <c r="Q326" t="inlineStr">
        <is>
          <t>InStock</t>
        </is>
      </c>
      <c r="R326" t="inlineStr">
        <is>
          <t>4.95</t>
        </is>
      </c>
      <c r="S326" t="inlineStr">
        <is>
          <t>1509749060</t>
        </is>
      </c>
    </row>
    <row r="327" ht="75" customHeight="1">
      <c r="A327" s="1">
        <f>HYPERLINK("https://www.mountainside-medical.com/collections/cosmetic-surgery-and-aesthetics-supplies/products/hibiclens-antiseptic-antimicrobial-skin-cleanser-4-oz", "https://www.mountainside-medical.com/collections/cosmetic-surgery-and-aesthetics-supplies/products/hibiclens-antiseptic-antimicrobial-skin-cleanser-4-oz")</f>
        <v/>
      </c>
      <c r="B327" s="1">
        <f>HYPERLINK("https://www.mountainside-medical.com/products/hibiclens-antiseptic-antimicrobial-skin-cleanser-4-oz", "https://www.mountainside-medical.com/products/hibiclens-antiseptic-antimicrobial-skin-cleanser-4-oz")</f>
        <v/>
      </c>
      <c r="C327" t="inlineStr">
        <is>
          <t>Hibiclens Antimicrobial Skin Antiseptic Cleanser 4 oz</t>
        </is>
      </c>
      <c r="D327" t="inlineStr">
        <is>
          <t>Hibiclens – Antimicrobial and Antiseptic Soap and Skin Cleanser – 32 oz – for Home and Hospital – 4% CHG</t>
        </is>
      </c>
      <c r="E327" s="1">
        <f>HYPERLINK("https://www.amazon.com/Hibiclens-Antimicrobial-Antiseptic-Cleanser-Cleansing/dp/B00EV1D79A/ref=sr_1_8?keywords=Hibiclens+Antimicrobial+Skin+Antiseptic+Cleanser+4+oz&amp;qid=1695764275&amp;sr=8-8", "https://www.amazon.com/Hibiclens-Antimicrobial-Antiseptic-Cleanser-Cleansing/dp/B00EV1D79A/ref=sr_1_8?keywords=Hibiclens+Antimicrobial+Skin+Antiseptic+Cleanser+4+oz&amp;qid=1695764275&amp;sr=8-8")</f>
        <v/>
      </c>
      <c r="F327" t="inlineStr">
        <is>
          <t>B00EV1D79A</t>
        </is>
      </c>
      <c r="G327">
        <f>_xlfn.IMAGE("https://www.mountainside-medical.com/cdn/shop/products/HibiclensAntisepticAntimicrobialSkinCleanser4oz.jpg?v=1600364270")</f>
        <v/>
      </c>
      <c r="H327">
        <f>_xlfn.IMAGE("https://m.media-amazon.com/images/I/71F+CcZ9VgL._AC_UL320_.jpg")</f>
        <v/>
      </c>
      <c r="K327" t="inlineStr">
        <is>
          <t>4.25</t>
        </is>
      </c>
      <c r="L327" t="n">
        <v>16.58</v>
      </c>
      <c r="M327" s="2" t="inlineStr">
        <is>
          <t>290.12%</t>
        </is>
      </c>
      <c r="N327" t="n">
        <v>4.7</v>
      </c>
      <c r="O327" t="n">
        <v>23838</v>
      </c>
      <c r="Q327" t="inlineStr">
        <is>
          <t>InStock</t>
        </is>
      </c>
      <c r="R327" t="inlineStr">
        <is>
          <t>9.95</t>
        </is>
      </c>
      <c r="S327" t="inlineStr">
        <is>
          <t>1509193604</t>
        </is>
      </c>
    </row>
    <row r="328" ht="75" customHeight="1">
      <c r="A328" s="1">
        <f>HYPERLINK("https://www.mountainside-medical.com/collections/cosmetic-surgery-and-aesthetics-supplies/products/hibiclens-antiseptic-antimicrobial-skin-cleanser-4-oz", "https://www.mountainside-medical.com/collections/cosmetic-surgery-and-aesthetics-supplies/products/hibiclens-antiseptic-antimicrobial-skin-cleanser-4-oz")</f>
        <v/>
      </c>
      <c r="B328" s="1">
        <f>HYPERLINK("https://www.mountainside-medical.com/products/hibiclens-antiseptic-antimicrobial-skin-cleanser-4-oz", "https://www.mountainside-medical.com/products/hibiclens-antiseptic-antimicrobial-skin-cleanser-4-oz")</f>
        <v/>
      </c>
      <c r="C328" t="inlineStr">
        <is>
          <t>Hibiclens Antimicrobial Skin Antiseptic Cleanser 4 oz</t>
        </is>
      </c>
      <c r="D328" t="inlineStr">
        <is>
          <t>Hibiclens – Antimicrobial, Antiseptic Soap and Skin Cleanser – Foaming Pump Included – 16 oz – for Home and Hospital – 4% CHG</t>
        </is>
      </c>
      <c r="E328" s="1">
        <f>HYPERLINK("https://www.amazon.com/Hibiclens-Antimicrobial-Antiseptic-Cleanser-Cleansing/dp/B00EV18F5G/ref=sr_1_5?keywords=Hibiclens+Antimicrobial+Skin+Antiseptic+Cleanser+4+oz&amp;qid=1695764275&amp;sr=8-5", "https://www.amazon.com/Hibiclens-Antimicrobial-Antiseptic-Cleanser-Cleansing/dp/B00EV18F5G/ref=sr_1_5?keywords=Hibiclens+Antimicrobial+Skin+Antiseptic+Cleanser+4+oz&amp;qid=1695764275&amp;sr=8-5")</f>
        <v/>
      </c>
      <c r="F328" t="inlineStr">
        <is>
          <t>B00EV18F5G</t>
        </is>
      </c>
      <c r="G328">
        <f>_xlfn.IMAGE("https://www.mountainside-medical.com/cdn/shop/products/HibiclensAntisepticAntimicrobialSkinCleanser4oz.jpg?v=1600364270")</f>
        <v/>
      </c>
      <c r="H328">
        <f>_xlfn.IMAGE("https://m.media-amazon.com/images/I/81PjR4CzJvL._AC_UL320_.jpg")</f>
        <v/>
      </c>
      <c r="K328" t="inlineStr">
        <is>
          <t>4.25</t>
        </is>
      </c>
      <c r="L328" t="n">
        <v>16.4</v>
      </c>
      <c r="M328" s="2" t="inlineStr">
        <is>
          <t>285.88%</t>
        </is>
      </c>
      <c r="N328" t="n">
        <v>4.8</v>
      </c>
      <c r="O328" t="n">
        <v>4054</v>
      </c>
      <c r="Q328" t="inlineStr">
        <is>
          <t>InStock</t>
        </is>
      </c>
      <c r="R328" t="inlineStr">
        <is>
          <t>9.95</t>
        </is>
      </c>
      <c r="S328" t="inlineStr">
        <is>
          <t>1509193604</t>
        </is>
      </c>
    </row>
    <row r="329" ht="75" customHeight="1">
      <c r="A329" s="1">
        <f>HYPERLINK("https://www.mountainside-medical.com/collections/cosmetic-surgery-and-aesthetics-supplies/products/isolation-gown-yellow-with-full-back-50-case", "https://www.mountainside-medical.com/collections/cosmetic-surgery-and-aesthetics-supplies/products/isolation-gown-yellow-with-full-back-50-case")</f>
        <v/>
      </c>
      <c r="B329" s="1">
        <f>HYPERLINK("https://www.mountainside-medical.com/products/isolation-gown-yellow-with-full-back-50-case", "https://www.mountainside-medical.com/products/isolation-gown-yellow-with-full-back-50-case")</f>
        <v/>
      </c>
      <c r="C329" t="inlineStr">
        <is>
          <t>Isolation Gown Yellow with Full Back 50/case</t>
        </is>
      </c>
      <c r="D329" t="inlineStr">
        <is>
          <t>RightCare Disposable Isolation Gown Non-Medical 25gsm, Universal, Yellow, Open Back with Elastic Cuffs, Case of 100</t>
        </is>
      </c>
      <c r="E329" s="1">
        <f>HYPERLINK("https://www.amazon.com/RightCare-Disposable-Isolation-Non-Medical-Elastic/dp/B08KGQPV21/ref=sr_1_2?keywords=Isolation+Gown+Yellow+with+Full+Back+50%2Fcase&amp;qid=1695764269&amp;sr=8-2", "https://www.amazon.com/RightCare-Disposable-Isolation-Non-Medical-Elastic/dp/B08KGQPV21/ref=sr_1_2?keywords=Isolation+Gown+Yellow+with+Full+Back+50%2Fcase&amp;qid=1695764269&amp;sr=8-2")</f>
        <v/>
      </c>
      <c r="F329" t="inlineStr">
        <is>
          <t>B08KGQPV21</t>
        </is>
      </c>
      <c r="G329">
        <f>_xlfn.IMAGE("https://www.mountainside-medical.com/cdn/shop/products/Isolsation-Gown.jpg?v=1620308391")</f>
        <v/>
      </c>
      <c r="H329">
        <f>_xlfn.IMAGE("https://m.media-amazon.com/images/I/51FgITYMrML._AC_UY218_.jpg")</f>
        <v/>
      </c>
      <c r="K329" t="inlineStr">
        <is>
          <t>28.0</t>
        </is>
      </c>
      <c r="L329" t="n">
        <v>84.98999999999999</v>
      </c>
      <c r="M329" s="2" t="inlineStr">
        <is>
          <t>203.54%</t>
        </is>
      </c>
      <c r="N329" t="n">
        <v>5</v>
      </c>
      <c r="O329" t="n">
        <v>4</v>
      </c>
      <c r="Q329" t="inlineStr">
        <is>
          <t>InStock</t>
        </is>
      </c>
      <c r="R329" t="inlineStr">
        <is>
          <t>undefined</t>
        </is>
      </c>
      <c r="S329" t="inlineStr">
        <is>
          <t>1508972612</t>
        </is>
      </c>
    </row>
    <row r="330" ht="75" customHeight="1">
      <c r="A330" s="1">
        <f>HYPERLINK("https://www.mountainside-medical.com/collections/cosmetic-surgery-and-aesthetics-supplies/products/junior-wooden-tongue-depressors-100-box", "https://www.mountainside-medical.com/collections/cosmetic-surgery-and-aesthetics-supplies/products/junior-wooden-tongue-depressors-100-box")</f>
        <v/>
      </c>
      <c r="B330" s="1">
        <f>HYPERLINK("https://www.mountainside-medical.com/products/junior-wooden-tongue-depressors-100-box", "https://www.mountainside-medical.com/products/junior-wooden-tongue-depressors-100-box")</f>
        <v/>
      </c>
      <c r="C330" t="inlineStr">
        <is>
          <t>Junior Wooden Tongue Depressors 100/Box</t>
        </is>
      </c>
      <c r="D330" t="inlineStr">
        <is>
          <t>Dynarex Tongue Depressors, Sterile, 5.5" Junior-Sized Length, For Mouth Checkups, Crafts, or Waxing, Made from Beige Birch Wood, Comes in Boxes of 100, 1 Case of 1000 Dynarex Tongue Depressors</t>
        </is>
      </c>
      <c r="E330" s="1">
        <f>HYPERLINK("https://www.amazon.com/Dynarex-Tongue-Depressors-Sterile-Junior/dp/B005EDWUII/ref=sr_1_2?keywords=Junior+Wooden+Tongue+Depressors+100%2FBox&amp;qid=1695764286&amp;sr=8-2", "https://www.amazon.com/Dynarex-Tongue-Depressors-Sterile-Junior/dp/B005EDWUII/ref=sr_1_2?keywords=Junior+Wooden+Tongue+Depressors+100%2FBox&amp;qid=1695764286&amp;sr=8-2")</f>
        <v/>
      </c>
      <c r="F330" t="inlineStr">
        <is>
          <t>B005EDWUII</t>
        </is>
      </c>
      <c r="G330">
        <f>_xlfn.IMAGE("https://www.mountainside-medical.com/cdn/shop/products/junior-tongue-depressor.jpeg?v=1600366326")</f>
        <v/>
      </c>
      <c r="H330">
        <f>_xlfn.IMAGE("https://m.media-amazon.com/images/I/71F6DM8pe2L._AC_UY218_.jpg")</f>
        <v/>
      </c>
      <c r="K330" t="inlineStr">
        <is>
          <t>4.99</t>
        </is>
      </c>
      <c r="L330" t="n">
        <v>48.99</v>
      </c>
      <c r="M330" s="2" t="inlineStr">
        <is>
          <t>881.76%</t>
        </is>
      </c>
      <c r="N330" t="n">
        <v>4.7</v>
      </c>
      <c r="O330" t="n">
        <v>5</v>
      </c>
      <c r="Q330" t="inlineStr">
        <is>
          <t>InStock</t>
        </is>
      </c>
      <c r="R330" t="inlineStr">
        <is>
          <t>5.49</t>
        </is>
      </c>
      <c r="S330" t="inlineStr">
        <is>
          <t>1595048964</t>
        </is>
      </c>
    </row>
    <row r="331" ht="75" customHeight="1">
      <c r="A331" s="1">
        <f>HYPERLINK("https://www.mountainside-medical.com/collections/cosmetic-surgery-and-aesthetics-supplies/products/kimberly-clark-lavender-powder-free-nitrile-gloves", "https://www.mountainside-medical.com/collections/cosmetic-surgery-and-aesthetics-supplies/products/kimberly-clark-lavender-powder-free-nitrile-gloves")</f>
        <v/>
      </c>
      <c r="B331" s="1">
        <f>HYPERLINK("https://www.mountainside-medical.com/products/kimberly-clark-lavender-powder-free-nitrile-gloves", "https://www.mountainside-medical.com/products/kimberly-clark-lavender-powder-free-nitrile-gloves")</f>
        <v/>
      </c>
      <c r="C331" t="inlineStr">
        <is>
          <t>Lavender Nitrile Exam Gloves Halyard, 250/Box</t>
        </is>
      </c>
      <c r="D331" t="inlineStr">
        <is>
          <t>Halyard Health 52818 Nitrile Exam Glove, Non-Sterile, 9.5" Length, Medium, Lavender (10 Boxes of 250, 2500 Total)</t>
        </is>
      </c>
      <c r="E331" s="1">
        <f>HYPERLINK("https://www.amazon.com/Halyard-Health-52818-Non-Sterile-Lavender/dp/B0196JFV7W/ref=sr_1_3?keywords=Lavender+Nitrile+Exam+Gloves+Halyard%2C+250%2FBox&amp;qid=1695764263&amp;sr=8-3", "https://www.amazon.com/Halyard-Health-52818-Non-Sterile-Lavender/dp/B0196JFV7W/ref=sr_1_3?keywords=Lavender+Nitrile+Exam+Gloves+Halyard%2C+250%2FBox&amp;qid=1695764263&amp;sr=8-3")</f>
        <v/>
      </c>
      <c r="F331" t="inlineStr">
        <is>
          <t>B0196JFV7W</t>
        </is>
      </c>
      <c r="G331">
        <f>_xlfn.IMAGE("https://www.mountainside-medical.com/cdn/shop/products/Halyard-Lavender-Nitrile-Exam-Gloves.jpg?v=1666958993")</f>
        <v/>
      </c>
      <c r="H331">
        <f>_xlfn.IMAGE("https://m.media-amazon.com/images/I/71tDeige8AL._AC_UY218_.jpg")</f>
        <v/>
      </c>
      <c r="K331" t="inlineStr">
        <is>
          <t>29.95</t>
        </is>
      </c>
      <c r="L331" t="n">
        <v>145.45</v>
      </c>
      <c r="M331" s="2" t="inlineStr">
        <is>
          <t>385.64%</t>
        </is>
      </c>
      <c r="N331" t="n">
        <v>5</v>
      </c>
      <c r="O331" t="n">
        <v>7</v>
      </c>
      <c r="Q331" t="inlineStr">
        <is>
          <t>InStock</t>
        </is>
      </c>
      <c r="R331" t="inlineStr">
        <is>
          <t>undefined</t>
        </is>
      </c>
      <c r="S331" t="inlineStr">
        <is>
          <t>1509242436</t>
        </is>
      </c>
    </row>
    <row r="332" ht="75" customHeight="1">
      <c r="A332" s="1">
        <f>HYPERLINK("https://www.mountainside-medical.com/collections/cosmetic-surgery-and-aesthetics-supplies/products/nitriderm-sterile-powder-free-nitrile-gloves", "https://www.mountainside-medical.com/collections/cosmetic-surgery-and-aesthetics-supplies/products/nitriderm-sterile-powder-free-nitrile-gloves")</f>
        <v/>
      </c>
      <c r="B332" s="1">
        <f>HYPERLINK("https://www.mountainside-medical.com/products/nitriderm-sterile-powder-free-nitrile-gloves", "https://www.mountainside-medical.com/products/nitriderm-sterile-powder-free-nitrile-gloves")</f>
        <v/>
      </c>
      <c r="C332" t="inlineStr">
        <is>
          <t>NitriDerm Sterile Powder Free Nitrile Gloves</t>
        </is>
      </c>
      <c r="D332" t="inlineStr">
        <is>
          <t>Medpride Medical Examination Nitrile Gloves|Large Case of 2000| Blue, Latex/Powder-Free, Non-Sterile Exam Gloves| Professional Grade for Hospitals, Law Enforcement, Tattoo Artists, First Response</t>
        </is>
      </c>
      <c r="E332" s="1">
        <f>HYPERLINK("https://www.amazon.com/Examination-Powder-Free-Non-Sterile-Professional-Enforcement/dp/B078MTQRP1/ref=sr_1_6?keywords=NitriDerm+Sterile+Powder+Free+Nitrile+Gloves&amp;qid=1695764266&amp;sr=8-6", "https://www.amazon.com/Examination-Powder-Free-Non-Sterile-Professional-Enforcement/dp/B078MTQRP1/ref=sr_1_6?keywords=NitriDerm+Sterile+Powder+Free+Nitrile+Gloves&amp;qid=1695764266&amp;sr=8-6")</f>
        <v/>
      </c>
      <c r="F332" t="inlineStr">
        <is>
          <t>B078MTQRP1</t>
        </is>
      </c>
      <c r="G332">
        <f>_xlfn.IMAGE("https://www.mountainside-medical.com/cdn/shop/products/sterile-nitrile-gloves-purple.jpg?v=1669138574")</f>
        <v/>
      </c>
      <c r="H332">
        <f>_xlfn.IMAGE("https://m.media-amazon.com/images/I/71SnkXFpzNL._AC_UY218_.jpg")</f>
        <v/>
      </c>
      <c r="K332" t="inlineStr">
        <is>
          <t>27.0</t>
        </is>
      </c>
      <c r="L332" t="n">
        <v>119.99</v>
      </c>
      <c r="M332" s="2" t="inlineStr">
        <is>
          <t>344.41%</t>
        </is>
      </c>
      <c r="N332" t="n">
        <v>4.6</v>
      </c>
      <c r="O332" t="n">
        <v>7675</v>
      </c>
      <c r="Q332" t="inlineStr">
        <is>
          <t>InStock</t>
        </is>
      </c>
      <c r="R332" t="inlineStr">
        <is>
          <t>39.95</t>
        </is>
      </c>
      <c r="S332" t="inlineStr">
        <is>
          <t>1594228292</t>
        </is>
      </c>
    </row>
    <row r="333" ht="75" customHeight="1">
      <c r="A333" s="1">
        <f>HYPERLINK("https://www.mountainside-medical.com/collections/cosmetic-surgery-and-aesthetics-supplies/products/nitrile-gloves-powder-free-blue", "https://www.mountainside-medical.com/collections/cosmetic-surgery-and-aesthetics-supplies/products/nitrile-gloves-powder-free-blue")</f>
        <v/>
      </c>
      <c r="B333" s="1">
        <f>HYPERLINK("https://www.mountainside-medical.com/products/nitrile-gloves-powder-free-blue", "https://www.mountainside-medical.com/products/nitrile-gloves-powder-free-blue")</f>
        <v/>
      </c>
      <c r="C333" t="inlineStr">
        <is>
          <t>Dynarex Blue Nitrile Gloves, Powder Free 100/Box</t>
        </is>
      </c>
      <c r="D333" t="inlineStr">
        <is>
          <t>Dynarex Safe-Touch Disposable Nitrile Exam Gloves, Powder-Free, Latex-Free, Touchscreen Friendly &amp; Used by Professionals, Blue, X-Large, 1 Case - 10 Boxes of 100 Gloves</t>
        </is>
      </c>
      <c r="E333" s="1">
        <f>HYPERLINK("https://www.amazon.com/Dynarex-Nitrile-Glove-non-latex-Powder/dp/B005X0TWBU/ref=sr_1_7?keywords=Dynarex+Blue+Nitrile+Gloves%2C+Powder+Free+100%2FBox&amp;qid=1695764262&amp;sr=8-7", "https://www.amazon.com/Dynarex-Nitrile-Glove-non-latex-Powder/dp/B005X0TWBU/ref=sr_1_7?keywords=Dynarex+Blue+Nitrile+Gloves%2C+Powder+Free+100%2FBox&amp;qid=1695764262&amp;sr=8-7")</f>
        <v/>
      </c>
      <c r="F333" t="inlineStr">
        <is>
          <t>B005X0TWBU</t>
        </is>
      </c>
      <c r="G333">
        <f>_xlfn.IMAGE("https://www.mountainside-medical.com/cdn/shop/products/nitrile-glove-blue-dynarex.jpeg?v=1623327334")</f>
        <v/>
      </c>
      <c r="H333">
        <f>_xlfn.IMAGE("https://m.media-amazon.com/images/I/71605BoR8mL._AC_UY218_.jpg")</f>
        <v/>
      </c>
      <c r="K333" t="inlineStr">
        <is>
          <t>9.0</t>
        </is>
      </c>
      <c r="L333" t="n">
        <v>139</v>
      </c>
      <c r="M333" s="2" t="inlineStr">
        <is>
          <t>1444.44%</t>
        </is>
      </c>
      <c r="N333" t="n">
        <v>4.2</v>
      </c>
      <c r="O333" t="n">
        <v>17</v>
      </c>
      <c r="Q333" t="inlineStr">
        <is>
          <t>InStock</t>
        </is>
      </c>
      <c r="R333" t="inlineStr">
        <is>
          <t>undefined</t>
        </is>
      </c>
      <c r="S333" t="inlineStr">
        <is>
          <t>1594571204</t>
        </is>
      </c>
    </row>
    <row r="334" ht="75" customHeight="1">
      <c r="A334" s="1">
        <f>HYPERLINK("https://www.mountainside-medical.com/collections/cosmetic-surgery-and-aesthetics-supplies/products/nitrile-gloves-powder-free-blue", "https://www.mountainside-medical.com/collections/cosmetic-surgery-and-aesthetics-supplies/products/nitrile-gloves-powder-free-blue")</f>
        <v/>
      </c>
      <c r="B334" s="1">
        <f>HYPERLINK("https://www.mountainside-medical.com/products/nitrile-gloves-powder-free-blue", "https://www.mountainside-medical.com/products/nitrile-gloves-powder-free-blue")</f>
        <v/>
      </c>
      <c r="C334" t="inlineStr">
        <is>
          <t>Dynarex Blue Nitrile Gloves, Powder Free 100/Box</t>
        </is>
      </c>
      <c r="D334" t="inlineStr">
        <is>
          <t>Dynarex Safe-Touch Disposable Nitrile Exam Gloves, Powder-Free, Latex-Free, Touchscreen Friendly, Blue, Extra-Large, 1 Case - 10 Boxes of 100 Gloves</t>
        </is>
      </c>
      <c r="E334" s="1">
        <f>HYPERLINK("https://www.amazon.com/Dynarex-Nitrile-Glove-non-latex-Powder/dp/B000VAKC8E/ref=sr_1_3?keywords=Dynarex+Blue+Nitrile+Gloves%2C+Powder+Free+100%2FBox&amp;qid=1695764262&amp;sr=8-3", "https://www.amazon.com/Dynarex-Nitrile-Glove-non-latex-Powder/dp/B000VAKC8E/ref=sr_1_3?keywords=Dynarex+Blue+Nitrile+Gloves%2C+Powder+Free+100%2FBox&amp;qid=1695764262&amp;sr=8-3")</f>
        <v/>
      </c>
      <c r="F334" t="inlineStr">
        <is>
          <t>B000VAKC8E</t>
        </is>
      </c>
      <c r="G334">
        <f>_xlfn.IMAGE("https://www.mountainside-medical.com/cdn/shop/products/nitrile-glove-blue-dynarex.jpeg?v=1623327334")</f>
        <v/>
      </c>
      <c r="H334">
        <f>_xlfn.IMAGE("https://m.media-amazon.com/images/I/71605BoR8mL._AC_UY218_.jpg")</f>
        <v/>
      </c>
      <c r="K334" t="inlineStr">
        <is>
          <t>9.0</t>
        </is>
      </c>
      <c r="L334" t="n">
        <v>90</v>
      </c>
      <c r="M334" s="2" t="inlineStr">
        <is>
          <t>900.00%</t>
        </is>
      </c>
      <c r="N334" t="n">
        <v>4.7</v>
      </c>
      <c r="O334" t="n">
        <v>59</v>
      </c>
      <c r="Q334" t="inlineStr">
        <is>
          <t>InStock</t>
        </is>
      </c>
      <c r="R334" t="inlineStr">
        <is>
          <t>undefined</t>
        </is>
      </c>
      <c r="S334" t="inlineStr">
        <is>
          <t>1594571204</t>
        </is>
      </c>
    </row>
    <row r="335" ht="75" customHeight="1">
      <c r="A335" s="1">
        <f>HYPERLINK("https://www.mountainside-medical.com/collections/cosmetic-surgery-and-aesthetics-supplies/products/nitrile-gloves-powder-free-blue", "https://www.mountainside-medical.com/collections/cosmetic-surgery-and-aesthetics-supplies/products/nitrile-gloves-powder-free-blue")</f>
        <v/>
      </c>
      <c r="B335" s="1">
        <f>HYPERLINK("https://www.mountainside-medical.com/products/nitrile-gloves-powder-free-blue", "https://www.mountainside-medical.com/products/nitrile-gloves-powder-free-blue")</f>
        <v/>
      </c>
      <c r="C335" t="inlineStr">
        <is>
          <t>Dynarex Blue Nitrile Gloves, Powder Free 100/Box</t>
        </is>
      </c>
      <c r="D335" t="inlineStr">
        <is>
          <t>Dynarex True Advantage Nitrile Exam Gloves, Chemo Approved, Powder-Free &amp; Latex-Free, Comfortable Fit with Best Protection, Purple, Medium, 1 Box of 100 Gloves</t>
        </is>
      </c>
      <c r="E335" s="1">
        <f>HYPERLINK("https://www.amazon.com/Dynarex-Powder-Free-Latex-Free-Comfortable-Protection/dp/B005NHBKXQ/ref=sr_1_10?keywords=Dynarex+Blue+Nitrile+Gloves%2C+Powder+Free+100%2FBox&amp;qid=1695764262&amp;sr=8-10", "https://www.amazon.com/Dynarex-Powder-Free-Latex-Free-Comfortable-Protection/dp/B005NHBKXQ/ref=sr_1_10?keywords=Dynarex+Blue+Nitrile+Gloves%2C+Powder+Free+100%2FBox&amp;qid=1695764262&amp;sr=8-10")</f>
        <v/>
      </c>
      <c r="F335" t="inlineStr">
        <is>
          <t>B005NHBKXQ</t>
        </is>
      </c>
      <c r="G335">
        <f>_xlfn.IMAGE("https://www.mountainside-medical.com/cdn/shop/products/nitrile-glove-blue-dynarex.jpeg?v=1623327334")</f>
        <v/>
      </c>
      <c r="H335">
        <f>_xlfn.IMAGE("https://m.media-amazon.com/images/I/7156hgC-hyL._AC_UY218_.jpg")</f>
        <v/>
      </c>
      <c r="K335" t="inlineStr">
        <is>
          <t>9.0</t>
        </is>
      </c>
      <c r="L335" t="n">
        <v>28.99</v>
      </c>
      <c r="M335" s="2" t="inlineStr">
        <is>
          <t>222.11%</t>
        </is>
      </c>
      <c r="N335" t="n">
        <v>4.6</v>
      </c>
      <c r="O335" t="n">
        <v>10</v>
      </c>
      <c r="Q335" t="inlineStr">
        <is>
          <t>InStock</t>
        </is>
      </c>
      <c r="R335" t="inlineStr">
        <is>
          <t>undefined</t>
        </is>
      </c>
      <c r="S335" t="inlineStr">
        <is>
          <t>1594571204</t>
        </is>
      </c>
    </row>
    <row r="336" ht="75" customHeight="1">
      <c r="A336" s="1">
        <f>HYPERLINK("https://www.mountainside-medical.com/collections/cosmetic-surgery-and-aesthetics-supplies/products/nitrile-gloves-powder-free-blue", "https://www.mountainside-medical.com/collections/cosmetic-surgery-and-aesthetics-supplies/products/nitrile-gloves-powder-free-blue")</f>
        <v/>
      </c>
      <c r="B336" s="1">
        <f>HYPERLINK("https://www.mountainside-medical.com/products/nitrile-gloves-powder-free-blue", "https://www.mountainside-medical.com/products/nitrile-gloves-powder-free-blue")</f>
        <v/>
      </c>
      <c r="C336" t="inlineStr">
        <is>
          <t>Dynarex Blue Nitrile Gloves, Powder Free 100/Box</t>
        </is>
      </c>
      <c r="D336" t="inlineStr">
        <is>
          <t>Dynarex DynaPlus Disposable Nitrile Exam Gloves, Powder-Free, Latex-Free, Strength + Value, Used by Professionals, Blue, Large, 1 Box of 200</t>
        </is>
      </c>
      <c r="E336" s="1">
        <f>HYPERLINK("https://www.amazon.com/Dynarex-Disposable-Powder-Free-Latex-Free-Professionals/dp/B00C5KAY04/ref=sr_1_5?keywords=Dynarex+Blue+Nitrile+Gloves%2C+Powder+Free+100%2FBox&amp;qid=1695764262&amp;sr=8-5", "https://www.amazon.com/Dynarex-Disposable-Powder-Free-Latex-Free-Professionals/dp/B00C5KAY04/ref=sr_1_5?keywords=Dynarex+Blue+Nitrile+Gloves%2C+Powder+Free+100%2FBox&amp;qid=1695764262&amp;sr=8-5")</f>
        <v/>
      </c>
      <c r="F336" t="inlineStr">
        <is>
          <t>B00C5KAY04</t>
        </is>
      </c>
      <c r="G336">
        <f>_xlfn.IMAGE("https://www.mountainside-medical.com/cdn/shop/products/nitrile-glove-blue-dynarex.jpeg?v=1623327334")</f>
        <v/>
      </c>
      <c r="H336">
        <f>_xlfn.IMAGE("https://m.media-amazon.com/images/I/61xcoRQ5wYL._AC_UY218_.jpg")</f>
        <v/>
      </c>
      <c r="K336" t="inlineStr">
        <is>
          <t>9.0</t>
        </is>
      </c>
      <c r="L336" t="n">
        <v>26.99</v>
      </c>
      <c r="M336" s="2" t="inlineStr">
        <is>
          <t>199.89%</t>
        </is>
      </c>
      <c r="N336" t="n">
        <v>4.4</v>
      </c>
      <c r="O336" t="n">
        <v>176</v>
      </c>
      <c r="Q336" t="inlineStr">
        <is>
          <t>InStock</t>
        </is>
      </c>
      <c r="R336" t="inlineStr">
        <is>
          <t>undefined</t>
        </is>
      </c>
      <c r="S336" t="inlineStr">
        <is>
          <t>1594571204</t>
        </is>
      </c>
    </row>
    <row r="337" ht="75" customHeight="1">
      <c r="A337" s="1">
        <f>HYPERLINK("https://www.mountainside-medical.com/collections/cosmetic-surgery-and-aesthetics-supplies/products/nitrile-gloves-powder-free-blue", "https://www.mountainside-medical.com/collections/cosmetic-surgery-and-aesthetics-supplies/products/nitrile-gloves-powder-free-blue")</f>
        <v/>
      </c>
      <c r="B337" s="1">
        <f>HYPERLINK("https://www.mountainside-medical.com/products/nitrile-gloves-powder-free-blue", "https://www.mountainside-medical.com/products/nitrile-gloves-powder-free-blue")</f>
        <v/>
      </c>
      <c r="C337" t="inlineStr">
        <is>
          <t>Dynarex Blue Nitrile Gloves, Powder Free 100/Box</t>
        </is>
      </c>
      <c r="D337" t="inlineStr">
        <is>
          <t>Dynarex Safe-Touch Black Disposable Nitrile Exam Gloves, Powder-Free, Used in Healthcare and Professional Settings, Law Enforcement, Tattoo, Salon or Spa, Small, 1 Box of 100 Gloves</t>
        </is>
      </c>
      <c r="E337" s="1">
        <f>HYPERLINK("https://www.amazon.com/Safe-Touch-Disposable-Powder-Free-Professional-Enforcement/dp/B00L5GK792/ref=sr_1_8?keywords=Dynarex+Blue+Nitrile+Gloves%2C+Powder+Free+100%2FBox&amp;qid=1695764262&amp;sr=8-8", "https://www.amazon.com/Safe-Touch-Disposable-Powder-Free-Professional-Enforcement/dp/B00L5GK792/ref=sr_1_8?keywords=Dynarex+Blue+Nitrile+Gloves%2C+Powder+Free+100%2FBox&amp;qid=1695764262&amp;sr=8-8")</f>
        <v/>
      </c>
      <c r="F337" t="inlineStr">
        <is>
          <t>B00L5GK792</t>
        </is>
      </c>
      <c r="G337">
        <f>_xlfn.IMAGE("https://www.mountainside-medical.com/cdn/shop/products/nitrile-glove-blue-dynarex.jpeg?v=1623327334")</f>
        <v/>
      </c>
      <c r="H337">
        <f>_xlfn.IMAGE("https://m.media-amazon.com/images/I/618RDqx4K3L._AC_UY218_.jpg")</f>
        <v/>
      </c>
      <c r="K337" t="inlineStr">
        <is>
          <t>9.0</t>
        </is>
      </c>
      <c r="L337" t="n">
        <v>17.6</v>
      </c>
      <c r="M337" s="2" t="inlineStr">
        <is>
          <t>95.56%</t>
        </is>
      </c>
      <c r="N337" t="n">
        <v>4.1</v>
      </c>
      <c r="O337" t="n">
        <v>148</v>
      </c>
      <c r="Q337" t="inlineStr">
        <is>
          <t>InStock</t>
        </is>
      </c>
      <c r="R337" t="inlineStr">
        <is>
          <t>undefined</t>
        </is>
      </c>
      <c r="S337" t="inlineStr">
        <is>
          <t>1594571204</t>
        </is>
      </c>
    </row>
    <row r="338" ht="75" customHeight="1">
      <c r="A338" s="1">
        <f>HYPERLINK("https://www.mountainside-medical.com/collections/cosmetic-surgery-and-aesthetics-supplies/products/nitrile-gloves-powder-free-blue", "https://www.mountainside-medical.com/collections/cosmetic-surgery-and-aesthetics-supplies/products/nitrile-gloves-powder-free-blue")</f>
        <v/>
      </c>
      <c r="B338" s="1">
        <f>HYPERLINK("https://www.mountainside-medical.com/products/nitrile-gloves-powder-free-blue", "https://www.mountainside-medical.com/products/nitrile-gloves-powder-free-blue")</f>
        <v/>
      </c>
      <c r="C338" t="inlineStr">
        <is>
          <t>Dynarex Blue Nitrile Gloves, Powder Free 100/Box</t>
        </is>
      </c>
      <c r="D338" t="inlineStr">
        <is>
          <t>Dynarex Safe-Touch Black Disposable Nitrile Exam Gloves, Powder-Free, Used in Healthcare and Professional Settings, Law Enforcement, Tattoo, Salon or Spa, Medium, 1 Box of 100 Gloves</t>
        </is>
      </c>
      <c r="E338" s="1">
        <f>HYPERLINK("https://www.amazon.com/Dynarex-Black-Nitrile-Gloves-Powder/dp/B008TW27MK/ref=sr_1_4?keywords=Dynarex+Blue+Nitrile+Gloves%2C+Powder+Free+100%2FBox&amp;qid=1695764262&amp;sr=8-4", "https://www.amazon.com/Dynarex-Black-Nitrile-Gloves-Powder/dp/B008TW27MK/ref=sr_1_4?keywords=Dynarex+Blue+Nitrile+Gloves%2C+Powder+Free+100%2FBox&amp;qid=1695764262&amp;sr=8-4")</f>
        <v/>
      </c>
      <c r="F338" t="inlineStr">
        <is>
          <t>B008TW27MK</t>
        </is>
      </c>
      <c r="G338">
        <f>_xlfn.IMAGE("https://www.mountainside-medical.com/cdn/shop/products/nitrile-glove-blue-dynarex.jpeg?v=1623327334")</f>
        <v/>
      </c>
      <c r="H338">
        <f>_xlfn.IMAGE("https://m.media-amazon.com/images/I/61xpCI36itL._AC_UY218_.jpg")</f>
        <v/>
      </c>
      <c r="K338" t="inlineStr">
        <is>
          <t>9.0</t>
        </is>
      </c>
      <c r="L338" t="n">
        <v>16.99</v>
      </c>
      <c r="M338" s="2" t="inlineStr">
        <is>
          <t>88.78%</t>
        </is>
      </c>
      <c r="N338" t="n">
        <v>4.5</v>
      </c>
      <c r="O338" t="n">
        <v>3</v>
      </c>
      <c r="Q338" t="inlineStr">
        <is>
          <t>InStock</t>
        </is>
      </c>
      <c r="R338" t="inlineStr">
        <is>
          <t>undefined</t>
        </is>
      </c>
      <c r="S338" t="inlineStr">
        <is>
          <t>1594571204</t>
        </is>
      </c>
    </row>
    <row r="339" ht="75" customHeight="1">
      <c r="A339" s="1">
        <f>HYPERLINK("https://www.mountainside-medical.com/collections/cosmetic-surgery-and-aesthetics-supplies/products/nitrile-gloves-powder-free-blue", "https://www.mountainside-medical.com/collections/cosmetic-surgery-and-aesthetics-supplies/products/nitrile-gloves-powder-free-blue")</f>
        <v/>
      </c>
      <c r="B339" s="1">
        <f>HYPERLINK("https://www.mountainside-medical.com/products/nitrile-gloves-powder-free-blue", "https://www.mountainside-medical.com/products/nitrile-gloves-powder-free-blue")</f>
        <v/>
      </c>
      <c r="C339" t="inlineStr">
        <is>
          <t>Dynarex Blue Nitrile Gloves, Powder Free 100/Box</t>
        </is>
      </c>
      <c r="D339" t="inlineStr">
        <is>
          <t>Safe-Touch Non Sterile Blue Nitrile Exam Gloves, Non-Latex, Medium, Powder-Free, Box of 100</t>
        </is>
      </c>
      <c r="E339" s="1">
        <f>HYPERLINK("https://www.amazon.com/Safe-Touch-Sterile-Nitrile-Non-Latex-Powder-Free/dp/B000BI5EDO/ref=sr_1_6?keywords=Dynarex+Blue+Nitrile+Gloves%2C+Powder+Free+100%2FBox&amp;qid=1695764262&amp;sr=8-6", "https://www.amazon.com/Safe-Touch-Sterile-Nitrile-Non-Latex-Powder-Free/dp/B000BI5EDO/ref=sr_1_6?keywords=Dynarex+Blue+Nitrile+Gloves%2C+Powder+Free+100%2FBox&amp;qid=1695764262&amp;sr=8-6")</f>
        <v/>
      </c>
      <c r="F339" t="inlineStr">
        <is>
          <t>B000BI5EDO</t>
        </is>
      </c>
      <c r="G339">
        <f>_xlfn.IMAGE("https://www.mountainside-medical.com/cdn/shop/products/nitrile-glove-blue-dynarex.jpeg?v=1623327334")</f>
        <v/>
      </c>
      <c r="H339">
        <f>_xlfn.IMAGE("https://m.media-amazon.com/images/I/51skZ9JEioL._AC_UY218_.jpg")</f>
        <v/>
      </c>
      <c r="K339" t="inlineStr">
        <is>
          <t>9.0</t>
        </is>
      </c>
      <c r="L339" t="n">
        <v>16.25</v>
      </c>
      <c r="M339" s="2" t="inlineStr">
        <is>
          <t>80.56%</t>
        </is>
      </c>
      <c r="N339" t="n">
        <v>4.6</v>
      </c>
      <c r="O339" t="n">
        <v>11</v>
      </c>
      <c r="Q339" t="inlineStr">
        <is>
          <t>InStock</t>
        </is>
      </c>
      <c r="R339" t="inlineStr">
        <is>
          <t>undefined</t>
        </is>
      </c>
      <c r="S339" t="inlineStr">
        <is>
          <t>1594571204</t>
        </is>
      </c>
    </row>
    <row r="340" ht="75" customHeight="1">
      <c r="A340" s="1">
        <f>HYPERLINK("https://www.mountainside-medical.com/collections/cosmetic-surgery-and-aesthetics-supplies/products/povidone-iodine-swabsticks-antiseptic-swabsticks", "https://www.mountainside-medical.com/collections/cosmetic-surgery-and-aesthetics-supplies/products/povidone-iodine-swabsticks-antiseptic-swabsticks")</f>
        <v/>
      </c>
      <c r="B340" s="1">
        <f>HYPERLINK("https://www.mountainside-medical.com/products/povidone-iodine-swabsticks-antiseptic-swabsticks", "https://www.mountainside-medical.com/products/povidone-iodine-swabsticks-antiseptic-swabsticks")</f>
        <v/>
      </c>
      <c r="C340" t="inlineStr">
        <is>
          <t>Povidone Iodine Antiseptic Swabsticks</t>
        </is>
      </c>
      <c r="D340" t="inlineStr">
        <is>
          <t>Povidone Iodine Prep Pad, Medium Single Swabsticks/Each</t>
        </is>
      </c>
      <c r="E340" s="1">
        <f>HYPERLINK("https://www.amazon.com/Povidone-Iodine-Medium-Single-Swabsticks/dp/B009K1INOK/ref=sr_1_6?keywords=Povidone+Iodine+Antiseptic+Swabsticks&amp;qid=1695764276&amp;sr=8-6", "https://www.amazon.com/Povidone-Iodine-Medium-Single-Swabsticks/dp/B009K1INOK/ref=sr_1_6?keywords=Povidone+Iodine+Antiseptic+Swabsticks&amp;qid=1695764276&amp;sr=8-6")</f>
        <v/>
      </c>
      <c r="F340" t="inlineStr">
        <is>
          <t>B009K1INOK</t>
        </is>
      </c>
      <c r="G340">
        <f>_xlfn.IMAGE("https://www.mountainside-medical.com/cdn/shop/products/Povidone-Iodine-Antiseptic-Swabsticks.jpg?v=1649338963")</f>
        <v/>
      </c>
      <c r="H340">
        <f>_xlfn.IMAGE("https://m.media-amazon.com/images/I/41MkjzLc8VL._AC_UL320_.jpg")</f>
        <v/>
      </c>
      <c r="K340" t="inlineStr">
        <is>
          <t>6.99</t>
        </is>
      </c>
      <c r="L340" t="n">
        <v>15.34</v>
      </c>
      <c r="M340" s="2" t="inlineStr">
        <is>
          <t>119.46%</t>
        </is>
      </c>
      <c r="N340" t="n">
        <v>5</v>
      </c>
      <c r="O340" t="n">
        <v>1</v>
      </c>
      <c r="Q340" t="inlineStr">
        <is>
          <t>InStock</t>
        </is>
      </c>
      <c r="R340" t="inlineStr">
        <is>
          <t>9.95</t>
        </is>
      </c>
      <c r="S340" t="inlineStr">
        <is>
          <t>1594612740</t>
        </is>
      </c>
    </row>
    <row r="341" ht="75" customHeight="1">
      <c r="A341" s="1">
        <f>HYPERLINK("https://www.mountainside-medical.com/collections/cosmetic-surgery-and-aesthetics-supplies/products/professional-medical-towels-3-ply-tissue-13-x-18-white-500-count", "https://www.mountainside-medical.com/collections/cosmetic-surgery-and-aesthetics-supplies/products/professional-medical-towels-3-ply-tissue-13-x-18-white-500-count")</f>
        <v/>
      </c>
      <c r="B341" s="1">
        <f>HYPERLINK("https://www.mountainside-medical.com/products/professional-medical-towels-3-ply-tissue-13-x-18-white-500-count", "https://www.mountainside-medical.com/products/professional-medical-towels-3-ply-tissue-13-x-18-white-500-count")</f>
        <v/>
      </c>
      <c r="C341" t="inlineStr">
        <is>
          <t>Professional Towels 3 ply Tissue 13 inch x 18 inch White 500 Count</t>
        </is>
      </c>
      <c r="D341" t="inlineStr">
        <is>
          <t>BodyMed 3 Ply Tissue Professional Towels - Disposable Paper Towels - 13-Inch x 18-Inch - Case of 500 - White</t>
        </is>
      </c>
      <c r="E341" s="1">
        <f>HYPERLINK("https://www.amazon.com/BodyMed%C2%AE-Ply-Tissue-Professional-Towels/dp/B07QB4DYJ3/ref=sr_1_1?keywords=Professional+Towels+3+ply+Tissue+13+inch+x+18+inch+White+500+Count&amp;qid=1695764280&amp;sr=8-1", "https://www.amazon.com/BodyMed%C2%AE-Ply-Tissue-Professional-Towels/dp/B07QB4DYJ3/ref=sr_1_1?keywords=Professional+Towels+3+ply+Tissue+13+inch+x+18+inch+White+500+Count&amp;qid=1695764280&amp;sr=8-1")</f>
        <v/>
      </c>
      <c r="F341" t="inlineStr">
        <is>
          <t>B07QB4DYJ3</t>
        </is>
      </c>
      <c r="G341">
        <f>_xlfn.IMAGE("https://www.mountainside-medical.com/cdn/shop/files/P753023.webp?v=1694192089")</f>
        <v/>
      </c>
      <c r="H341">
        <f>_xlfn.IMAGE("https://m.media-amazon.com/images/I/517ZRP5lhgL._AC_UY218_.jpg")</f>
        <v/>
      </c>
      <c r="K341" t="inlineStr">
        <is>
          <t>25.0</t>
        </is>
      </c>
      <c r="L341" t="n">
        <v>55.49</v>
      </c>
      <c r="M341" s="2" t="inlineStr">
        <is>
          <t>121.96%</t>
        </is>
      </c>
      <c r="N341" t="n">
        <v>4.3</v>
      </c>
      <c r="O341" t="n">
        <v>46</v>
      </c>
      <c r="Q341" t="inlineStr">
        <is>
          <t>InStock</t>
        </is>
      </c>
      <c r="R341" t="inlineStr">
        <is>
          <t>35.95</t>
        </is>
      </c>
      <c r="S341" t="inlineStr">
        <is>
          <t>1509226372</t>
        </is>
      </c>
    </row>
    <row r="342" ht="75" customHeight="1">
      <c r="A342" s="1">
        <f>HYPERLINK("https://www.mountainside-medical.com/collections/cosmetic-surgery-and-aesthetics-supplies/products/skin-prep-protective-dressing-50-wipes", "https://www.mountainside-medical.com/collections/cosmetic-surgery-and-aesthetics-supplies/products/skin-prep-protective-dressing-50-wipes")</f>
        <v/>
      </c>
      <c r="B342" s="1">
        <f>HYPERLINK("https://www.mountainside-medical.com/products/skin-prep-protective-dressing-50-wipes", "https://www.mountainside-medical.com/products/skin-prep-protective-dressing-50-wipes")</f>
        <v/>
      </c>
      <c r="C342" t="inlineStr">
        <is>
          <t>Smith &amp; Nephew Skin Prep Wipes Protecive Pads 50/Box</t>
        </is>
      </c>
      <c r="D342" t="inlineStr">
        <is>
          <t>Smith &amp; Nephew No-Sting Skin Prep - Swabs - Box of 50 - UNS59420700_bx</t>
        </is>
      </c>
      <c r="E342" s="1">
        <f>HYPERLINK("https://www.amazon.com/Smith-Nephew-No-Sting-Skin-Prep/dp/B0057Z5MK6/ref=sr_1_8?keywords=smith+%26+nephew+skin+prep+wipes+protective+pads+50%2Fbox&amp;qid=1695764280&amp;sr=8-8", "https://www.amazon.com/Smith-Nephew-No-Sting-Skin-Prep/dp/B0057Z5MK6/ref=sr_1_8?keywords=smith+%26+nephew+skin+prep+wipes+protective+pads+50%2Fbox&amp;qid=1695764280&amp;sr=8-8")</f>
        <v/>
      </c>
      <c r="F342" t="inlineStr">
        <is>
          <t>B0057Z5MK6</t>
        </is>
      </c>
      <c r="G342">
        <f>_xlfn.IMAGE("https://www.mountainside-medical.com/cdn/shop/products/skin-prep-pad-wipes-420400-smith-nephew_d04ad969-545c-4063-bcf5-7d09d7ca821f.jpeg?v=1600380247")</f>
        <v/>
      </c>
      <c r="H342">
        <f>_xlfn.IMAGE("https://m.media-amazon.com/images/I/61PX-YzEAKL._AC_UL320_.jpg")</f>
        <v/>
      </c>
      <c r="K342" t="inlineStr">
        <is>
          <t>8.29</t>
        </is>
      </c>
      <c r="L342" t="n">
        <v>43.74</v>
      </c>
      <c r="M342" s="2" t="inlineStr">
        <is>
          <t>427.62%</t>
        </is>
      </c>
      <c r="N342" t="n">
        <v>4.6</v>
      </c>
      <c r="O342" t="n">
        <v>137</v>
      </c>
      <c r="Q342" t="inlineStr">
        <is>
          <t>InStock</t>
        </is>
      </c>
      <c r="R342" t="inlineStr">
        <is>
          <t>12.95</t>
        </is>
      </c>
      <c r="S342" t="inlineStr">
        <is>
          <t>1592974084</t>
        </is>
      </c>
    </row>
    <row r="343" ht="75" customHeight="1">
      <c r="A343" s="1">
        <f>HYPERLINK("https://www.mountainside-medical.com/collections/cosmetic-surgery-and-aesthetics-supplies/products/skin-prep-protective-dressing-50-wipes", "https://www.mountainside-medical.com/collections/cosmetic-surgery-and-aesthetics-supplies/products/skin-prep-protective-dressing-50-wipes")</f>
        <v/>
      </c>
      <c r="B343" s="1">
        <f>HYPERLINK("https://www.mountainside-medical.com/products/skin-prep-protective-dressing-50-wipes", "https://www.mountainside-medical.com/products/skin-prep-protective-dressing-50-wipes")</f>
        <v/>
      </c>
      <c r="C343" t="inlineStr">
        <is>
          <t>Smith &amp; Nephew Skin Prep Wipes Protecive Pads 50/Box</t>
        </is>
      </c>
      <c r="D343" t="inlineStr">
        <is>
          <t>Smith &amp; Nephew No-Sting Skin Prep Wipes 59420600 - Box of 50 (UN59420600)</t>
        </is>
      </c>
      <c r="E343" s="1">
        <f>HYPERLINK("https://www.amazon.com/Smith-Nephew-Protective-Alcohol-Free-Individually/dp/B0002CABB4/ref=sr_1_1?keywords=smith+%26+nephew+skin+prep+wipes+protective+pads+50%2Fbox&amp;qid=1695764280&amp;sr=8-1", "https://www.amazon.com/Smith-Nephew-Protective-Alcohol-Free-Individually/dp/B0002CABB4/ref=sr_1_1?keywords=smith+%26+nephew+skin+prep+wipes+protective+pads+50%2Fbox&amp;qid=1695764280&amp;sr=8-1")</f>
        <v/>
      </c>
      <c r="F343" t="inlineStr">
        <is>
          <t>B0002CABB4</t>
        </is>
      </c>
      <c r="G343">
        <f>_xlfn.IMAGE("https://www.mountainside-medical.com/cdn/shop/products/skin-prep-pad-wipes-420400-smith-nephew_d04ad969-545c-4063-bcf5-7d09d7ca821f.jpeg?v=1600380247")</f>
        <v/>
      </c>
      <c r="H343">
        <f>_xlfn.IMAGE("https://m.media-amazon.com/images/I/61UL7LoeWWL._AC_UL320_.jpg")</f>
        <v/>
      </c>
      <c r="K343" t="inlineStr">
        <is>
          <t>8.29</t>
        </is>
      </c>
      <c r="L343" t="n">
        <v>22.38</v>
      </c>
      <c r="M343" s="2" t="inlineStr">
        <is>
          <t>169.96%</t>
        </is>
      </c>
      <c r="N343" t="n">
        <v>4.7</v>
      </c>
      <c r="O343" t="n">
        <v>722</v>
      </c>
      <c r="Q343" t="inlineStr">
        <is>
          <t>InStock</t>
        </is>
      </c>
      <c r="R343" t="inlineStr">
        <is>
          <t>12.95</t>
        </is>
      </c>
      <c r="S343" t="inlineStr">
        <is>
          <t>1592974084</t>
        </is>
      </c>
    </row>
    <row r="344" ht="75" customHeight="1">
      <c r="A344" s="1">
        <f>HYPERLINK("https://www.mountainside-medical.com/collections/cosmetic-surgery-and-aesthetics-supplies/products/twin-blade-razors-blue-100-box", "https://www.mountainside-medical.com/collections/cosmetic-surgery-and-aesthetics-supplies/products/twin-blade-razors-blue-100-box")</f>
        <v/>
      </c>
      <c r="B344" s="1">
        <f>HYPERLINK("https://www.mountainside-medical.com/products/twin-blade-razors-blue-100-box", "https://www.mountainside-medical.com/products/twin-blade-razors-blue-100-box")</f>
        <v/>
      </c>
      <c r="C344" t="inlineStr">
        <is>
          <t>Twin-Blade Disposable Razors, Blue 100/Box</t>
        </is>
      </c>
      <c r="D344" t="inlineStr">
        <is>
          <t>100 Box of Pink Razor Blades Disposable Stainless Steel Hospitality Quality Shavers High End Twin Blade Razors for Men and Women with Aloe Vera Lubrication Strip</t>
        </is>
      </c>
      <c r="E344" s="1">
        <f>HYPERLINK("https://www.amazon.com/Disposable-Stainless-Hospitality-Quality-Lubrication/dp/B0973L1G7V/ref=sr_1_8?keywords=Twin-Blade+Disposable+Razors%2C+Blue+100%2FBox&amp;qid=1695764292&amp;sr=8-8", "https://www.amazon.com/Disposable-Stainless-Hospitality-Quality-Lubrication/dp/B0973L1G7V/ref=sr_1_8?keywords=Twin-Blade+Disposable+Razors%2C+Blue+100%2FBox&amp;qid=1695764292&amp;sr=8-8")</f>
        <v/>
      </c>
      <c r="F344" t="inlineStr">
        <is>
          <t>B0973L1G7V</t>
        </is>
      </c>
      <c r="G344">
        <f>_xlfn.IMAGE("https://www.mountainside-medical.com/cdn/shop/products/disposable_razor-twin_blade__03839_686efd3b-bba5-406d-a869-d146f3a83eb3.jpeg?v=1600384114")</f>
        <v/>
      </c>
      <c r="H344">
        <f>_xlfn.IMAGE("https://m.media-amazon.com/images/I/81l4uziPG1L._AC_UL320_.jpg")</f>
        <v/>
      </c>
      <c r="K344" t="inlineStr">
        <is>
          <t>9.99</t>
        </is>
      </c>
      <c r="L344" t="n">
        <v>49.99</v>
      </c>
      <c r="M344" s="2" t="inlineStr">
        <is>
          <t>400.40%</t>
        </is>
      </c>
      <c r="N344" t="n">
        <v>5</v>
      </c>
      <c r="O344" t="n">
        <v>7</v>
      </c>
      <c r="Q344" t="inlineStr">
        <is>
          <t>InStock</t>
        </is>
      </c>
      <c r="R344" t="inlineStr">
        <is>
          <t>15.95</t>
        </is>
      </c>
      <c r="S344" t="inlineStr">
        <is>
          <t>1593794564</t>
        </is>
      </c>
    </row>
    <row r="345" ht="75" customHeight="1">
      <c r="A345" s="1">
        <f>HYPERLINK("https://www.mountainside-medical.com/collections/cosmetic-surgery-and-aesthetics-supplies/products/twin-blade-razors-blue-100-box", "https://www.mountainside-medical.com/collections/cosmetic-surgery-and-aesthetics-supplies/products/twin-blade-razors-blue-100-box")</f>
        <v/>
      </c>
      <c r="B345" s="1">
        <f>HYPERLINK("https://www.mountainside-medical.com/products/twin-blade-razors-blue-100-box", "https://www.mountainside-medical.com/products/twin-blade-razors-blue-100-box")</f>
        <v/>
      </c>
      <c r="C345" t="inlineStr">
        <is>
          <t>Twin-Blade Disposable Razors, Blue 100/Box</t>
        </is>
      </c>
      <c r="D345" t="inlineStr">
        <is>
          <t>100 Box Combo of Blue and Pink Razor Blades Disposable Stainless Steel Hospitality Quality Shavers High End Twin Blade Razors for Men and Women with Aloe Vera Lubrication Strip</t>
        </is>
      </c>
      <c r="E345" s="1">
        <f>HYPERLINK("https://www.amazon.com/Box-Combo-Wholesale-Disposable-Razors/dp/B071X36Z4B/ref=sr_1_2?keywords=Twin-Blade+Disposable+Razors%2C+Blue+100%2FBox&amp;qid=1695764292&amp;sr=8-2", "https://www.amazon.com/Box-Combo-Wholesale-Disposable-Razors/dp/B071X36Z4B/ref=sr_1_2?keywords=Twin-Blade+Disposable+Razors%2C+Blue+100%2FBox&amp;qid=1695764292&amp;sr=8-2")</f>
        <v/>
      </c>
      <c r="F345" t="inlineStr">
        <is>
          <t>B071X36Z4B</t>
        </is>
      </c>
      <c r="G345">
        <f>_xlfn.IMAGE("https://www.mountainside-medical.com/cdn/shop/products/disposable_razor-twin_blade__03839_686efd3b-bba5-406d-a869-d146f3a83eb3.jpeg?v=1600384114")</f>
        <v/>
      </c>
      <c r="H345">
        <f>_xlfn.IMAGE("https://m.media-amazon.com/images/I/81TcrAiquyL._AC_UL320_.jpg")</f>
        <v/>
      </c>
      <c r="K345" t="inlineStr">
        <is>
          <t>9.99</t>
        </is>
      </c>
      <c r="L345" t="n">
        <v>29.99</v>
      </c>
      <c r="M345" s="2" t="inlineStr">
        <is>
          <t>200.20%</t>
        </is>
      </c>
      <c r="N345" t="n">
        <v>4.6</v>
      </c>
      <c r="O345" t="n">
        <v>34</v>
      </c>
      <c r="Q345" t="inlineStr">
        <is>
          <t>InStock</t>
        </is>
      </c>
      <c r="R345" t="inlineStr">
        <is>
          <t>15.95</t>
        </is>
      </c>
      <c r="S345" t="inlineStr">
        <is>
          <t>1593794564</t>
        </is>
      </c>
    </row>
    <row r="346" ht="75" customHeight="1">
      <c r="A346" s="1">
        <f>HYPERLINK("https://www.mountainside-medical.com/collections/cosmetic-surgery-and-aesthetics-supplies/products/twin-blade-razors-blue-100-box", "https://www.mountainside-medical.com/collections/cosmetic-surgery-and-aesthetics-supplies/products/twin-blade-razors-blue-100-box")</f>
        <v/>
      </c>
      <c r="B346" s="1">
        <f>HYPERLINK("https://www.mountainside-medical.com/products/twin-blade-razors-blue-100-box", "https://www.mountainside-medical.com/products/twin-blade-razors-blue-100-box")</f>
        <v/>
      </c>
      <c r="C346" t="inlineStr">
        <is>
          <t>Twin-Blade Disposable Razors, Blue 100/Box</t>
        </is>
      </c>
      <c r="D346" t="inlineStr">
        <is>
          <t>100 Box of Bullet Blades Black Razor Blades Disposable Stainless Steel Hospitality Quality Shavers High End Twin Blade Razors for Men and Women</t>
        </is>
      </c>
      <c r="E346" s="1">
        <f>HYPERLINK("https://www.amazon.com/Bullet-Blades-Hospitality-Quality-Disposable/dp/B07L14KWQC/ref=sr_1_3?keywords=Twin-Blade+Disposable+Razors%2C+Blue+100%2FBox&amp;qid=1695764292&amp;sr=8-3", "https://www.amazon.com/Bullet-Blades-Hospitality-Quality-Disposable/dp/B07L14KWQC/ref=sr_1_3?keywords=Twin-Blade+Disposable+Razors%2C+Blue+100%2FBox&amp;qid=1695764292&amp;sr=8-3")</f>
        <v/>
      </c>
      <c r="F346" t="inlineStr">
        <is>
          <t>B07L14KWQC</t>
        </is>
      </c>
      <c r="G346">
        <f>_xlfn.IMAGE("https://www.mountainside-medical.com/cdn/shop/products/disposable_razor-twin_blade__03839_686efd3b-bba5-406d-a869-d146f3a83eb3.jpeg?v=1600384114")</f>
        <v/>
      </c>
      <c r="H346">
        <f>_xlfn.IMAGE("https://m.media-amazon.com/images/I/81v5KGGxTGL._AC_UL320_.jpg")</f>
        <v/>
      </c>
      <c r="K346" t="inlineStr">
        <is>
          <t>9.99</t>
        </is>
      </c>
      <c r="L346" t="n">
        <v>29.99</v>
      </c>
      <c r="M346" s="2" t="inlineStr">
        <is>
          <t>200.20%</t>
        </is>
      </c>
      <c r="N346" t="n">
        <v>4.4</v>
      </c>
      <c r="O346" t="n">
        <v>208</v>
      </c>
      <c r="Q346" t="inlineStr">
        <is>
          <t>InStock</t>
        </is>
      </c>
      <c r="R346" t="inlineStr">
        <is>
          <t>15.95</t>
        </is>
      </c>
      <c r="S346" t="inlineStr">
        <is>
          <t>1593794564</t>
        </is>
      </c>
    </row>
    <row r="347" ht="75" customHeight="1">
      <c r="A347" s="1">
        <f>HYPERLINK("https://www.mountainside-medical.com/collections/cosmetic-surgery-and-aesthetics-supplies/products/twin-blade-razors-blue-100-box", "https://www.mountainside-medical.com/collections/cosmetic-surgery-and-aesthetics-supplies/products/twin-blade-razors-blue-100-box")</f>
        <v/>
      </c>
      <c r="B347" s="1">
        <f>HYPERLINK("https://www.mountainside-medical.com/products/twin-blade-razors-blue-100-box", "https://www.mountainside-medical.com/products/twin-blade-razors-blue-100-box")</f>
        <v/>
      </c>
      <c r="C347" t="inlineStr">
        <is>
          <t>Twin-Blade Disposable Razors, Blue 100/Box</t>
        </is>
      </c>
      <c r="D347" t="inlineStr">
        <is>
          <t>100 Box of Razor Blades Premium Disposable Stainless Steel Hospitality Quality Shavers High End Twin Blade Razors for Men and Women with Aloe Vera Lubrication Strip</t>
        </is>
      </c>
      <c r="E347" s="1">
        <f>HYPERLINK("https://www.amazon.com/Box-Quality-Wholesale-Disposable-Razors/dp/B01CK7UP4Q/ref=sr_1_10?keywords=Twin-Blade+Disposable+Razors%2C+Blue+100%2FBox&amp;qid=1695764292&amp;sr=8-10", "https://www.amazon.com/Box-Quality-Wholesale-Disposable-Razors/dp/B01CK7UP4Q/ref=sr_1_10?keywords=Twin-Blade+Disposable+Razors%2C+Blue+100%2FBox&amp;qid=1695764292&amp;sr=8-10")</f>
        <v/>
      </c>
      <c r="F347" t="inlineStr">
        <is>
          <t>B01CK7UP4Q</t>
        </is>
      </c>
      <c r="G347">
        <f>_xlfn.IMAGE("https://www.mountainside-medical.com/cdn/shop/products/disposable_razor-twin_blade__03839_686efd3b-bba5-406d-a869-d146f3a83eb3.jpeg?v=1600384114")</f>
        <v/>
      </c>
      <c r="H347">
        <f>_xlfn.IMAGE("https://m.media-amazon.com/images/I/91LciuBhDVL._AC_UL320_.jpg")</f>
        <v/>
      </c>
      <c r="K347" t="inlineStr">
        <is>
          <t>9.99</t>
        </is>
      </c>
      <c r="L347" t="n">
        <v>29.99</v>
      </c>
      <c r="M347" s="2" t="inlineStr">
        <is>
          <t>200.20%</t>
        </is>
      </c>
      <c r="N347" t="n">
        <v>4.7</v>
      </c>
      <c r="O347" t="n">
        <v>27</v>
      </c>
      <c r="Q347" t="inlineStr">
        <is>
          <t>InStock</t>
        </is>
      </c>
      <c r="R347" t="inlineStr">
        <is>
          <t>15.95</t>
        </is>
      </c>
      <c r="S347" t="inlineStr">
        <is>
          <t>1593794564</t>
        </is>
      </c>
    </row>
    <row r="348" ht="75" customHeight="1">
      <c r="A348" s="1">
        <f>HYPERLINK("https://www.mountainside-medical.com/collections/eczema-and-psoriasis-relief/products/aveeno-baby-soothing-relief-creamy-wash-fragrance-free-8-oz", "https://www.mountainside-medical.com/collections/eczema-and-psoriasis-relief/products/aveeno-baby-soothing-relief-creamy-wash-fragrance-free-8-oz")</f>
        <v/>
      </c>
      <c r="B348" s="1">
        <f>HYPERLINK("https://www.mountainside-medical.com/products/aveeno-baby-soothing-relief-creamy-wash-fragrance-free-8-oz", "https://www.mountainside-medical.com/products/aveeno-baby-soothing-relief-creamy-wash-fragrance-free-8-oz")</f>
        <v/>
      </c>
      <c r="C348" t="inlineStr">
        <is>
          <t>Aveeno Baby Soothing Relief Creamy Wash Fragrance Free 8 oz</t>
        </is>
      </c>
      <c r="D348" t="inlineStr">
        <is>
          <t>Aveeno Baby Soothing Relief Fragrance Free Creamy Wash, 2 Count</t>
        </is>
      </c>
      <c r="E348" s="1">
        <f>HYPERLINK("https://www.amazon.com/Aveeno-Baby-Soothing-Relief-Fragrance/dp/B01IKJ16Q4/ref=sr_1_4?keywords=Aveeno+Baby+Soothing+Relief+Creamy+Wash+Fragrance+Free+8+oz&amp;qid=1695764452&amp;sr=8-4", "https://www.amazon.com/Aveeno-Baby-Soothing-Relief-Fragrance/dp/B01IKJ16Q4/ref=sr_1_4?keywords=Aveeno+Baby+Soothing+Relief+Creamy+Wash+Fragrance+Free+8+oz&amp;qid=1695764452&amp;sr=8-4")</f>
        <v/>
      </c>
      <c r="F348" t="inlineStr">
        <is>
          <t>B01IKJ16Q4</t>
        </is>
      </c>
      <c r="G348">
        <f>_xlfn.IMAGE("https://www.mountainside-medical.com/cdn/shop/products/AveenoBabySoothingReliefCreamyWashFragranceFree8oz.jpg?v=1631794047")</f>
        <v/>
      </c>
      <c r="H348">
        <f>_xlfn.IMAGE("https://m.media-amazon.com/images/I/61MThBKxZhL._AC_UL320_.jpg")</f>
        <v/>
      </c>
      <c r="K348" t="inlineStr">
        <is>
          <t>6.59</t>
        </is>
      </c>
      <c r="L348" t="n">
        <v>27.83</v>
      </c>
      <c r="M348" s="2" t="inlineStr">
        <is>
          <t>322.31%</t>
        </is>
      </c>
      <c r="N348" t="n">
        <v>4.2</v>
      </c>
      <c r="O348" t="n">
        <v>13</v>
      </c>
      <c r="Q348" t="inlineStr">
        <is>
          <t>InStock</t>
        </is>
      </c>
      <c r="R348" t="inlineStr">
        <is>
          <t>7.89</t>
        </is>
      </c>
      <c r="S348" t="inlineStr">
        <is>
          <t>6580148404296</t>
        </is>
      </c>
    </row>
    <row r="349" ht="75" customHeight="1">
      <c r="A349" s="1">
        <f>HYPERLINK("https://www.mountainside-medical.com/collections/eczema-and-psoriasis-relief/products/aveeno-baby-soothing-relief-creamy-wash-fragrance-free-8-oz", "https://www.mountainside-medical.com/collections/eczema-and-psoriasis-relief/products/aveeno-baby-soothing-relief-creamy-wash-fragrance-free-8-oz")</f>
        <v/>
      </c>
      <c r="B349" s="1">
        <f>HYPERLINK("https://www.mountainside-medical.com/products/aveeno-baby-soothing-relief-creamy-wash-fragrance-free-8-oz", "https://www.mountainside-medical.com/products/aveeno-baby-soothing-relief-creamy-wash-fragrance-free-8-oz")</f>
        <v/>
      </c>
      <c r="C349" t="inlineStr">
        <is>
          <t>Aveeno Baby Soothing Relief Creamy Wash Fragrance Free 8 oz</t>
        </is>
      </c>
      <c r="D349" t="inlineStr">
        <is>
          <t>Aveeno Baby Soothing Relief Creamy Wash with Natural Oatmeal for Dry, Sensitive Skin, 12 fl. oz</t>
        </is>
      </c>
      <c r="E349" s="1">
        <f>HYPERLINK("https://www.amazon.com/Aveeno-Soothing-Relief-Creamy-Fragrance/dp/B004N5LPFC/ref=sr_1_8?keywords=Aveeno+Baby+Soothing+Relief+Creamy+Wash+Fragrance+Free+8+oz&amp;qid=1695764452&amp;sr=8-8", "https://www.amazon.com/Aveeno-Soothing-Relief-Creamy-Fragrance/dp/B004N5LPFC/ref=sr_1_8?keywords=Aveeno+Baby+Soothing+Relief+Creamy+Wash+Fragrance+Free+8+oz&amp;qid=1695764452&amp;sr=8-8")</f>
        <v/>
      </c>
      <c r="F349" t="inlineStr">
        <is>
          <t>B004N5LPFC</t>
        </is>
      </c>
      <c r="G349">
        <f>_xlfn.IMAGE("https://www.mountainside-medical.com/cdn/shop/products/AveenoBabySoothingReliefCreamyWashFragranceFree8oz.jpg?v=1631794047")</f>
        <v/>
      </c>
      <c r="H349">
        <f>_xlfn.IMAGE("https://m.media-amazon.com/images/I/71vDvS6V2zL._AC_UL320_.jpg")</f>
        <v/>
      </c>
      <c r="K349" t="inlineStr">
        <is>
          <t>6.59</t>
        </is>
      </c>
      <c r="L349" t="n">
        <v>26.95</v>
      </c>
      <c r="M349" s="2" t="inlineStr">
        <is>
          <t>308.95%</t>
        </is>
      </c>
      <c r="N349" t="n">
        <v>4.7</v>
      </c>
      <c r="O349" t="n">
        <v>13</v>
      </c>
      <c r="Q349" t="inlineStr">
        <is>
          <t>InStock</t>
        </is>
      </c>
      <c r="R349" t="inlineStr">
        <is>
          <t>7.89</t>
        </is>
      </c>
      <c r="S349" t="inlineStr">
        <is>
          <t>6580148404296</t>
        </is>
      </c>
    </row>
    <row r="350" ht="75" customHeight="1">
      <c r="A350" s="1">
        <f>HYPERLINK("https://www.mountainside-medical.com/collections/eczema-and-psoriasis-relief/products/aveeno-baby-soothing-relief-creamy-wash-fragrance-free-8-oz", "https://www.mountainside-medical.com/collections/eczema-and-psoriasis-relief/products/aveeno-baby-soothing-relief-creamy-wash-fragrance-free-8-oz")</f>
        <v/>
      </c>
      <c r="B350" s="1">
        <f>HYPERLINK("https://www.mountainside-medical.com/products/aveeno-baby-soothing-relief-creamy-wash-fragrance-free-8-oz", "https://www.mountainside-medical.com/products/aveeno-baby-soothing-relief-creamy-wash-fragrance-free-8-oz")</f>
        <v/>
      </c>
      <c r="C350" t="inlineStr">
        <is>
          <t>Aveeno Baby Soothing Relief Creamy Wash Fragrance Free 8 oz</t>
        </is>
      </c>
      <c r="D350" t="inlineStr">
        <is>
          <t>Aveeno Baby Soothing Relief Moisturizing Cream with Natural Oat Complex &amp; Dimethicone, Hypoallergenic Baby Cream to Soothe &amp; Relieve Dry, Sensitive Skin, Fragrance- &amp; Paraben-Free, 8 oz</t>
        </is>
      </c>
      <c r="E350" s="1">
        <f>HYPERLINK("https://www.amazon.com/Aveeno-Baby-Moisturizing-Fragrance-free-Paraben-Free/dp/B01AAXT908/ref=sr_1_3?keywords=Aveeno+Baby+Soothing+Relief+Creamy+Wash+Fragrance+Free+8+oz&amp;qid=1695764452&amp;sr=8-3", "https://www.amazon.com/Aveeno-Baby-Moisturizing-Fragrance-free-Paraben-Free/dp/B01AAXT908/ref=sr_1_3?keywords=Aveeno+Baby+Soothing+Relief+Creamy+Wash+Fragrance+Free+8+oz&amp;qid=1695764452&amp;sr=8-3")</f>
        <v/>
      </c>
      <c r="F350" t="inlineStr">
        <is>
          <t>B01AAXT908</t>
        </is>
      </c>
      <c r="G350">
        <f>_xlfn.IMAGE("https://www.mountainside-medical.com/cdn/shop/products/AveenoBabySoothingReliefCreamyWashFragranceFree8oz.jpg?v=1631794047")</f>
        <v/>
      </c>
      <c r="H350">
        <f>_xlfn.IMAGE("https://m.media-amazon.com/images/I/71rii32qsOL._AC_UL320_.jpg")</f>
        <v/>
      </c>
      <c r="K350" t="inlineStr">
        <is>
          <t>6.59</t>
        </is>
      </c>
      <c r="L350" t="n">
        <v>24.93</v>
      </c>
      <c r="M350" s="2" t="inlineStr">
        <is>
          <t>278.30%</t>
        </is>
      </c>
      <c r="N350" t="n">
        <v>4.7</v>
      </c>
      <c r="O350" t="n">
        <v>6190</v>
      </c>
      <c r="Q350" t="inlineStr">
        <is>
          <t>InStock</t>
        </is>
      </c>
      <c r="R350" t="inlineStr">
        <is>
          <t>7.89</t>
        </is>
      </c>
      <c r="S350" t="inlineStr">
        <is>
          <t>6580148404296</t>
        </is>
      </c>
    </row>
    <row r="351" ht="75" customHeight="1">
      <c r="A351" s="1">
        <f>HYPERLINK("https://www.mountainside-medical.com/collections/eczema-and-psoriasis-relief/products/cetaphil-baby-eczema-calming-body-wash", "https://www.mountainside-medical.com/collections/eczema-and-psoriasis-relief/products/cetaphil-baby-eczema-calming-body-wash")</f>
        <v/>
      </c>
      <c r="B351" s="1">
        <f>HYPERLINK("https://www.mountainside-medical.com/products/cetaphil-baby-eczema-calming-body-wash", "https://www.mountainside-medical.com/products/cetaphil-baby-eczema-calming-body-wash")</f>
        <v/>
      </c>
      <c r="C351" t="inlineStr">
        <is>
          <t>Cetaphil Baby Eczema Calming Body Wash 5 oz</t>
        </is>
      </c>
      <c r="D351" t="inlineStr">
        <is>
          <t>Cetaphil Baby Wash &amp; Shampoo, 13.5 Fl. Oz &amp; Baby Eczema Soothing Lotion with Colloidal Oatmeal, For Dry, Itchy and Irritated Skin, 5 Fl. Oz</t>
        </is>
      </c>
      <c r="E351" s="1">
        <f>HYPERLINK("https://www.amazon.com/Cetaphil-Shampoo-Soothing-Colloidal-Irritated/dp/B0CC4J2FYD/ref=sr_1_6?keywords=Cetaphil+Baby+Eczema+Calming+Body+Wash+5+oz&amp;qid=1695764446&amp;sr=8-6", "https://www.amazon.com/Cetaphil-Shampoo-Soothing-Colloidal-Irritated/dp/B0CC4J2FYD/ref=sr_1_6?keywords=Cetaphil+Baby+Eczema+Calming+Body+Wash+5+oz&amp;qid=1695764446&amp;sr=8-6")</f>
        <v/>
      </c>
      <c r="F351" t="inlineStr">
        <is>
          <t>B0CC4J2FYD</t>
        </is>
      </c>
      <c r="G351">
        <f>_xlfn.IMAGE("https://www.mountainside-medical.com/cdn/shop/products/10773745_e613f5c3-723b-4a28-9e1a-8ff2c7c6a440.jpg?v=1600353968")</f>
        <v/>
      </c>
      <c r="H351">
        <f>_xlfn.IMAGE("https://m.media-amazon.com/images/I/41xEpTGjcsL._AC_UL320_.jpg")</f>
        <v/>
      </c>
      <c r="K351" t="inlineStr">
        <is>
          <t>9.49</t>
        </is>
      </c>
      <c r="L351" t="n">
        <v>17.25</v>
      </c>
      <c r="M351" s="2" t="inlineStr">
        <is>
          <t>81.77%</t>
        </is>
      </c>
      <c r="N351" t="n">
        <v>5</v>
      </c>
      <c r="O351" t="n">
        <v>1</v>
      </c>
      <c r="Q351" t="inlineStr">
        <is>
          <t>InStock</t>
        </is>
      </c>
      <c r="R351" t="inlineStr">
        <is>
          <t>11.75</t>
        </is>
      </c>
      <c r="S351" t="inlineStr">
        <is>
          <t>1614428700744</t>
        </is>
      </c>
    </row>
    <row r="352" ht="75" customHeight="1">
      <c r="A352" s="1">
        <f>HYPERLINK("https://www.mountainside-medical.com/collections/eczema-and-psoriasis-relief/products/cetaphil-baby-eczema-soothing-calming-lotion", "https://www.mountainside-medical.com/collections/eczema-and-psoriasis-relief/products/cetaphil-baby-eczema-soothing-calming-lotion")</f>
        <v/>
      </c>
      <c r="B352" s="1">
        <f>HYPERLINK("https://www.mountainside-medical.com/products/cetaphil-baby-eczema-soothing-calming-lotion", "https://www.mountainside-medical.com/products/cetaphil-baby-eczema-soothing-calming-lotion")</f>
        <v/>
      </c>
      <c r="C352" t="inlineStr">
        <is>
          <t>Cetaphil Baby Eczema Soothing + Calming Lotion 5 oz</t>
        </is>
      </c>
      <c r="D352" t="inlineStr">
        <is>
          <t>Cetaphil Baby Wash &amp; Shampoo, 13.5 Fl. Oz &amp; Baby Eczema Soothing Lotion with Colloidal Oatmeal, For Dry, Itchy and Irritated Skin, 5 Fl. Oz</t>
        </is>
      </c>
      <c r="E352" s="1">
        <f>HYPERLINK("https://www.amazon.com/Cetaphil-Shampoo-Soothing-Colloidal-Irritated/dp/B0CC4J2FYD/ref=sr_1_4?keywords=Cetaphil+Baby+Eczema+Soothing+Calming+Lotion+5+oz&amp;qid=1695764446&amp;sr=8-4", "https://www.amazon.com/Cetaphil-Shampoo-Soothing-Colloidal-Irritated/dp/B0CC4J2FYD/ref=sr_1_4?keywords=Cetaphil+Baby+Eczema+Soothing+Calming+Lotion+5+oz&amp;qid=1695764446&amp;sr=8-4")</f>
        <v/>
      </c>
      <c r="F352" t="inlineStr">
        <is>
          <t>B0CC4J2FYD</t>
        </is>
      </c>
      <c r="G352">
        <f>_xlfn.IMAGE("https://www.mountainside-medical.com/cdn/shop/products/CetaphilBabyEczemaSoothing_CalmingLotion5oz.jpg?v=1636487832")</f>
        <v/>
      </c>
      <c r="H352">
        <f>_xlfn.IMAGE("https://m.media-amazon.com/images/I/41xEpTGjcsL._AC_UL320_.jpg")</f>
        <v/>
      </c>
      <c r="K352" t="inlineStr">
        <is>
          <t>9.49</t>
        </is>
      </c>
      <c r="L352" t="n">
        <v>17.25</v>
      </c>
      <c r="M352" s="2" t="inlineStr">
        <is>
          <t>81.77%</t>
        </is>
      </c>
      <c r="N352" t="n">
        <v>5</v>
      </c>
      <c r="O352" t="n">
        <v>1</v>
      </c>
      <c r="Q352" t="inlineStr">
        <is>
          <t>InStock</t>
        </is>
      </c>
      <c r="R352" t="inlineStr">
        <is>
          <t>11.75</t>
        </is>
      </c>
      <c r="S352" t="inlineStr">
        <is>
          <t>1614425718856</t>
        </is>
      </c>
    </row>
    <row r="353" ht="75" customHeight="1">
      <c r="A353" s="1">
        <f>HYPERLINK("https://www.mountainside-medical.com/collections/eczema-and-psoriasis-relief/products/cetaphil-moisturizing-cream-3-oz", "https://www.mountainside-medical.com/collections/eczema-and-psoriasis-relief/products/cetaphil-moisturizing-cream-3-oz")</f>
        <v/>
      </c>
      <c r="B353" s="1">
        <f>HYPERLINK("https://www.mountainside-medical.com/products/cetaphil-moisturizing-cream-3-oz", "https://www.mountainside-medical.com/products/cetaphil-moisturizing-cream-3-oz")</f>
        <v/>
      </c>
      <c r="C353" t="inlineStr">
        <is>
          <t>Cetaphil Moisturizing Dry Skin Relief Cream with Vitamin B5 &amp; B3</t>
        </is>
      </c>
      <c r="D353" t="inlineStr">
        <is>
          <t>Cetaphil Deep Hydration Healthy Glow Daily Face Cream, 1.7 oz, 48 Hour Dry Skin Face Moisturizer for Sensitive Skin, With Hyaluronic Acid, Vitamin E &amp; Vitamin B5</t>
        </is>
      </c>
      <c r="E353" s="1">
        <f>HYPERLINK("https://www.amazon.com/Cetaphil-Hydration-Healthy-Daily-Cream/dp/B09Y3W7Q2H/ref=sr_1_7?keywords=Cetaphil+Moisturizing+Dry+Skin+Relief+Cream+with+Vitamin+B5+%26+B3&amp;qid=1695764456&amp;sr=8-7", "https://www.amazon.com/Cetaphil-Hydration-Healthy-Daily-Cream/dp/B09Y3W7Q2H/ref=sr_1_7?keywords=Cetaphil+Moisturizing+Dry+Skin+Relief+Cream+with+Vitamin+B5+%26+B3&amp;qid=1695764456&amp;sr=8-7")</f>
        <v/>
      </c>
      <c r="F353" t="inlineStr">
        <is>
          <t>B09Y3W7Q2H</t>
        </is>
      </c>
      <c r="G353">
        <f>_xlfn.IMAGE("https://www.mountainside-medical.com/cdn/shop/products/Cetaphil-Moisturizing-Cream-3-oz.jpg?v=1662036102")</f>
        <v/>
      </c>
      <c r="H353">
        <f>_xlfn.IMAGE("https://m.media-amazon.com/images/I/61hadv+jaKL._AC_UL320_.jpg")</f>
        <v/>
      </c>
      <c r="K353" t="inlineStr">
        <is>
          <t>8.25</t>
        </is>
      </c>
      <c r="L353" t="n">
        <v>15.14</v>
      </c>
      <c r="M353" s="2" t="inlineStr">
        <is>
          <t>83.52%</t>
        </is>
      </c>
      <c r="N353" t="n">
        <v>4.6</v>
      </c>
      <c r="O353" t="n">
        <v>520</v>
      </c>
      <c r="Q353" t="inlineStr">
        <is>
          <t>InStock</t>
        </is>
      </c>
      <c r="R353" t="inlineStr">
        <is>
          <t>undefined</t>
        </is>
      </c>
      <c r="S353" t="inlineStr">
        <is>
          <t>1509288452</t>
        </is>
      </c>
    </row>
    <row r="354" ht="75" customHeight="1">
      <c r="A354" s="1">
        <f>HYPERLINK("https://www.mountainside-medical.com/collections/eczema-and-psoriasis-relief/products/dermacerin-moisture-therapy-cream-3-5-oz-tube", "https://www.mountainside-medical.com/collections/eczema-and-psoriasis-relief/products/dermacerin-moisture-therapy-cream-3-5-oz-tube")</f>
        <v/>
      </c>
      <c r="B354" s="1">
        <f>HYPERLINK("https://www.mountainside-medical.com/products/dermacerin-moisture-therapy-cream-3-5-oz-tube", "https://www.mountainside-medical.com/products/dermacerin-moisture-therapy-cream-3-5-oz-tube")</f>
        <v/>
      </c>
      <c r="C354" t="inlineStr">
        <is>
          <t>DermaCerin Moisturizing Therapy Cream</t>
        </is>
      </c>
      <c r="D354" t="inlineStr">
        <is>
          <t>Aveeno Eczema Therapy Daily Moisturizing Body Cream for Sensitive Skin, Soothing Eczema Relief Cream, Colloidal Oatmeal &amp; Ceramide for Dry &amp; Itchy Skin, Steroid- &amp; Fragrance-Free, 12 oz</t>
        </is>
      </c>
      <c r="E354" s="1">
        <f>HYPERLINK("https://www.amazon.com/Aveeno-Eczema-Therapy-Moisturizing-Sensitive/dp/B00CWY8V9O/ref=sr_1_5?keywords=DermaCerin+Moisturizing+Therapy+Cream&amp;qid=1695764450&amp;sr=8-5", "https://www.amazon.com/Aveeno-Eczema-Therapy-Moisturizing-Sensitive/dp/B00CWY8V9O/ref=sr_1_5?keywords=DermaCerin+Moisturizing+Therapy+Cream&amp;qid=1695764450&amp;sr=8-5")</f>
        <v/>
      </c>
      <c r="F354" t="inlineStr">
        <is>
          <t>B00CWY8V9O</t>
        </is>
      </c>
      <c r="G354">
        <f>_xlfn.IMAGE("https://www.mountainside-medical.com/cdn/shop/products/DermaCerin-Moisture-Therapy-Cream.jpg?v=1600357165")</f>
        <v/>
      </c>
      <c r="H354">
        <f>_xlfn.IMAGE("https://m.media-amazon.com/images/I/61uGf1rX7lL._AC_UL320_.jpg")</f>
        <v/>
      </c>
      <c r="K354" t="inlineStr">
        <is>
          <t>3.25</t>
        </is>
      </c>
      <c r="L354" t="n">
        <v>19.68</v>
      </c>
      <c r="M354" s="2" t="inlineStr">
        <is>
          <t>505.54%</t>
        </is>
      </c>
      <c r="N354" t="n">
        <v>4.7</v>
      </c>
      <c r="O354" t="n">
        <v>12020</v>
      </c>
      <c r="Q354" t="inlineStr">
        <is>
          <t>InStock</t>
        </is>
      </c>
      <c r="R354" t="inlineStr">
        <is>
          <t>3.99</t>
        </is>
      </c>
      <c r="S354" t="inlineStr">
        <is>
          <t>1509724292</t>
        </is>
      </c>
    </row>
    <row r="355" ht="75" customHeight="1">
      <c r="A355" s="1">
        <f>HYPERLINK("https://www.mountainside-medical.com/collections/eczema-and-psoriasis-relief/products/dermacerin-moisture-therapy-cream-3-5-oz-tube", "https://www.mountainside-medical.com/collections/eczema-and-psoriasis-relief/products/dermacerin-moisture-therapy-cream-3-5-oz-tube")</f>
        <v/>
      </c>
      <c r="B355" s="1">
        <f>HYPERLINK("https://www.mountainside-medical.com/products/dermacerin-moisture-therapy-cream-3-5-oz-tube", "https://www.mountainside-medical.com/products/dermacerin-moisture-therapy-cream-3-5-oz-tube")</f>
        <v/>
      </c>
      <c r="C355" t="inlineStr">
        <is>
          <t>DermaCerin Moisturizing Therapy Cream</t>
        </is>
      </c>
      <c r="D355" t="inlineStr">
        <is>
          <t>DermaCerin moisturizing cream for moisture therapy - 16 oz by Dermarite Industries</t>
        </is>
      </c>
      <c r="E355" s="1">
        <f>HYPERLINK("https://www.amazon.com/DermaCerin-moisturizing-cream-moisture-therapy/dp/B01LMNA11G/ref=sr_1_2?keywords=DermaCerin+Moisturizing+Therapy+Cream&amp;qid=1695764450&amp;sr=8-2", "https://www.amazon.com/DermaCerin-moisturizing-cream-moisture-therapy/dp/B01LMNA11G/ref=sr_1_2?keywords=DermaCerin+Moisturizing+Therapy+Cream&amp;qid=1695764450&amp;sr=8-2")</f>
        <v/>
      </c>
      <c r="F355" t="inlineStr">
        <is>
          <t>B01LMNA11G</t>
        </is>
      </c>
      <c r="G355">
        <f>_xlfn.IMAGE("https://www.mountainside-medical.com/cdn/shop/products/DermaCerin-Moisture-Therapy-Cream.jpg?v=1600357165")</f>
        <v/>
      </c>
      <c r="H355">
        <f>_xlfn.IMAGE("https://m.media-amazon.com/images/I/31nTTTGz5RL._AC_UL320_.jpg")</f>
        <v/>
      </c>
      <c r="K355" t="inlineStr">
        <is>
          <t>3.25</t>
        </is>
      </c>
      <c r="L355" t="n">
        <v>19.46</v>
      </c>
      <c r="M355" s="2" t="inlineStr">
        <is>
          <t>498.77%</t>
        </is>
      </c>
      <c r="N355" t="n">
        <v>3.8</v>
      </c>
      <c r="O355" t="n">
        <v>16</v>
      </c>
      <c r="Q355" t="inlineStr">
        <is>
          <t>InStock</t>
        </is>
      </c>
      <c r="R355" t="inlineStr">
        <is>
          <t>3.99</t>
        </is>
      </c>
      <c r="S355" t="inlineStr">
        <is>
          <t>1509724292</t>
        </is>
      </c>
    </row>
    <row r="356" ht="75" customHeight="1">
      <c r="A356" s="1">
        <f>HYPERLINK("https://www.mountainside-medical.com/collections/eczema-and-psoriasis-relief/products/sebex-medicated-dandruff-seborrheic-dermatitis-psoriasis-shampoo", "https://www.mountainside-medical.com/collections/eczema-and-psoriasis-relief/products/sebex-medicated-dandruff-seborrheic-dermatitis-psoriasis-shampoo")</f>
        <v/>
      </c>
      <c r="B356" s="1">
        <f>HYPERLINK("https://www.mountainside-medical.com/products/sebex-medicated-dandruff-seborrheic-dermatitis-psoriasis-shampoo", "https://www.mountainside-medical.com/products/sebex-medicated-dandruff-seborrheic-dermatitis-psoriasis-shampoo")</f>
        <v/>
      </c>
      <c r="C356" t="inlineStr">
        <is>
          <t>Sebex Medicated Dandruff Seborrheic Dermatitis &amp; Psoriasis Shampoo</t>
        </is>
      </c>
      <c r="D356" t="inlineStr">
        <is>
          <t>Folliculitis, Seborrheic Dermatitis Shampoo, Anti Dandruff/ Antifungal Shampoo, Folliculitis/Dandruff Treatment, Scalp Psoriasis Treatment, Relieve From Itchy &amp; Dry Scalp</t>
        </is>
      </c>
      <c r="E356" s="1">
        <f>HYPERLINK("https://www.amazon.com/Folliculitis-Seborrheic-Dermatitis-Antifungal-Treatment/dp/B0BRJWFM6L/ref=sr_1_4?keywords=Sebex+Medicated+Dandruff+Seborrheic+Dermatitis&amp;qid=1695764453&amp;sr=8-4", "https://www.amazon.com/Folliculitis-Seborrheic-Dermatitis-Antifungal-Treatment/dp/B0BRJWFM6L/ref=sr_1_4?keywords=Sebex+Medicated+Dandruff+Seborrheic+Dermatitis&amp;qid=1695764453&amp;sr=8-4")</f>
        <v/>
      </c>
      <c r="F356" t="inlineStr">
        <is>
          <t>B0BRJWFM6L</t>
        </is>
      </c>
      <c r="G356">
        <f>_xlfn.IMAGE("https://www.mountainside-medical.com/cdn/shop/products/Sebex-Medicated-Dandruff-Seborrheic-Dermatitis-Psoriasis-Shampoo.jpg?v=1642533549")</f>
        <v/>
      </c>
      <c r="H356">
        <f>_xlfn.IMAGE("https://m.media-amazon.com/images/I/71hYcgAfx4L._AC_UL320_.jpg")</f>
        <v/>
      </c>
      <c r="K356" t="inlineStr">
        <is>
          <t>2.99</t>
        </is>
      </c>
      <c r="L356" t="n">
        <v>26.99</v>
      </c>
      <c r="M356" s="2" t="inlineStr">
        <is>
          <t>802.68%</t>
        </is>
      </c>
      <c r="N356" t="n">
        <v>4.6</v>
      </c>
      <c r="O356" t="n">
        <v>2062</v>
      </c>
      <c r="Q356" t="inlineStr">
        <is>
          <t>InStock</t>
        </is>
      </c>
      <c r="R356" t="inlineStr">
        <is>
          <t>undefined</t>
        </is>
      </c>
      <c r="S356" t="inlineStr">
        <is>
          <t>6565629329480</t>
        </is>
      </c>
    </row>
    <row r="357" ht="75" customHeight="1">
      <c r="A357" s="1">
        <f>HYPERLINK("https://www.mountainside-medical.com/collections/eczema-and-psoriasis-relief/products/sebex-medicated-dandruff-seborrheic-dermatitis-psoriasis-shampoo", "https://www.mountainside-medical.com/collections/eczema-and-psoriasis-relief/products/sebex-medicated-dandruff-seborrheic-dermatitis-psoriasis-shampoo")</f>
        <v/>
      </c>
      <c r="B357" s="1">
        <f>HYPERLINK("https://www.mountainside-medical.com/products/sebex-medicated-dandruff-seborrheic-dermatitis-psoriasis-shampoo", "https://www.mountainside-medical.com/products/sebex-medicated-dandruff-seborrheic-dermatitis-psoriasis-shampoo")</f>
        <v/>
      </c>
      <c r="C357" t="inlineStr">
        <is>
          <t>Sebex Medicated Dandruff Seborrheic Dermatitis &amp; Psoriasis Shampoo</t>
        </is>
      </c>
      <c r="D357" t="inlineStr">
        <is>
          <t>Seborrheic Dermatitis Shampoo - Salicylic Acid with Natural Peat Mud for Treatment of Dry, Itchy, Flaky Scalp. Helps Also With Dandruff, Psoriasis &amp; Eczema. 8.45 oz</t>
        </is>
      </c>
      <c r="E357" s="1">
        <f>HYPERLINK("https://www.amazon.com/Sphagnum-Botanicals-Seborrheic-Dermatitis-Shampoo/dp/B0BPCVRY9G/ref=sr_1_9?keywords=Sebex+Medicated+Dandruff+Seborrheic+Dermatitis&amp;qid=1695764453&amp;sr=8-9", "https://www.amazon.com/Sphagnum-Botanicals-Seborrheic-Dermatitis-Shampoo/dp/B0BPCVRY9G/ref=sr_1_9?keywords=Sebex+Medicated+Dandruff+Seborrheic+Dermatitis&amp;qid=1695764453&amp;sr=8-9")</f>
        <v/>
      </c>
      <c r="F357" t="inlineStr">
        <is>
          <t>B0BPCVRY9G</t>
        </is>
      </c>
      <c r="G357">
        <f>_xlfn.IMAGE("https://www.mountainside-medical.com/cdn/shop/products/Sebex-Medicated-Dandruff-Seborrheic-Dermatitis-Psoriasis-Shampoo.jpg?v=1642533549")</f>
        <v/>
      </c>
      <c r="H357">
        <f>_xlfn.IMAGE("https://m.media-amazon.com/images/I/61xzdB+IHOL._AC_UL320_.jpg")</f>
        <v/>
      </c>
      <c r="K357" t="inlineStr">
        <is>
          <t>2.99</t>
        </is>
      </c>
      <c r="L357" t="n">
        <v>25</v>
      </c>
      <c r="M357" s="2" t="inlineStr">
        <is>
          <t>736.12%</t>
        </is>
      </c>
      <c r="N357" t="n">
        <v>4</v>
      </c>
      <c r="O357" t="n">
        <v>32</v>
      </c>
      <c r="Q357" t="inlineStr">
        <is>
          <t>InStock</t>
        </is>
      </c>
      <c r="R357" t="inlineStr">
        <is>
          <t>undefined</t>
        </is>
      </c>
      <c r="S357" t="inlineStr">
        <is>
          <t>6565629329480</t>
        </is>
      </c>
    </row>
    <row r="358" ht="75" customHeight="1">
      <c r="A358" s="1">
        <f>HYPERLINK("https://www.mountainside-medical.com/collections/eczema-and-psoriasis-relief/products/thera-gel-0-5-therapeutic-shampoo-8-5-oz", "https://www.mountainside-medical.com/collections/eczema-and-psoriasis-relief/products/thera-gel-0-5-therapeutic-shampoo-8-5-oz")</f>
        <v/>
      </c>
      <c r="B358" s="1">
        <f>HYPERLINK("https://www.mountainside-medical.com/products/thera-gel-0-5-therapeutic-shampoo-8-5-oz", "https://www.mountainside-medical.com/products/thera-gel-0-5-therapeutic-shampoo-8-5-oz")</f>
        <v/>
      </c>
      <c r="C358" t="inlineStr">
        <is>
          <t>Thera-Gel 0.5% Therapeutic Shampoo 8.5 oz</t>
        </is>
      </c>
      <c r="D358" t="inlineStr">
        <is>
          <t>Neutrogena T/Gel Therapeutic Shampoo Original Formula, Anti-Dandruff Treatment for Lasting Relief of Itching Flaking Scalp as a Result of Psoriasis &amp; Seborrheic Dermatitis, 2 x 8.5 fl. oz</t>
        </is>
      </c>
      <c r="E358" s="1">
        <f>HYPERLINK("https://www.amazon.com/Neutrogena-Therapeutic-Anti-Dandruff-Seborrheic-Dermatitis/dp/B094W9YWVG/ref=sr_1_8?keywords=Thera-Gel+0.5%25+Therapeutic+Shampoo+8.5+oz&amp;qid=1695764455&amp;sr=8-8", "https://www.amazon.com/Neutrogena-Therapeutic-Anti-Dandruff-Seborrheic-Dermatitis/dp/B094W9YWVG/ref=sr_1_8?keywords=Thera-Gel+0.5%25+Therapeutic+Shampoo+8.5+oz&amp;qid=1695764455&amp;sr=8-8")</f>
        <v/>
      </c>
      <c r="F358" t="inlineStr">
        <is>
          <t>B094W9YWVG</t>
        </is>
      </c>
      <c r="G358">
        <f>_xlfn.IMAGE("https://www.mountainside-medical.com/cdn/shop/products/Thera-GelShampoo.jpg?v=1625738175")</f>
        <v/>
      </c>
      <c r="H358">
        <f>_xlfn.IMAGE("https://m.media-amazon.com/images/I/712sdhoOO0L._AC_UL320_.jpg")</f>
        <v/>
      </c>
      <c r="K358" t="inlineStr">
        <is>
          <t>4.29</t>
        </is>
      </c>
      <c r="L358" t="n">
        <v>34.29</v>
      </c>
      <c r="M358" s="2" t="inlineStr">
        <is>
          <t>699.30%</t>
        </is>
      </c>
      <c r="N358" t="n">
        <v>4.7</v>
      </c>
      <c r="O358" t="n">
        <v>1989</v>
      </c>
      <c r="Q358" t="inlineStr">
        <is>
          <t>OutOfStock</t>
        </is>
      </c>
      <c r="R358" t="inlineStr">
        <is>
          <t>undefined</t>
        </is>
      </c>
      <c r="S358" t="inlineStr">
        <is>
          <t>6565656002632</t>
        </is>
      </c>
    </row>
    <row r="359" ht="75" customHeight="1">
      <c r="A359" s="1">
        <f>HYPERLINK("https://www.mountainside-medical.com/collections/eczema-and-psoriasis-relief/products/thera-gel-0-5-therapeutic-shampoo-8-5-oz", "https://www.mountainside-medical.com/collections/eczema-and-psoriasis-relief/products/thera-gel-0-5-therapeutic-shampoo-8-5-oz")</f>
        <v/>
      </c>
      <c r="B359" s="1">
        <f>HYPERLINK("https://www.mountainside-medical.com/products/thera-gel-0-5-therapeutic-shampoo-8-5-oz", "https://www.mountainside-medical.com/products/thera-gel-0-5-therapeutic-shampoo-8-5-oz")</f>
        <v/>
      </c>
      <c r="C359" t="inlineStr">
        <is>
          <t>Thera-Gel 0.5% Therapeutic Shampoo 8.5 oz</t>
        </is>
      </c>
      <c r="D359" t="inlineStr">
        <is>
          <t>Neutrogena T/Gel Therapeutic Shampoo, Original Formula, 8.5 Ounce</t>
        </is>
      </c>
      <c r="E359" s="1">
        <f>HYPERLINK("https://www.amazon.com/Neutrogena-Therapeutic-Shampoo-Original-Formula/dp/B0009KN8TQ/ref=sr_1_7?keywords=Thera-Gel+0.5%25+Therapeutic+Shampoo+8.5+oz&amp;qid=1695764455&amp;sr=8-7", "https://www.amazon.com/Neutrogena-Therapeutic-Shampoo-Original-Formula/dp/B0009KN8TQ/ref=sr_1_7?keywords=Thera-Gel+0.5%25+Therapeutic+Shampoo+8.5+oz&amp;qid=1695764455&amp;sr=8-7")</f>
        <v/>
      </c>
      <c r="F359" t="inlineStr">
        <is>
          <t>B0009KN8TQ</t>
        </is>
      </c>
      <c r="G359">
        <f>_xlfn.IMAGE("https://www.mountainside-medical.com/cdn/shop/products/Thera-GelShampoo.jpg?v=1625738175")</f>
        <v/>
      </c>
      <c r="H359">
        <f>_xlfn.IMAGE("https://m.media-amazon.com/images/I/810xvkji1TL._AC_UL320_.jpg")</f>
        <v/>
      </c>
      <c r="K359" t="inlineStr">
        <is>
          <t>4.29</t>
        </is>
      </c>
      <c r="L359" t="n">
        <v>19.99</v>
      </c>
      <c r="M359" s="2" t="inlineStr">
        <is>
          <t>365.97%</t>
        </is>
      </c>
      <c r="N359" t="n">
        <v>4.7</v>
      </c>
      <c r="O359" t="n">
        <v>475</v>
      </c>
      <c r="Q359" t="inlineStr">
        <is>
          <t>OutOfStock</t>
        </is>
      </c>
      <c r="R359" t="inlineStr">
        <is>
          <t>undefined</t>
        </is>
      </c>
      <c r="S359" t="inlineStr">
        <is>
          <t>6565656002632</t>
        </is>
      </c>
    </row>
    <row r="360" ht="75" customHeight="1">
      <c r="A360" s="1">
        <f>HYPERLINK("https://www.mountainside-medical.com/collections/mi-paste/products/dry-mouth-gel-10-pack", "https://www.mountainside-medical.com/collections/mi-paste/products/dry-mouth-gel-10-pack")</f>
        <v/>
      </c>
      <c r="B360" s="1">
        <f>HYPERLINK("https://www.mountainside-medical.com/products/dry-mouth-gel-10-pack", "https://www.mountainside-medical.com/products/dry-mouth-gel-10-pack")</f>
        <v/>
      </c>
      <c r="C360" t="inlineStr">
        <is>
          <t>GC America Dry Mouth Gel</t>
        </is>
      </c>
      <c r="D360" t="inlineStr">
        <is>
          <t>GC Dry Mouth Gel Lemon 40g (35ml) by GC</t>
        </is>
      </c>
      <c r="E360" s="1">
        <f>HYPERLINK("https://www.amazon.com/GC-Dry-Mouth-Lemon-35ml/dp/B01HQVHTWM/ref=sr_1_7?keywords=GC+America+Dry+Mouth+Gel&amp;qid=1695764202&amp;sr=8-7", "https://www.amazon.com/GC-Dry-Mouth-Lemon-35ml/dp/B01HQVHTWM/ref=sr_1_7?keywords=GC+America+Dry+Mouth+Gel&amp;qid=1695764202&amp;sr=8-7")</f>
        <v/>
      </c>
      <c r="F360" t="inlineStr">
        <is>
          <t>B01HQVHTWM</t>
        </is>
      </c>
      <c r="G360">
        <f>_xlfn.IMAGE("https://www.mountainside-medical.com/cdn/shop/products/GC_America_Dry_Mouth_Gel_2.png?v=1600362774")</f>
        <v/>
      </c>
      <c r="H360">
        <f>_xlfn.IMAGE("https://m.media-amazon.com/images/I/31WS1h8i6PL._AC_UL320_.jpg")</f>
        <v/>
      </c>
      <c r="K360" t="inlineStr">
        <is>
          <t>9.99</t>
        </is>
      </c>
      <c r="L360" t="n">
        <v>19.95</v>
      </c>
      <c r="M360" s="2" t="inlineStr">
        <is>
          <t>99.70%</t>
        </is>
      </c>
      <c r="N360" t="n">
        <v>4.2</v>
      </c>
      <c r="O360" t="n">
        <v>8</v>
      </c>
      <c r="Q360" t="inlineStr">
        <is>
          <t>InStock</t>
        </is>
      </c>
      <c r="R360" t="inlineStr">
        <is>
          <t>12.99</t>
        </is>
      </c>
      <c r="S360" t="inlineStr">
        <is>
          <t>1509823748</t>
        </is>
      </c>
    </row>
    <row r="361" ht="75" customHeight="1">
      <c r="A361" s="1">
        <f>HYPERLINK("https://www.mountainside-medical.com/collections/mi-paste/products/dry-mouth-gel-10-pack", "https://www.mountainside-medical.com/collections/mi-paste/products/dry-mouth-gel-10-pack")</f>
        <v/>
      </c>
      <c r="B361" s="1">
        <f>HYPERLINK("https://www.mountainside-medical.com/products/dry-mouth-gel-10-pack", "https://www.mountainside-medical.com/products/dry-mouth-gel-10-pack")</f>
        <v/>
      </c>
      <c r="C361" t="inlineStr">
        <is>
          <t>GC America Dry Mouth Gel</t>
        </is>
      </c>
      <c r="D361" t="inlineStr">
        <is>
          <t>GC Dry Mouth Gel (Orange Flavor) 40G</t>
        </is>
      </c>
      <c r="E361" s="1">
        <f>HYPERLINK("https://www.amazon.com/GC-Dry-Mouth-Orange-Flavor/dp/B01BLE9FKY/ref=sr_1_6?keywords=GC+America+Dry+Mouth+Gel&amp;qid=1695764202&amp;sr=8-6", "https://www.amazon.com/GC-Dry-Mouth-Orange-Flavor/dp/B01BLE9FKY/ref=sr_1_6?keywords=GC+America+Dry+Mouth+Gel&amp;qid=1695764202&amp;sr=8-6")</f>
        <v/>
      </c>
      <c r="F361" t="inlineStr">
        <is>
          <t>B01BLE9FKY</t>
        </is>
      </c>
      <c r="G361">
        <f>_xlfn.IMAGE("https://www.mountainside-medical.com/cdn/shop/products/GC_America_Dry_Mouth_Gel_2.png?v=1600362774")</f>
        <v/>
      </c>
      <c r="H361">
        <f>_xlfn.IMAGE("https://m.media-amazon.com/images/I/51V9wNfKDqL._AC_UL320_.jpg")</f>
        <v/>
      </c>
      <c r="K361" t="inlineStr">
        <is>
          <t>9.99</t>
        </is>
      </c>
      <c r="L361" t="n">
        <v>16.95</v>
      </c>
      <c r="M361" s="2" t="inlineStr">
        <is>
          <t>69.67%</t>
        </is>
      </c>
      <c r="N361" t="n">
        <v>3.9</v>
      </c>
      <c r="O361" t="n">
        <v>90</v>
      </c>
      <c r="Q361" t="inlineStr">
        <is>
          <t>InStock</t>
        </is>
      </c>
      <c r="R361" t="inlineStr">
        <is>
          <t>12.99</t>
        </is>
      </c>
      <c r="S361" t="inlineStr">
        <is>
          <t>1509823748</t>
        </is>
      </c>
    </row>
    <row r="362" ht="75" customHeight="1">
      <c r="A362" s="1">
        <f>HYPERLINK("https://www.mountainside-medical.com/collections/mi-paste/products/dry-mouth-gel-10-pack", "https://www.mountainside-medical.com/collections/mi-paste/products/dry-mouth-gel-10-pack")</f>
        <v/>
      </c>
      <c r="B362" s="1">
        <f>HYPERLINK("https://www.mountainside-medical.com/products/dry-mouth-gel-10-pack", "https://www.mountainside-medical.com/products/dry-mouth-gel-10-pack")</f>
        <v/>
      </c>
      <c r="C362" t="inlineStr">
        <is>
          <t>GC America Dry Mouth Gel</t>
        </is>
      </c>
      <c r="D362" t="inlineStr">
        <is>
          <t>GC Dry Mouth Gel (Lemon Flavor) 40G</t>
        </is>
      </c>
      <c r="E362" s="1">
        <f>HYPERLINK("https://www.amazon.com/GC-Dry-Mouth-Lemon-Flavor/dp/B01BLE9GGC/ref=sr_1_1?keywords=GC+America+Dry+Mouth+Gel&amp;qid=1695764202&amp;sr=8-1", "https://www.amazon.com/GC-Dry-Mouth-Lemon-Flavor/dp/B01BLE9GGC/ref=sr_1_1?keywords=GC+America+Dry+Mouth+Gel&amp;qid=1695764202&amp;sr=8-1")</f>
        <v/>
      </c>
      <c r="F362" t="inlineStr">
        <is>
          <t>B01BLE9GGC</t>
        </is>
      </c>
      <c r="G362">
        <f>_xlfn.IMAGE("https://www.mountainside-medical.com/cdn/shop/products/GC_America_Dry_Mouth_Gel_2.png?v=1600362774")</f>
        <v/>
      </c>
      <c r="H362">
        <f>_xlfn.IMAGE("https://m.media-amazon.com/images/I/51jCGqboo+L._AC_UL320_.jpg")</f>
        <v/>
      </c>
      <c r="K362" t="inlineStr">
        <is>
          <t>9.99</t>
        </is>
      </c>
      <c r="L362" t="n">
        <v>16.5</v>
      </c>
      <c r="M362" s="2" t="inlineStr">
        <is>
          <t>65.17%</t>
        </is>
      </c>
      <c r="N362" t="n">
        <v>4.4</v>
      </c>
      <c r="O362" t="n">
        <v>63</v>
      </c>
      <c r="Q362" t="inlineStr">
        <is>
          <t>InStock</t>
        </is>
      </c>
      <c r="R362" t="inlineStr">
        <is>
          <t>12.99</t>
        </is>
      </c>
      <c r="S362" t="inlineStr">
        <is>
          <t>1509823748</t>
        </is>
      </c>
    </row>
    <row r="363" ht="75" customHeight="1">
      <c r="A363" s="1">
        <f>HYPERLINK("https://www.mountainside-medical.com/collections/over-the-counter-drugs/products/acetaminophen-generic-tylenol-tablets", "https://www.mountainside-medical.com/collections/over-the-counter-drugs/products/acetaminophen-generic-tylenol-tablets")</f>
        <v/>
      </c>
      <c r="B363" s="1">
        <f>HYPERLINK("https://www.mountainside-medical.com/products/acetaminophen-generic-tylenol-tablets", "https://www.mountainside-medical.com/products/acetaminophen-generic-tylenol-tablets")</f>
        <v/>
      </c>
      <c r="C363" t="inlineStr">
        <is>
          <t>Acetaminophen Tablets Pain Relief and Fever Reducer Medicine</t>
        </is>
      </c>
      <c r="D363" t="inlineStr">
        <is>
          <t>Tylenol 8 Hour Arthritis Pain Relief Extended-Release Tablets, 650 mg Acetaminophen, Joint Pain Reliever &amp; Fever Reducer Medicine, Oral Pain Reliever for Arthritis &amp; Joint Pain, 225 Count</t>
        </is>
      </c>
      <c r="E363" s="1">
        <f>HYPERLINK("https://www.amazon.com/TYLENOL-Arthritis-Extended-Acetaminophen-Medicine/dp/B000I09B3Y/ref=sr_1_2?keywords=Acetaminophen+Tablets+Pain+Relief+and+Fever+Reducer+Medicine&amp;qid=1695764217&amp;sr=8-2", "https://www.amazon.com/TYLENOL-Arthritis-Extended-Acetaminophen-Medicine/dp/B000I09B3Y/ref=sr_1_2?keywords=Acetaminophen+Tablets+Pain+Relief+and+Fever+Reducer+Medicine&amp;qid=1695764217&amp;sr=8-2")</f>
        <v/>
      </c>
      <c r="F363" t="inlineStr">
        <is>
          <t>B000I09B3Y</t>
        </is>
      </c>
      <c r="G363">
        <f>_xlfn.IMAGE("https://www.mountainside-medical.com/cdn/shop/products/acetaminophen.jpeg?v=1600346041")</f>
        <v/>
      </c>
      <c r="H363">
        <f>_xlfn.IMAGE("https://m.media-amazon.com/images/I/81LkHTN8T6L._AC_UL320_.jpg")</f>
        <v/>
      </c>
      <c r="K363" t="inlineStr">
        <is>
          <t>2.1</t>
        </is>
      </c>
      <c r="L363" t="n">
        <v>16.97</v>
      </c>
      <c r="M363" s="2" t="inlineStr">
        <is>
          <t>708.10%</t>
        </is>
      </c>
      <c r="N363" t="n">
        <v>4.8</v>
      </c>
      <c r="O363" t="n">
        <v>1249</v>
      </c>
      <c r="Q363" t="inlineStr">
        <is>
          <t>InStock</t>
        </is>
      </c>
      <c r="R363" t="inlineStr">
        <is>
          <t>1.59</t>
        </is>
      </c>
      <c r="S363" t="inlineStr">
        <is>
          <t>1594616004</t>
        </is>
      </c>
    </row>
    <row r="364" ht="75" customHeight="1">
      <c r="A364" s="1">
        <f>HYPERLINK("https://www.mountainside-medical.com/collections/over-the-counter-drugs/products/advil-pm-nightime-sleep-and-pain-relief-medicine-20-coated-caplets", "https://www.mountainside-medical.com/collections/over-the-counter-drugs/products/advil-pm-nightime-sleep-and-pain-relief-medicine-20-coated-caplets")</f>
        <v/>
      </c>
      <c r="B364" s="1">
        <f>HYPERLINK("https://www.mountainside-medical.com/products/advil-pm-nightime-sleep-and-pain-relief-medicine-20-coated-caplets", "https://www.mountainside-medical.com/products/advil-pm-nightime-sleep-and-pain-relief-medicine-20-coated-caplets")</f>
        <v/>
      </c>
      <c r="C364" t="inlineStr">
        <is>
          <t>Advil PM Nightime Sleep and Pain Relief Medicine, 20 Coated Caplets</t>
        </is>
      </c>
      <c r="D364" t="inlineStr">
        <is>
          <t>Advil PM Pain Reliever and Nighttime Sleep Aid, Pain Medicine with Ibuprofen for Pain Relief and Diphenhydramine Citrate for a Sleep Aid - 50x2 Coated Caplets - Back to College</t>
        </is>
      </c>
      <c r="E364" s="1">
        <f>HYPERLINK("https://www.amazon.com/Advil-Packets-Nighttime-Ibuprofen-Diphenhydramine/dp/B001A10G2A/ref=sr_1_7?keywords=Advil+PM+Nightime+Sleep+and+Pain+Relief+Medicine%2C+20+Coated+Caplets&amp;qid=1695764225&amp;rdc=1&amp;sr=8-7", "https://www.amazon.com/Advil-Packets-Nighttime-Ibuprofen-Diphenhydramine/dp/B001A10G2A/ref=sr_1_7?keywords=Advil+PM+Nightime+Sleep+and+Pain+Relief+Medicine%2C+20+Coated+Caplets&amp;qid=1695764225&amp;rdc=1&amp;sr=8-7")</f>
        <v/>
      </c>
      <c r="F364" t="inlineStr">
        <is>
          <t>B001A10G2A</t>
        </is>
      </c>
      <c r="G364">
        <f>_xlfn.IMAGE("https://www.mountainside-medical.com/cdn/shop/products/Advil_PM_Nightime_Sleep_and_Pain_Relief_Medicine_20_Coated_Caplets.jpg?v=1600347309")</f>
        <v/>
      </c>
      <c r="H364">
        <f>_xlfn.IMAGE("https://m.media-amazon.com/images/I/81nQ2UHVSsL._AC_UL320_.jpg")</f>
        <v/>
      </c>
      <c r="K364" t="inlineStr">
        <is>
          <t>6.45</t>
        </is>
      </c>
      <c r="L364" t="n">
        <v>15.99</v>
      </c>
      <c r="M364" s="2" t="inlineStr">
        <is>
          <t>147.91%</t>
        </is>
      </c>
      <c r="N364" t="n">
        <v>4.7</v>
      </c>
      <c r="O364" t="n">
        <v>872</v>
      </c>
      <c r="Q364" t="inlineStr">
        <is>
          <t>InStock</t>
        </is>
      </c>
      <c r="R364" t="inlineStr">
        <is>
          <t>undefined</t>
        </is>
      </c>
      <c r="S364" t="inlineStr">
        <is>
          <t>1590358310984</t>
        </is>
      </c>
    </row>
    <row r="365" ht="75" customHeight="1">
      <c r="A365" s="1">
        <f>HYPERLINK("https://www.mountainside-medical.com/collections/over-the-counter-drugs/products/afrin-nasal-spray-0-05-30-ml", "https://www.mountainside-medical.com/collections/over-the-counter-drugs/products/afrin-nasal-spray-0-05-30-ml")</f>
        <v/>
      </c>
      <c r="B365" s="1">
        <f>HYPERLINK("https://www.mountainside-medical.com/products/afrin-nasal-spray-0-05-30-ml", "https://www.mountainside-medical.com/products/afrin-nasal-spray-0-05-30-ml")</f>
        <v/>
      </c>
      <c r="C365" t="inlineStr">
        <is>
          <t>Afrin 12-HourNasal Decongestant Spray 0.05%, 15 ml</t>
        </is>
      </c>
      <c r="D365" t="inlineStr">
        <is>
          <t>Afrin Original Maximum Strength 12 Hour Sinus Congestion Relief Pump Mist - Fast Acting Allergy Nasal Decongestant and Sinus Spray for Powerful Nasal Congestion Relief 0.5oz (15mL)</t>
        </is>
      </c>
      <c r="E365" s="1">
        <f>HYPERLINK("https://www.amazon.com/Afrin-Hour-Pump-Original-Ounce/dp/B019DL5KAG/ref=sr_1_5?keywords=afrin+12-hour+nasal+decongestant+spray+0.05%25%2C+15ml&amp;qid=1695764233&amp;sr=8-5", "https://www.amazon.com/Afrin-Hour-Pump-Original-Ounce/dp/B019DL5KAG/ref=sr_1_5?keywords=afrin+12-hour+nasal+decongestant+spray+0.05%25%2C+15ml&amp;qid=1695764233&amp;sr=8-5")</f>
        <v/>
      </c>
      <c r="F365" t="inlineStr">
        <is>
          <t>B019DL5KAG</t>
        </is>
      </c>
      <c r="G365">
        <f>_xlfn.IMAGE("https://www.mountainside-medical.com/cdn/shop/products/Afrin-12-Hour-Nasal-Nasal-Decongestant-Spray_-15-ml.jpg?v=1600347363")</f>
        <v/>
      </c>
      <c r="H365">
        <f>_xlfn.IMAGE("https://m.media-amazon.com/images/I/81lfsEyuTvL._AC_UL320_.jpg")</f>
        <v/>
      </c>
      <c r="J365" t="inlineStr">
        <is>
          <t>oos</t>
        </is>
      </c>
      <c r="K365" t="inlineStr">
        <is>
          <t>9.75</t>
        </is>
      </c>
      <c r="L365" t="n">
        <v>17.57</v>
      </c>
      <c r="M365" s="2" t="inlineStr">
        <is>
          <t>80.21%</t>
        </is>
      </c>
      <c r="N365" t="n">
        <v>4.6</v>
      </c>
      <c r="O365" t="n">
        <v>4421</v>
      </c>
      <c r="Q365" t="inlineStr">
        <is>
          <t>OutOfStock</t>
        </is>
      </c>
      <c r="R365" t="inlineStr">
        <is>
          <t>10.25</t>
        </is>
      </c>
      <c r="S365" t="inlineStr">
        <is>
          <t>1594799492</t>
        </is>
      </c>
    </row>
    <row r="366" ht="75" customHeight="1">
      <c r="A366" s="1">
        <f>HYPERLINK("https://www.mountainside-medical.com/collections/over-the-counter-drugs/products/airborne-assorted-fruit-flavor-immune-support-gummies", "https://www.mountainside-medical.com/collections/over-the-counter-drugs/products/airborne-assorted-fruit-flavor-immune-support-gummies")</f>
        <v/>
      </c>
      <c r="B366" s="1">
        <f>HYPERLINK("https://www.mountainside-medical.com/products/airborne-assorted-fruit-flavor-immune-support-gummies", "https://www.mountainside-medical.com/products/airborne-assorted-fruit-flavor-immune-support-gummies")</f>
        <v/>
      </c>
      <c r="C366" t="inlineStr">
        <is>
          <t>Airborne Orange Flavor Immune Support Gummies, 21 Count</t>
        </is>
      </c>
      <c r="D366" t="inlineStr">
        <is>
          <t>Airborne 750mg Vitamin C Gummies For Adults, Immune Support Supplement with Powerful Antioxidants Vitamins C &amp; E - 63 Gummies, Zesty Orange Flavor</t>
        </is>
      </c>
      <c r="E366" s="1">
        <f>HYPERLINK("https://www.amazon.com/Airborne-Supplement-Powerful-Antioxidants-Vitamins/dp/B01FC2EPEM/ref=sr_1_1?keywords=Airborne+Orange+Flavor+Immune+Support+Gummies%2C+21+Count&amp;qid=1695764229&amp;sr=8-1", "https://www.amazon.com/Airborne-Supplement-Powerful-Antioxidants-Vitamins/dp/B01FC2EPEM/ref=sr_1_1?keywords=Airborne+Orange+Flavor+Immune+Support+Gummies%2C+21+Count&amp;qid=1695764229&amp;sr=8-1")</f>
        <v/>
      </c>
      <c r="F366" t="inlineStr">
        <is>
          <t>B01FC2EPEM</t>
        </is>
      </c>
      <c r="G366">
        <f>_xlfn.IMAGE("https://www.mountainside-medical.com/cdn/shop/products/Airborne-Assorted-Fruit-Flavor-Immune-Support-Gummies.jpg?v=1600347429")</f>
        <v/>
      </c>
      <c r="H366">
        <f>_xlfn.IMAGE("https://m.media-amazon.com/images/I/71UuJ2ePdLL._AC_UL320_.jpg")</f>
        <v/>
      </c>
      <c r="K366" t="inlineStr">
        <is>
          <t>7.95</t>
        </is>
      </c>
      <c r="L366" t="n">
        <v>17.99</v>
      </c>
      <c r="M366" s="2" t="inlineStr">
        <is>
          <t>126.29%</t>
        </is>
      </c>
      <c r="N366" t="n">
        <v>4.7</v>
      </c>
      <c r="O366" t="n">
        <v>2386</v>
      </c>
      <c r="Q366" t="inlineStr">
        <is>
          <t>InStock</t>
        </is>
      </c>
      <c r="R366" t="inlineStr">
        <is>
          <t>10.75</t>
        </is>
      </c>
      <c r="S366" t="inlineStr">
        <is>
          <t>1451891032136</t>
        </is>
      </c>
    </row>
    <row r="367" ht="75" customHeight="1">
      <c r="A367" s="1">
        <f>HYPERLINK("https://www.mountainside-medical.com/collections/over-the-counter-drugs/products/airborne-immune-support-chewable-tablets-berry-32-count", "https://www.mountainside-medical.com/collections/over-the-counter-drugs/products/airborne-immune-support-chewable-tablets-berry-32-count")</f>
        <v/>
      </c>
      <c r="B367" s="1">
        <f>HYPERLINK("https://www.mountainside-medical.com/products/airborne-immune-support-chewable-tablets-berry-32-count", "https://www.mountainside-medical.com/products/airborne-immune-support-chewable-tablets-berry-32-count")</f>
        <v/>
      </c>
      <c r="C367" t="inlineStr">
        <is>
          <t>Airborne Immune Support Chewable Tablets Berry 32 Count</t>
        </is>
      </c>
      <c r="D367" t="inlineStr">
        <is>
          <t>Airborne 1000mg Vitamin C Chewable Tablets Citrus &amp; Very Berry Flavor Bundle - Immune Support Supplement with Zinc and Powerful Antioxidant Vitamins A C &amp; E, (2x116ct bottles)*</t>
        </is>
      </c>
      <c r="E367" s="1">
        <f>HYPERLINK("https://www.amazon.com/Vitamin-1000mg-Airborne-Chewable-Supplement/dp/B07V134SDL/ref=sr_1_5?keywords=Airborne+Immune+Support+Chewable+Tablets+Berry+32+Count&amp;qid=1695764232&amp;sr=8-5", "https://www.amazon.com/Vitamin-1000mg-Airborne-Chewable-Supplement/dp/B07V134SDL/ref=sr_1_5?keywords=Airborne+Immune+Support+Chewable+Tablets+Berry+32+Count&amp;qid=1695764232&amp;sr=8-5")</f>
        <v/>
      </c>
      <c r="F367" t="inlineStr">
        <is>
          <t>B07V134SDL</t>
        </is>
      </c>
      <c r="G367">
        <f>_xlfn.IMAGE("https://www.mountainside-medical.com/cdn/shop/products/Airborne-Immune-Support-Chewable-Tablets-Berry-Flavor.jpg?v=1600347457")</f>
        <v/>
      </c>
      <c r="H367">
        <f>_xlfn.IMAGE("https://m.media-amazon.com/images/I/81mGm61ofNL._AC_UL320_.jpg")</f>
        <v/>
      </c>
      <c r="K367" t="inlineStr">
        <is>
          <t>7.95</t>
        </is>
      </c>
      <c r="L367" t="n">
        <v>32.98</v>
      </c>
      <c r="M367" s="2" t="inlineStr">
        <is>
          <t>314.84%</t>
        </is>
      </c>
      <c r="N367" t="n">
        <v>4.8</v>
      </c>
      <c r="O367" t="n">
        <v>616</v>
      </c>
      <c r="Q367" t="inlineStr">
        <is>
          <t>InStock</t>
        </is>
      </c>
      <c r="R367" t="inlineStr">
        <is>
          <t>10.75</t>
        </is>
      </c>
      <c r="S367" t="inlineStr">
        <is>
          <t>4629191196744</t>
        </is>
      </c>
    </row>
    <row r="368" ht="75" customHeight="1">
      <c r="A368" s="1">
        <f>HYPERLINK("https://www.mountainside-medical.com/collections/over-the-counter-drugs/products/airborne-immune-support-chewable-tablets-berry-32-count", "https://www.mountainside-medical.com/collections/over-the-counter-drugs/products/airborne-immune-support-chewable-tablets-berry-32-count")</f>
        <v/>
      </c>
      <c r="B368" s="1">
        <f>HYPERLINK("https://www.mountainside-medical.com/products/airborne-immune-support-chewable-tablets-berry-32-count", "https://www.mountainside-medical.com/products/airborne-immune-support-chewable-tablets-berry-32-count")</f>
        <v/>
      </c>
      <c r="C368" t="inlineStr">
        <is>
          <t>Airborne Immune Support Chewable Tablets Berry 32 Count</t>
        </is>
      </c>
      <c r="D368" t="inlineStr">
        <is>
          <t>Airborne 1000mg Vitamin C with Zinc, Immune Support Supplement with Powerful Antioxidants Vitamins A C &amp; E - 116 Chewable Tablets, Very Berry Flavor</t>
        </is>
      </c>
      <c r="E368" s="1">
        <f>HYPERLINK("https://www.amazon.com/Airborne-Berry-Chewable-Tablets-count/dp/B0096YRSVA/ref=sr_1_3?keywords=Airborne+Immune+Support+Chewable+Tablets+Berry+32+Count&amp;qid=1695764232&amp;sr=8-3", "https://www.amazon.com/Airborne-Berry-Chewable-Tablets-count/dp/B0096YRSVA/ref=sr_1_3?keywords=Airborne+Immune+Support+Chewable+Tablets+Berry+32+Count&amp;qid=1695764232&amp;sr=8-3")</f>
        <v/>
      </c>
      <c r="F368" t="inlineStr">
        <is>
          <t>B0096YRSVA</t>
        </is>
      </c>
      <c r="G368">
        <f>_xlfn.IMAGE("https://www.mountainside-medical.com/cdn/shop/products/Airborne-Immune-Support-Chewable-Tablets-Berry-Flavor.jpg?v=1600347457")</f>
        <v/>
      </c>
      <c r="H368">
        <f>_xlfn.IMAGE("https://m.media-amazon.com/images/I/71QvUMqAMBL._AC_UL320_.jpg")</f>
        <v/>
      </c>
      <c r="K368" t="inlineStr">
        <is>
          <t>7.95</t>
        </is>
      </c>
      <c r="L368" t="n">
        <v>24.32</v>
      </c>
      <c r="M368" s="2" t="inlineStr">
        <is>
          <t>205.91%</t>
        </is>
      </c>
      <c r="N368" t="n">
        <v>4.7</v>
      </c>
      <c r="O368" t="n">
        <v>8479</v>
      </c>
      <c r="Q368" t="inlineStr">
        <is>
          <t>InStock</t>
        </is>
      </c>
      <c r="R368" t="inlineStr">
        <is>
          <t>10.75</t>
        </is>
      </c>
      <c r="S368" t="inlineStr">
        <is>
          <t>4629191196744</t>
        </is>
      </c>
    </row>
    <row r="369" ht="75" customHeight="1">
      <c r="A369" s="1">
        <f>HYPERLINK("https://www.mountainside-medical.com/collections/over-the-counter-drugs/products/airborne-immune-support-chewable-tablets-berry-32-count", "https://www.mountainside-medical.com/collections/over-the-counter-drugs/products/airborne-immune-support-chewable-tablets-berry-32-count")</f>
        <v/>
      </c>
      <c r="B369" s="1">
        <f>HYPERLINK("https://www.mountainside-medical.com/products/airborne-immune-support-chewable-tablets-berry-32-count", "https://www.mountainside-medical.com/products/airborne-immune-support-chewable-tablets-berry-32-count")</f>
        <v/>
      </c>
      <c r="C369" t="inlineStr">
        <is>
          <t>Airborne Immune Support Chewable Tablets Berry 32 Count</t>
        </is>
      </c>
      <c r="D369" t="inlineStr">
        <is>
          <t>Airborne Elderberry &amp; Vitamin C Chewable Tablets, Immune Support Supplement With Powerful Antioxidant Vitamin C, 120 Chewable Tablets, Elderberry Flavor</t>
        </is>
      </c>
      <c r="E369" s="1">
        <f>HYPERLINK("https://www.amazon.com/Airborne-Elderberry-Chewable-Supplement-Antioxidants/dp/B08R6BRV1M/ref=sr_1_6?keywords=Airborne+Immune+Support+Chewable+Tablets+Berry+32+Count&amp;qid=1695764232&amp;sr=8-6", "https://www.amazon.com/Airborne-Elderberry-Chewable-Supplement-Antioxidants/dp/B08R6BRV1M/ref=sr_1_6?keywords=Airborne+Immune+Support+Chewable+Tablets+Berry+32+Count&amp;qid=1695764232&amp;sr=8-6")</f>
        <v/>
      </c>
      <c r="F369" t="inlineStr">
        <is>
          <t>B08R6BRV1M</t>
        </is>
      </c>
      <c r="G369">
        <f>_xlfn.IMAGE("https://www.mountainside-medical.com/cdn/shop/products/Airborne-Immune-Support-Chewable-Tablets-Berry-Flavor.jpg?v=1600347457")</f>
        <v/>
      </c>
      <c r="H369">
        <f>_xlfn.IMAGE("https://m.media-amazon.com/images/I/71YFEVUvfGS._AC_UL320_.jpg")</f>
        <v/>
      </c>
      <c r="K369" t="inlineStr">
        <is>
          <t>7.95</t>
        </is>
      </c>
      <c r="L369" t="n">
        <v>15.9</v>
      </c>
      <c r="M369" s="2" t="inlineStr">
        <is>
          <t>100.00%</t>
        </is>
      </c>
      <c r="N369" t="n">
        <v>4.5</v>
      </c>
      <c r="O369" t="n">
        <v>573</v>
      </c>
      <c r="Q369" t="inlineStr">
        <is>
          <t>InStock</t>
        </is>
      </c>
      <c r="R369" t="inlineStr">
        <is>
          <t>10.75</t>
        </is>
      </c>
      <c r="S369" t="inlineStr">
        <is>
          <t>4629191196744</t>
        </is>
      </c>
    </row>
    <row r="370" ht="75" customHeight="1">
      <c r="A370" s="1">
        <f>HYPERLINK("https://www.mountainside-medical.com/collections/over-the-counter-drugs/products/airborne-original-berry-immune-support-chewable-tablets", "https://www.mountainside-medical.com/collections/over-the-counter-drugs/products/airborne-original-berry-immune-support-chewable-tablets")</f>
        <v/>
      </c>
      <c r="B370" s="1">
        <f>HYPERLINK("https://www.mountainside-medical.com/products/airborne-original-berry-immune-support-chewable-tablets", "https://www.mountainside-medical.com/products/airborne-original-berry-immune-support-chewable-tablets")</f>
        <v/>
      </c>
      <c r="C370" t="inlineStr">
        <is>
          <t>Airborne Original Berry Immune Support Chewable Tablets</t>
        </is>
      </c>
      <c r="D370" t="inlineStr">
        <is>
          <t>Airborne 1000mg Vitamin C Chewable Tablets Citrus &amp; Very Berry Flavor Bundle - Immune Support Supplement with Zinc and Powerful Antioxidant Vitamins A C &amp; E, (2x116ct bottles)*</t>
        </is>
      </c>
      <c r="E370" s="1">
        <f>HYPERLINK("https://www.amazon.com/Vitamin-1000mg-Airborne-Chewable-Supplement/dp/B07V134SDL/ref=sr_1_3?keywords=Airborne+Original+Berry+Immune+Support+Chewable+Tablets&amp;qid=1695764232&amp;sr=8-3", "https://www.amazon.com/Vitamin-1000mg-Airborne-Chewable-Supplement/dp/B07V134SDL/ref=sr_1_3?keywords=Airborne+Original+Berry+Immune+Support+Chewable+Tablets&amp;qid=1695764232&amp;sr=8-3")</f>
        <v/>
      </c>
      <c r="F370" t="inlineStr">
        <is>
          <t>B07V134SDL</t>
        </is>
      </c>
      <c r="G370">
        <f>_xlfn.IMAGE("https://www.mountainside-medical.com/cdn/shop/products/10255511.jpg?v=1600347469")</f>
        <v/>
      </c>
      <c r="H370">
        <f>_xlfn.IMAGE("https://m.media-amazon.com/images/I/81mGm61ofNL._AC_UL320_.jpg")</f>
        <v/>
      </c>
      <c r="K370" t="inlineStr">
        <is>
          <t>7.95</t>
        </is>
      </c>
      <c r="L370" t="n">
        <v>32.98</v>
      </c>
      <c r="M370" s="2" t="inlineStr">
        <is>
          <t>314.84%</t>
        </is>
      </c>
      <c r="N370" t="n">
        <v>4.8</v>
      </c>
      <c r="O370" t="n">
        <v>616</v>
      </c>
      <c r="Q370" t="inlineStr">
        <is>
          <t>InStock</t>
        </is>
      </c>
      <c r="R370" t="inlineStr">
        <is>
          <t>10.75</t>
        </is>
      </c>
      <c r="S370" t="inlineStr">
        <is>
          <t>10681707528</t>
        </is>
      </c>
    </row>
    <row r="371" ht="75" customHeight="1">
      <c r="A371" s="1">
        <f>HYPERLINK("https://www.mountainside-medical.com/collections/over-the-counter-drugs/products/airborne-original-berry-immune-support-chewable-tablets", "https://www.mountainside-medical.com/collections/over-the-counter-drugs/products/airborne-original-berry-immune-support-chewable-tablets")</f>
        <v/>
      </c>
      <c r="B371" s="1">
        <f>HYPERLINK("https://www.mountainside-medical.com/products/airborne-original-berry-immune-support-chewable-tablets", "https://www.mountainside-medical.com/products/airborne-original-berry-immune-support-chewable-tablets")</f>
        <v/>
      </c>
      <c r="C371" t="inlineStr">
        <is>
          <t>Airborne Original Berry Immune Support Chewable Tablets</t>
        </is>
      </c>
      <c r="D371" t="inlineStr">
        <is>
          <t>Airborne Zesty Orange &amp; Very Berry 1000mg Vitamin C with Zinc Effervescent Bundle, Immune Support Supplement with Powerful Antioxidants Vitamins A C &amp; E - (2x30ct box), Fizzy Drink Tablets</t>
        </is>
      </c>
      <c r="E371" s="1">
        <f>HYPERLINK("https://www.amazon.com/Airborne-Effervescent-Supplement-Powerful-Antioxidants/dp/B07TZ4N2RF/ref=sr_1_10?keywords=Airborne+Original+Berry+Immune+Support+Chewable+Tablets&amp;qid=1695764232&amp;sr=8-10", "https://www.amazon.com/Airborne-Effervescent-Supplement-Powerful-Antioxidants/dp/B07TZ4N2RF/ref=sr_1_10?keywords=Airborne+Original+Berry+Immune+Support+Chewable+Tablets&amp;qid=1695764232&amp;sr=8-10")</f>
        <v/>
      </c>
      <c r="F371" t="inlineStr">
        <is>
          <t>B07TZ4N2RF</t>
        </is>
      </c>
      <c r="G371">
        <f>_xlfn.IMAGE("https://www.mountainside-medical.com/cdn/shop/products/10255511.jpg?v=1600347469")</f>
        <v/>
      </c>
      <c r="H371">
        <f>_xlfn.IMAGE("https://m.media-amazon.com/images/I/81drljtBDYL._AC_UL320_.jpg")</f>
        <v/>
      </c>
      <c r="K371" t="inlineStr">
        <is>
          <t>7.95</t>
        </is>
      </c>
      <c r="L371" t="n">
        <v>32.7</v>
      </c>
      <c r="M371" s="2" t="inlineStr">
        <is>
          <t>311.32%</t>
        </is>
      </c>
      <c r="N371" t="n">
        <v>4.8</v>
      </c>
      <c r="O371" t="n">
        <v>209</v>
      </c>
      <c r="Q371" t="inlineStr">
        <is>
          <t>InStock</t>
        </is>
      </c>
      <c r="R371" t="inlineStr">
        <is>
          <t>10.75</t>
        </is>
      </c>
      <c r="S371" t="inlineStr">
        <is>
          <t>10681707528</t>
        </is>
      </c>
    </row>
    <row r="372" ht="75" customHeight="1">
      <c r="A372" s="1">
        <f>HYPERLINK("https://www.mountainside-medical.com/collections/over-the-counter-drugs/products/airborne-original-berry-immune-support-chewable-tablets", "https://www.mountainside-medical.com/collections/over-the-counter-drugs/products/airborne-original-berry-immune-support-chewable-tablets")</f>
        <v/>
      </c>
      <c r="B372" s="1">
        <f>HYPERLINK("https://www.mountainside-medical.com/products/airborne-original-berry-immune-support-chewable-tablets", "https://www.mountainside-medical.com/products/airborne-original-berry-immune-support-chewable-tablets")</f>
        <v/>
      </c>
      <c r="C372" t="inlineStr">
        <is>
          <t>Airborne Original Berry Immune Support Chewable Tablets</t>
        </is>
      </c>
      <c r="D372" t="inlineStr">
        <is>
          <t>Airborne 1000mg Vitamin C Chewable Tablets Citrus &amp; Very Berry Flavor Bundle - Immune Support Supplement with Zinc and Powerful Antioxidant Vitamins A C &amp; E, (2x96ct Bottles)*</t>
        </is>
      </c>
      <c r="E372" s="1">
        <f>HYPERLINK("https://www.amazon.com/Vitamin-1000mg-Airborne-Chewable-Supplement/dp/B07TXZV9DS/ref=sr_1_8?keywords=Airborne+Original+Berry+Immune+Support+Chewable+Tablets&amp;qid=1695764232&amp;sr=8-8", "https://www.amazon.com/Vitamin-1000mg-Airborne-Chewable-Supplement/dp/B07TXZV9DS/ref=sr_1_8?keywords=Airborne+Original+Berry+Immune+Support+Chewable+Tablets&amp;qid=1695764232&amp;sr=8-8")</f>
        <v/>
      </c>
      <c r="F372" t="inlineStr">
        <is>
          <t>B07TXZV9DS</t>
        </is>
      </c>
      <c r="G372">
        <f>_xlfn.IMAGE("https://www.mountainside-medical.com/cdn/shop/products/10255511.jpg?v=1600347469")</f>
        <v/>
      </c>
      <c r="H372">
        <f>_xlfn.IMAGE("https://m.media-amazon.com/images/I/91W-oXiPucL._AC_UL320_.jpg")</f>
        <v/>
      </c>
      <c r="K372" t="inlineStr">
        <is>
          <t>7.95</t>
        </is>
      </c>
      <c r="L372" t="n">
        <v>32.09</v>
      </c>
      <c r="M372" s="2" t="inlineStr">
        <is>
          <t>303.65%</t>
        </is>
      </c>
      <c r="N372" t="n">
        <v>4.8</v>
      </c>
      <c r="O372" t="n">
        <v>712</v>
      </c>
      <c r="Q372" t="inlineStr">
        <is>
          <t>InStock</t>
        </is>
      </c>
      <c r="R372" t="inlineStr">
        <is>
          <t>10.75</t>
        </is>
      </c>
      <c r="S372" t="inlineStr">
        <is>
          <t>10681707528</t>
        </is>
      </c>
    </row>
    <row r="373" ht="75" customHeight="1">
      <c r="A373" s="1">
        <f>HYPERLINK("https://www.mountainside-medical.com/collections/over-the-counter-drugs/products/airborne-original-berry-immune-support-chewable-tablets", "https://www.mountainside-medical.com/collections/over-the-counter-drugs/products/airborne-original-berry-immune-support-chewable-tablets")</f>
        <v/>
      </c>
      <c r="B373" s="1">
        <f>HYPERLINK("https://www.mountainside-medical.com/products/airborne-original-berry-immune-support-chewable-tablets", "https://www.mountainside-medical.com/products/airborne-original-berry-immune-support-chewable-tablets")</f>
        <v/>
      </c>
      <c r="C373" t="inlineStr">
        <is>
          <t>Airborne Original Berry Immune Support Chewable Tablets</t>
        </is>
      </c>
      <c r="D373" t="inlineStr">
        <is>
          <t>Airborne 1000mg Vitamin C with Zinc, Immune Support Supplement with Powerful Antioxidants Vitamins A C &amp; E - 116 Chewable Tablets, Very Berry Flavor</t>
        </is>
      </c>
      <c r="E373" s="1">
        <f>HYPERLINK("https://www.amazon.com/Airborne-Berry-Chewable-Tablets-count/dp/B0096YRSVA/ref=sr_1_1?keywords=Airborne+Original+Berry+Immune+Support+Chewable+Tablets&amp;qid=1695764232&amp;sr=8-1", "https://www.amazon.com/Airborne-Berry-Chewable-Tablets-count/dp/B0096YRSVA/ref=sr_1_1?keywords=Airborne+Original+Berry+Immune+Support+Chewable+Tablets&amp;qid=1695764232&amp;sr=8-1")</f>
        <v/>
      </c>
      <c r="F373" t="inlineStr">
        <is>
          <t>B0096YRSVA</t>
        </is>
      </c>
      <c r="G373">
        <f>_xlfn.IMAGE("https://www.mountainside-medical.com/cdn/shop/products/10255511.jpg?v=1600347469")</f>
        <v/>
      </c>
      <c r="H373">
        <f>_xlfn.IMAGE("https://m.media-amazon.com/images/I/71QvUMqAMBL._AC_UL320_.jpg")</f>
        <v/>
      </c>
      <c r="K373" t="inlineStr">
        <is>
          <t>7.95</t>
        </is>
      </c>
      <c r="L373" t="n">
        <v>24.32</v>
      </c>
      <c r="M373" s="2" t="inlineStr">
        <is>
          <t>205.91%</t>
        </is>
      </c>
      <c r="N373" t="n">
        <v>4.7</v>
      </c>
      <c r="O373" t="n">
        <v>8479</v>
      </c>
      <c r="Q373" t="inlineStr">
        <is>
          <t>InStock</t>
        </is>
      </c>
      <c r="R373" t="inlineStr">
        <is>
          <t>10.75</t>
        </is>
      </c>
      <c r="S373" t="inlineStr">
        <is>
          <t>10681707528</t>
        </is>
      </c>
    </row>
    <row r="374" ht="75" customHeight="1">
      <c r="A374" s="1">
        <f>HYPERLINK("https://www.mountainside-medical.com/collections/over-the-counter-drugs/products/airborne-original-berry-immune-support-chewable-tablets", "https://www.mountainside-medical.com/collections/over-the-counter-drugs/products/airborne-original-berry-immune-support-chewable-tablets")</f>
        <v/>
      </c>
      <c r="B374" s="1">
        <f>HYPERLINK("https://www.mountainside-medical.com/products/airborne-original-berry-immune-support-chewable-tablets", "https://www.mountainside-medical.com/products/airborne-original-berry-immune-support-chewable-tablets")</f>
        <v/>
      </c>
      <c r="C374" t="inlineStr">
        <is>
          <t>Airborne Original Berry Immune Support Chewable Tablets</t>
        </is>
      </c>
      <c r="D374" t="inlineStr">
        <is>
          <t>Airborne Elderberry + Zinc &amp; Vitamin C Effervescent Tablets, Immune Support Supplement With Powerful Antioxidant Vitamins A C E, 30 Fizzy Drink Tablets, Elderberry Flavor</t>
        </is>
      </c>
      <c r="E374" s="1">
        <f>HYPERLINK("https://www.amazon.com/Airborne-Elderberry-Extract-Vitamin-serving/dp/B08V5GSNQQ/ref=sr_1_9?keywords=Airborne+Original+Berry+Immune+Support+Chewable+Tablets&amp;qid=1695764232&amp;sr=8-9", "https://www.amazon.com/Airborne-Elderberry-Extract-Vitamin-serving/dp/B08V5GSNQQ/ref=sr_1_9?keywords=Airborne+Original+Berry+Immune+Support+Chewable+Tablets&amp;qid=1695764232&amp;sr=8-9")</f>
        <v/>
      </c>
      <c r="F374" t="inlineStr">
        <is>
          <t>B08V5GSNQQ</t>
        </is>
      </c>
      <c r="G374">
        <f>_xlfn.IMAGE("https://www.mountainside-medical.com/cdn/shop/products/10255511.jpg?v=1600347469")</f>
        <v/>
      </c>
      <c r="H374">
        <f>_xlfn.IMAGE("https://m.media-amazon.com/images/I/81kvTxajvKS._AC_UL320_.jpg")</f>
        <v/>
      </c>
      <c r="K374" t="inlineStr">
        <is>
          <t>7.95</t>
        </is>
      </c>
      <c r="L374" t="n">
        <v>19.43</v>
      </c>
      <c r="M374" s="2" t="inlineStr">
        <is>
          <t>144.40%</t>
        </is>
      </c>
      <c r="N374" t="n">
        <v>4.7</v>
      </c>
      <c r="O374" t="n">
        <v>611</v>
      </c>
      <c r="Q374" t="inlineStr">
        <is>
          <t>InStock</t>
        </is>
      </c>
      <c r="R374" t="inlineStr">
        <is>
          <t>10.75</t>
        </is>
      </c>
      <c r="S374" t="inlineStr">
        <is>
          <t>10681707528</t>
        </is>
      </c>
    </row>
    <row r="375" ht="75" customHeight="1">
      <c r="A375" s="1">
        <f>HYPERLINK("https://www.mountainside-medical.com/collections/over-the-counter-drugs/products/airborne-original-berry-immune-support-chewable-tablets", "https://www.mountainside-medical.com/collections/over-the-counter-drugs/products/airborne-original-berry-immune-support-chewable-tablets")</f>
        <v/>
      </c>
      <c r="B375" s="1">
        <f>HYPERLINK("https://www.mountainside-medical.com/products/airborne-original-berry-immune-support-chewable-tablets", "https://www.mountainside-medical.com/products/airborne-original-berry-immune-support-chewable-tablets")</f>
        <v/>
      </c>
      <c r="C375" t="inlineStr">
        <is>
          <t>Airborne Original Berry Immune Support Chewable Tablets</t>
        </is>
      </c>
      <c r="D375" t="inlineStr">
        <is>
          <t>Airborne 1000mg Vitamin C Chewable Tablets with Zinc, Immune Support Supplement with Powerful Antioxidants Vitamins A C &amp; E - 96 Chewable Tablets, Very Berry Flavor</t>
        </is>
      </c>
      <c r="E375" s="1">
        <f>HYPERLINK("https://www.amazon.com/Airborne-Berry-Chewable-Tablets-count/dp/B01FC2EPII/ref=sr_1_6?keywords=Airborne+Original+Berry+Immune+Support+Chewable+Tablets&amp;qid=1695764232&amp;sr=8-6", "https://www.amazon.com/Airborne-Berry-Chewable-Tablets-count/dp/B01FC2EPII/ref=sr_1_6?keywords=Airborne+Original+Berry+Immune+Support+Chewable+Tablets&amp;qid=1695764232&amp;sr=8-6")</f>
        <v/>
      </c>
      <c r="F375" t="inlineStr">
        <is>
          <t>B01FC2EPII</t>
        </is>
      </c>
      <c r="G375">
        <f>_xlfn.IMAGE("https://www.mountainside-medical.com/cdn/shop/products/10255511.jpg?v=1600347469")</f>
        <v/>
      </c>
      <c r="H375">
        <f>_xlfn.IMAGE("https://m.media-amazon.com/images/I/810zT2oqP+L._AC_UL320_.jpg")</f>
        <v/>
      </c>
      <c r="K375" t="inlineStr">
        <is>
          <t>7.95</t>
        </is>
      </c>
      <c r="L375" t="n">
        <v>17.82</v>
      </c>
      <c r="M375" s="2" t="inlineStr">
        <is>
          <t>124.15%</t>
        </is>
      </c>
      <c r="N375" t="n">
        <v>4.7</v>
      </c>
      <c r="O375" t="n">
        <v>3038</v>
      </c>
      <c r="Q375" t="inlineStr">
        <is>
          <t>InStock</t>
        </is>
      </c>
      <c r="R375" t="inlineStr">
        <is>
          <t>10.75</t>
        </is>
      </c>
      <c r="S375" t="inlineStr">
        <is>
          <t>10681707528</t>
        </is>
      </c>
    </row>
    <row r="376" ht="75" customHeight="1">
      <c r="A376" s="1">
        <f>HYPERLINK("https://www.mountainside-medical.com/collections/over-the-counter-drugs/products/airborne-original-berry-immune-support-chewable-tablets", "https://www.mountainside-medical.com/collections/over-the-counter-drugs/products/airborne-original-berry-immune-support-chewable-tablets")</f>
        <v/>
      </c>
      <c r="B376" s="1">
        <f>HYPERLINK("https://www.mountainside-medical.com/products/airborne-original-berry-immune-support-chewable-tablets", "https://www.mountainside-medical.com/products/airborne-original-berry-immune-support-chewable-tablets")</f>
        <v/>
      </c>
      <c r="C376" t="inlineStr">
        <is>
          <t>Airborne Original Berry Immune Support Chewable Tablets</t>
        </is>
      </c>
      <c r="D376" t="inlineStr">
        <is>
          <t>Airborne Elderberry &amp; Vitamin C Chewable Tablets, Immune Support Supplement With Powerful Antioxidant Vitamin C, 120 Chewable Tablets, Elderberry Flavor</t>
        </is>
      </c>
      <c r="E376" s="1">
        <f>HYPERLINK("https://www.amazon.com/Airborne-Elderberry-Chewable-Supplement-Antioxidants/dp/B08R6BRV1M/ref=sr_1_5?keywords=Airborne+Original+Berry+Immune+Support+Chewable+Tablets&amp;qid=1695764232&amp;sr=8-5", "https://www.amazon.com/Airborne-Elderberry-Chewable-Supplement-Antioxidants/dp/B08R6BRV1M/ref=sr_1_5?keywords=Airborne+Original+Berry+Immune+Support+Chewable+Tablets&amp;qid=1695764232&amp;sr=8-5")</f>
        <v/>
      </c>
      <c r="F376" t="inlineStr">
        <is>
          <t>B08R6BRV1M</t>
        </is>
      </c>
      <c r="G376">
        <f>_xlfn.IMAGE("https://www.mountainside-medical.com/cdn/shop/products/10255511.jpg?v=1600347469")</f>
        <v/>
      </c>
      <c r="H376">
        <f>_xlfn.IMAGE("https://m.media-amazon.com/images/I/71YFEVUvfGS._AC_UL320_.jpg")</f>
        <v/>
      </c>
      <c r="K376" t="inlineStr">
        <is>
          <t>7.95</t>
        </is>
      </c>
      <c r="L376" t="n">
        <v>15.9</v>
      </c>
      <c r="M376" s="2" t="inlineStr">
        <is>
          <t>100.00%</t>
        </is>
      </c>
      <c r="N376" t="n">
        <v>4.5</v>
      </c>
      <c r="O376" t="n">
        <v>573</v>
      </c>
      <c r="Q376" t="inlineStr">
        <is>
          <t>InStock</t>
        </is>
      </c>
      <c r="R376" t="inlineStr">
        <is>
          <t>10.75</t>
        </is>
      </c>
      <c r="S376" t="inlineStr">
        <is>
          <t>10681707528</t>
        </is>
      </c>
    </row>
    <row r="377" ht="75" customHeight="1">
      <c r="A377" s="1">
        <f>HYPERLINK("https://www.mountainside-medical.com/collections/over-the-counter-drugs/products/airborne-original-immune-support-citrus-flavor-chewable-tablets-32-ct", "https://www.mountainside-medical.com/collections/over-the-counter-drugs/products/airborne-original-immune-support-citrus-flavor-chewable-tablets-32-ct")</f>
        <v/>
      </c>
      <c r="B377" s="1">
        <f>HYPERLINK("https://www.mountainside-medical.com/products/airborne-original-immune-support-citrus-flavor-chewable-tablets-32-ct", "https://www.mountainside-medical.com/products/airborne-original-immune-support-citrus-flavor-chewable-tablets-32-ct")</f>
        <v/>
      </c>
      <c r="C377" t="inlineStr">
        <is>
          <t>Airborne Original Immune Support Citrus Flavor Chewable Tablets, 32 ct</t>
        </is>
      </c>
      <c r="D377" t="inlineStr">
        <is>
          <t>Airborne 1000mg Vitamin C Chewable Tablets Citrus &amp; Very Berry Flavor Bundle - Immune Support Supplement with Zinc and Powerful Antioxidant Vitamins A C &amp; E, (2x116ct bottles)*</t>
        </is>
      </c>
      <c r="E377" s="1">
        <f>HYPERLINK("https://www.amazon.com/Vitamin-1000mg-Airborne-Chewable-Supplement/dp/B07V134SDL/ref=sr_1_6?keywords=Airborne+Original+Immune+Support+Citrus+Flavor+Chewable+Tablets%2C+32+ct&amp;qid=1695764229&amp;sr=8-6", "https://www.amazon.com/Vitamin-1000mg-Airborne-Chewable-Supplement/dp/B07V134SDL/ref=sr_1_6?keywords=Airborne+Original+Immune+Support+Citrus+Flavor+Chewable+Tablets%2C+32+ct&amp;qid=1695764229&amp;sr=8-6")</f>
        <v/>
      </c>
      <c r="F377" t="inlineStr">
        <is>
          <t>B07V134SDL</t>
        </is>
      </c>
      <c r="G377">
        <f>_xlfn.IMAGE("https://www.mountainside-medical.com/cdn/shop/products/63195c6d-9aa5-469f-864c-2b7c41eb4410.ccf6b20a809b574cdae3ec9e6744530d.jpg?v=1638827298")</f>
        <v/>
      </c>
      <c r="H377">
        <f>_xlfn.IMAGE("https://m.media-amazon.com/images/I/81mGm61ofNL._AC_UL320_.jpg")</f>
        <v/>
      </c>
      <c r="K377" t="inlineStr">
        <is>
          <t>7.95</t>
        </is>
      </c>
      <c r="L377" t="n">
        <v>32.98</v>
      </c>
      <c r="M377" s="2" t="inlineStr">
        <is>
          <t>314.84%</t>
        </is>
      </c>
      <c r="N377" t="n">
        <v>4.8</v>
      </c>
      <c r="O377" t="n">
        <v>616</v>
      </c>
      <c r="Q377" t="inlineStr">
        <is>
          <t>InStock</t>
        </is>
      </c>
      <c r="R377" t="inlineStr">
        <is>
          <t>10.75</t>
        </is>
      </c>
      <c r="S377" t="inlineStr">
        <is>
          <t>6600603500616</t>
        </is>
      </c>
    </row>
    <row r="378" ht="75" customHeight="1">
      <c r="A378" s="1">
        <f>HYPERLINK("https://www.mountainside-medical.com/collections/over-the-counter-drugs/products/airborne-original-immune-support-citrus-flavor-chewable-tablets-32-ct", "https://www.mountainside-medical.com/collections/over-the-counter-drugs/products/airborne-original-immune-support-citrus-flavor-chewable-tablets-32-ct")</f>
        <v/>
      </c>
      <c r="B378" s="1">
        <f>HYPERLINK("https://www.mountainside-medical.com/products/airborne-original-immune-support-citrus-flavor-chewable-tablets-32-ct", "https://www.mountainside-medical.com/products/airborne-original-immune-support-citrus-flavor-chewable-tablets-32-ct")</f>
        <v/>
      </c>
      <c r="C378" t="inlineStr">
        <is>
          <t>Airborne Original Immune Support Citrus Flavor Chewable Tablets, 32 ct</t>
        </is>
      </c>
      <c r="D378" t="inlineStr">
        <is>
          <t>Airborne 1000mg Vitamin C Chewable Tablets Citrus &amp; Very Berry Flavor Bundle - Immune Support Supplement with Zinc and Powerful Antioxidant Vitamins A C &amp; E, (2x96ct Bottles)*</t>
        </is>
      </c>
      <c r="E378" s="1">
        <f>HYPERLINK("https://www.amazon.com/Vitamin-1000mg-Airborne-Chewable-Supplement/dp/B07TXZV9DS/ref=sr_1_8?keywords=Airborne+Original+Immune+Support+Citrus+Flavor+Chewable+Tablets%2C+32+ct&amp;qid=1695764229&amp;sr=8-8", "https://www.amazon.com/Vitamin-1000mg-Airborne-Chewable-Supplement/dp/B07TXZV9DS/ref=sr_1_8?keywords=Airborne+Original+Immune+Support+Citrus+Flavor+Chewable+Tablets%2C+32+ct&amp;qid=1695764229&amp;sr=8-8")</f>
        <v/>
      </c>
      <c r="F378" t="inlineStr">
        <is>
          <t>B07TXZV9DS</t>
        </is>
      </c>
      <c r="G378">
        <f>_xlfn.IMAGE("https://www.mountainside-medical.com/cdn/shop/products/63195c6d-9aa5-469f-864c-2b7c41eb4410.ccf6b20a809b574cdae3ec9e6744530d.jpg?v=1638827298")</f>
        <v/>
      </c>
      <c r="H378">
        <f>_xlfn.IMAGE("https://m.media-amazon.com/images/I/91W-oXiPucL._AC_UL320_.jpg")</f>
        <v/>
      </c>
      <c r="K378" t="inlineStr">
        <is>
          <t>7.95</t>
        </is>
      </c>
      <c r="L378" t="n">
        <v>32.09</v>
      </c>
      <c r="M378" s="2" t="inlineStr">
        <is>
          <t>303.65%</t>
        </is>
      </c>
      <c r="N378" t="n">
        <v>4.8</v>
      </c>
      <c r="O378" t="n">
        <v>712</v>
      </c>
      <c r="Q378" t="inlineStr">
        <is>
          <t>InStock</t>
        </is>
      </c>
      <c r="R378" t="inlineStr">
        <is>
          <t>10.75</t>
        </is>
      </c>
      <c r="S378" t="inlineStr">
        <is>
          <t>6600603500616</t>
        </is>
      </c>
    </row>
    <row r="379" ht="75" customHeight="1">
      <c r="A379" s="1">
        <f>HYPERLINK("https://www.mountainside-medical.com/collections/over-the-counter-drugs/products/airborne-original-immune-support-citrus-flavor-chewable-tablets-32-ct", "https://www.mountainside-medical.com/collections/over-the-counter-drugs/products/airborne-original-immune-support-citrus-flavor-chewable-tablets-32-ct")</f>
        <v/>
      </c>
      <c r="B379" s="1">
        <f>HYPERLINK("https://www.mountainside-medical.com/products/airborne-original-immune-support-citrus-flavor-chewable-tablets-32-ct", "https://www.mountainside-medical.com/products/airborne-original-immune-support-citrus-flavor-chewable-tablets-32-ct")</f>
        <v/>
      </c>
      <c r="C379" t="inlineStr">
        <is>
          <t>Airborne Original Immune Support Citrus Flavor Chewable Tablets, 32 ct</t>
        </is>
      </c>
      <c r="D379" t="inlineStr">
        <is>
          <t>Airborne 1000mg Chewable Tablets with Zinc, Immune Support Supplement with Powerful Antioxidants Vitamins A C &amp; E - 200 Tablets, Citrus Flavor</t>
        </is>
      </c>
      <c r="E379" s="1">
        <f>HYPERLINK("https://www.amazon.com/Vitamin-1000mg-Serving-Airborne-Supplement/dp/B08QZMJBFR/ref=sr_1_3?keywords=Airborne+Original+Immune+Support+Citrus+Flavor+Chewable+Tablets%2C+32+ct&amp;qid=1695764229&amp;sr=8-3", "https://www.amazon.com/Vitamin-1000mg-Serving-Airborne-Supplement/dp/B08QZMJBFR/ref=sr_1_3?keywords=Airborne+Original+Immune+Support+Citrus+Flavor+Chewable+Tablets%2C+32+ct&amp;qid=1695764229&amp;sr=8-3")</f>
        <v/>
      </c>
      <c r="F379" t="inlineStr">
        <is>
          <t>B08QZMJBFR</t>
        </is>
      </c>
      <c r="G379">
        <f>_xlfn.IMAGE("https://www.mountainside-medical.com/cdn/shop/products/63195c6d-9aa5-469f-864c-2b7c41eb4410.ccf6b20a809b574cdae3ec9e6744530d.jpg?v=1638827298")</f>
        <v/>
      </c>
      <c r="H379">
        <f>_xlfn.IMAGE("https://m.media-amazon.com/images/I/71Cp5BKvnmL._AC_UL320_.jpg")</f>
        <v/>
      </c>
      <c r="K379" t="inlineStr">
        <is>
          <t>7.95</t>
        </is>
      </c>
      <c r="L379" t="n">
        <v>29.73</v>
      </c>
      <c r="M379" s="2" t="inlineStr">
        <is>
          <t>273.96%</t>
        </is>
      </c>
      <c r="N379" t="n">
        <v>4.7</v>
      </c>
      <c r="O379" t="n">
        <v>8479</v>
      </c>
      <c r="Q379" t="inlineStr">
        <is>
          <t>InStock</t>
        </is>
      </c>
      <c r="R379" t="inlineStr">
        <is>
          <t>10.75</t>
        </is>
      </c>
      <c r="S379" t="inlineStr">
        <is>
          <t>6600603500616</t>
        </is>
      </c>
    </row>
    <row r="380" ht="75" customHeight="1">
      <c r="A380" s="1">
        <f>HYPERLINK("https://www.mountainside-medical.com/collections/over-the-counter-drugs/products/alpha-betic-alpha-lipoic-acid-for-nerve-function-support", "https://www.mountainside-medical.com/collections/over-the-counter-drugs/products/alpha-betic-alpha-lipoic-acid-for-nerve-function-support")</f>
        <v/>
      </c>
      <c r="B380" s="1">
        <f>HYPERLINK("https://www.mountainside-medical.com/products/alpha-betic-alpha-lipoic-acid-for-nerve-function-support", "https://www.mountainside-medical.com/products/alpha-betic-alpha-lipoic-acid-for-nerve-function-support")</f>
        <v/>
      </c>
      <c r="C380" t="inlineStr">
        <is>
          <t>Sundown Alpha Lipoic Acid 600Mg Capsules 60 Ct</t>
        </is>
      </c>
      <c r="D380" t="inlineStr">
        <is>
          <t>Nutri R Alpha Lipoic Acid 600mg Capsules - R Lipoic Acid Stabilized with Biotin - Active Form R-ALA - Clinical Dosage - Powerful Antioxidant and Cellular Energy Support - 60 Vegan Capsules</t>
        </is>
      </c>
      <c r="E380" s="1">
        <f>HYPERLINK("https://www.amazon.com/Nutri-Alpha-Lipoic-600mg-Capsules/dp/B0CCBVTWSL/ref=sr_1_9?keywords=Sundown+Alpha+Lipoic+Acid+600Mg+Capsules+60+Ct&amp;qid=1695764223&amp;sr=8-9", "https://www.amazon.com/Nutri-Alpha-Lipoic-600mg-Capsules/dp/B0CCBVTWSL/ref=sr_1_9?keywords=Sundown+Alpha+Lipoic+Acid+600Mg+Capsules+60+Ct&amp;qid=1695764223&amp;sr=8-9")</f>
        <v/>
      </c>
      <c r="F380" t="inlineStr">
        <is>
          <t>B0CCBVTWSL</t>
        </is>
      </c>
      <c r="G380">
        <f>_xlfn.IMAGE("https://www.mountainside-medical.com/cdn/shop/products/30768-0179-65.jpg?v=1655845030")</f>
        <v/>
      </c>
      <c r="H380">
        <f>_xlfn.IMAGE("https://m.media-amazon.com/images/I/71dUraHhtYL._AC_UL320_.jpg")</f>
        <v/>
      </c>
      <c r="K380" t="inlineStr">
        <is>
          <t>15.25</t>
        </is>
      </c>
      <c r="L380" t="n">
        <v>35.99</v>
      </c>
      <c r="M380" s="2" t="inlineStr">
        <is>
          <t>136.00%</t>
        </is>
      </c>
      <c r="N380" t="n">
        <v>4.5</v>
      </c>
      <c r="O380" t="n">
        <v>23</v>
      </c>
      <c r="Q380" t="inlineStr">
        <is>
          <t>InStock</t>
        </is>
      </c>
      <c r="R380" t="inlineStr">
        <is>
          <t>22.0</t>
        </is>
      </c>
      <c r="S380" t="inlineStr">
        <is>
          <t>1594965700</t>
        </is>
      </c>
    </row>
    <row r="381" ht="75" customHeight="1">
      <c r="A381" s="1">
        <f>HYPERLINK("https://www.mountainside-medical.com/collections/over-the-counter-drugs/products/astepro-allergy-nasal-spray-24-hour-allergy-relief-steroid-free-antihistamine-60-metered-sprays", "https://www.mountainside-medical.com/collections/over-the-counter-drugs/products/astepro-allergy-nasal-spray-24-hour-allergy-relief-steroid-free-antihistamine-60-metered-sprays")</f>
        <v/>
      </c>
      <c r="B381" s="1">
        <f>HYPERLINK("https://www.mountainside-medical.com/products/astepro-allergy-nasal-spray-24-hour-allergy-relief-steroid-free-antihistamine-60-metered-sprays", "https://www.mountainside-medical.com/products/astepro-allergy-nasal-spray-24-hour-allergy-relief-steroid-free-antihistamine-60-metered-sprays")</f>
        <v/>
      </c>
      <c r="C381" t="inlineStr">
        <is>
          <t>Astepro Allergy Nasal Spray, 24-Hour Allergy Relief, Steroid-Free Antihistamine, 60 Metered Sprays</t>
        </is>
      </c>
      <c r="D381" t="inlineStr">
        <is>
          <t>Astepro Allergy Steroid Free Antihistamine Nasal Spray, 360 Metered Sprays</t>
        </is>
      </c>
      <c r="E381" s="1">
        <f>HYPERLINK("https://www.amazon.com/Astepro-Allergy-Steroid-Antihistamine-Metered/dp/B0BTVJ4Y7F/ref=sr_1_6?keywords=Astepro+Allergy+Nasal+Spray%2C+24-Hour+Allergy+Relief%2C+Steroid-Free+Antihistamine%2C+60+Metered+Sprays&amp;qid=1695764237&amp;sr=8-6", "https://www.amazon.com/Astepro-Allergy-Steroid-Antihistamine-Metered/dp/B0BTVJ4Y7F/ref=sr_1_6?keywords=Astepro+Allergy+Nasal+Spray%2C+24-Hour+Allergy+Relief%2C+Steroid-Free+Antihistamine%2C+60+Metered+Sprays&amp;qid=1695764237&amp;sr=8-6")</f>
        <v/>
      </c>
      <c r="F381" t="inlineStr">
        <is>
          <t>B0BTVJ4Y7F</t>
        </is>
      </c>
      <c r="G381">
        <f>_xlfn.IMAGE("https://www.mountainside-medical.com/cdn/shop/products/Allergy-Nasal-Spray_-24-Hour-Allergy-Relief-Steroid-Free-Antihistamine-60-Metered-Sprays.jpg?v=1670939838")</f>
        <v/>
      </c>
      <c r="H381">
        <f>_xlfn.IMAGE("https://m.media-amazon.com/images/I/61e2C0jDCVL._AC_UL320_.jpg")</f>
        <v/>
      </c>
      <c r="K381" t="inlineStr">
        <is>
          <t>19.99</t>
        </is>
      </c>
      <c r="L381" t="n">
        <v>48.78</v>
      </c>
      <c r="M381" s="2" t="inlineStr">
        <is>
          <t>144.02%</t>
        </is>
      </c>
      <c r="N381" t="n">
        <v>4.2</v>
      </c>
      <c r="O381" t="n">
        <v>26</v>
      </c>
      <c r="Q381" t="inlineStr">
        <is>
          <t>InStock</t>
        </is>
      </c>
      <c r="R381" t="inlineStr">
        <is>
          <t>24.95</t>
        </is>
      </c>
      <c r="S381" t="inlineStr">
        <is>
          <t>6666151460936</t>
        </is>
      </c>
    </row>
    <row r="382" ht="75" customHeight="1">
      <c r="A382" s="1">
        <f>HYPERLINK("https://www.mountainside-medical.com/collections/over-the-counter-drugs/products/bayer-back-and-body-aspirin-500mg-extra-strength-pain-reliever-50-caplets", "https://www.mountainside-medical.com/collections/over-the-counter-drugs/products/bayer-back-and-body-aspirin-500mg-extra-strength-pain-reliever-50-caplets")</f>
        <v/>
      </c>
      <c r="B382" s="1">
        <f>HYPERLINK("https://www.mountainside-medical.com/products/bayer-back-and-body-aspirin-500mg-extra-strength-pain-reliever-50-caplets", "https://www.mountainside-medical.com/products/bayer-back-and-body-aspirin-500mg-extra-strength-pain-reliever-50-caplets")</f>
        <v/>
      </c>
      <c r="C382" t="inlineStr">
        <is>
          <t>Bayer Back and Body Aspirin 500mg Extra Strength Pain Reliever 50 Caplets</t>
        </is>
      </c>
      <c r="D382" t="inlineStr">
        <is>
          <t>Bayer Back and Body Extra Strength Aspirin 500mg, Aspirin Plus 32.5 mg Caffeine Pain Reliever, Powerful Back and Body Pain Relief, 200 Coated Caplets</t>
        </is>
      </c>
      <c r="E382" s="1">
        <f>HYPERLINK("https://www.amazon.com/Bayer-Aspirin-Coated-Tablets-count/dp/B00L45KPG4/ref=sr_1_2?keywords=Bayer+Back+and+Body+Aspirin+500mg+Extra+Strength+Pain+Reliever+50+Caplets&amp;qid=1695764213&amp;rdc=1&amp;sr=8-2", "https://www.amazon.com/Bayer-Aspirin-Coated-Tablets-count/dp/B00L45KPG4/ref=sr_1_2?keywords=Bayer+Back+and+Body+Aspirin+500mg+Extra+Strength+Pain+Reliever+50+Caplets&amp;qid=1695764213&amp;rdc=1&amp;sr=8-2")</f>
        <v/>
      </c>
      <c r="F382" t="inlineStr">
        <is>
          <t>B00L45KPG4</t>
        </is>
      </c>
      <c r="G382">
        <f>_xlfn.IMAGE("https://www.mountainside-medical.com/cdn/shop/products/12843-0510-50.png?v=1660768738")</f>
        <v/>
      </c>
      <c r="H382">
        <f>_xlfn.IMAGE("https://m.media-amazon.com/images/I/71UzxLr391L._AC_UL320_.jpg")</f>
        <v/>
      </c>
      <c r="K382" t="inlineStr">
        <is>
          <t>8.59</t>
        </is>
      </c>
      <c r="L382" t="n">
        <v>16.98</v>
      </c>
      <c r="M382" s="2" t="inlineStr">
        <is>
          <t>97.67%</t>
        </is>
      </c>
      <c r="N382" t="n">
        <v>4.8</v>
      </c>
      <c r="O382" t="n">
        <v>9841</v>
      </c>
      <c r="Q382" t="inlineStr">
        <is>
          <t>InStock</t>
        </is>
      </c>
      <c r="R382" t="inlineStr">
        <is>
          <t>10.95</t>
        </is>
      </c>
      <c r="S382" t="inlineStr">
        <is>
          <t>6638319403080</t>
        </is>
      </c>
    </row>
    <row r="383" ht="75" customHeight="1">
      <c r="A383" s="1">
        <f>HYPERLINK("https://www.mountainside-medical.com/collections/over-the-counter-drugs/products/bayer-back-and-body-aspirin-pain-reliever-100-caplets", "https://www.mountainside-medical.com/collections/over-the-counter-drugs/products/bayer-back-and-body-aspirin-pain-reliever-100-caplets")</f>
        <v/>
      </c>
      <c r="B383" s="1">
        <f>HYPERLINK("https://www.mountainside-medical.com/products/bayer-back-and-body-aspirin-pain-reliever-100-caplets", "https://www.mountainside-medical.com/products/bayer-back-and-body-aspirin-pain-reliever-100-caplets")</f>
        <v/>
      </c>
      <c r="C383" t="inlineStr">
        <is>
          <t>Bayer Back and Body Aspirin Extra Strength Pain Reliever 50 Caplets</t>
        </is>
      </c>
      <c r="D383" t="inlineStr">
        <is>
          <t>Bayer Back and Body Extra Strength Aspirin 500mg, Aspirin Plus 32.5 mg Caffeine Pain Reliever, Powerful Back and Body Pain Relief, 200 Coated Caplets</t>
        </is>
      </c>
      <c r="E383" s="1">
        <f>HYPERLINK("https://www.amazon.com/Bayer-Aspirin-Coated-Tablets-count/dp/B00L45KPG4/ref=sr_1_4?keywords=Bayer+Back+and+Body+Aspirin+Extra+Strength+Pain+Reliever+50+Caplets&amp;qid=1695764224&amp;rdc=1&amp;sr=8-4", "https://www.amazon.com/Bayer-Aspirin-Coated-Tablets-count/dp/B00L45KPG4/ref=sr_1_4?keywords=Bayer+Back+and+Body+Aspirin+Extra+Strength+Pain+Reliever+50+Caplets&amp;qid=1695764224&amp;rdc=1&amp;sr=8-4")</f>
        <v/>
      </c>
      <c r="F383" t="inlineStr">
        <is>
          <t>B00L45KPG4</t>
        </is>
      </c>
      <c r="G383">
        <f>_xlfn.IMAGE("https://www.mountainside-medical.com/cdn/shop/products/BayerExtraStrengthBackandBody500MgTablets50Ct.png?v=1661256227")</f>
        <v/>
      </c>
      <c r="H383">
        <f>_xlfn.IMAGE("https://m.media-amazon.com/images/I/71UzxLr391L._AC_UL320_.jpg")</f>
        <v/>
      </c>
      <c r="K383" t="inlineStr">
        <is>
          <t>9.95</t>
        </is>
      </c>
      <c r="L383" t="n">
        <v>16.98</v>
      </c>
      <c r="M383" s="2" t="inlineStr">
        <is>
          <t>70.65%</t>
        </is>
      </c>
      <c r="N383" t="n">
        <v>4.8</v>
      </c>
      <c r="O383" t="n">
        <v>9841</v>
      </c>
      <c r="Q383" t="inlineStr">
        <is>
          <t>InStock</t>
        </is>
      </c>
      <c r="R383" t="inlineStr">
        <is>
          <t>16.95</t>
        </is>
      </c>
      <c r="S383" t="inlineStr">
        <is>
          <t>1594440580</t>
        </is>
      </c>
    </row>
    <row r="384" ht="75" customHeight="1">
      <c r="A384" s="1">
        <f>HYPERLINK("https://www.mountainside-medical.com/collections/over-the-counter-drugs/products/bonine-chewables-for-motion-sickness", "https://www.mountainside-medical.com/collections/over-the-counter-drugs/products/bonine-chewables-for-motion-sickness")</f>
        <v/>
      </c>
      <c r="B384" s="1">
        <f>HYPERLINK("https://www.mountainside-medical.com/products/bonine-chewables-for-motion-sickness", "https://www.mountainside-medical.com/products/bonine-chewables-for-motion-sickness")</f>
        <v/>
      </c>
      <c r="C384" t="inlineStr">
        <is>
          <t>Bonine Chewables Motion Sickness 16 Chewable Tablets</t>
        </is>
      </c>
      <c r="D384" t="inlineStr">
        <is>
          <t>Bonine Non-Drowsy Motion Sickness Relief - Chewable Tablets with Meclizine HCL 25mg - Non Drowsy Medicine for Nausea or Motion Sickness - Cruise Essentials - Raspberry Flavor, 28 Chewable Tablets</t>
        </is>
      </c>
      <c r="E384" s="1">
        <f>HYPERLINK("https://www.amazon.com/Bonine-Sickness-Chewable-Tablets-Raspberry/dp/B01MU7UTFF/ref=sr_1_4?keywords=Bonine+Chewables+Motion+Sickness+16+Chewable+Tablets&amp;qid=1695764223&amp;rdc=1&amp;sr=8-4", "https://www.amazon.com/Bonine-Sickness-Chewable-Tablets-Raspberry/dp/B01MU7UTFF/ref=sr_1_4?keywords=Bonine+Chewables+Motion+Sickness+16+Chewable+Tablets&amp;qid=1695764223&amp;rdc=1&amp;sr=8-4")</f>
        <v/>
      </c>
      <c r="F384" t="inlineStr">
        <is>
          <t>B01MU7UTFF</t>
        </is>
      </c>
      <c r="G384">
        <f>_xlfn.IMAGE("https://www.mountainside-medical.com/cdn/shop/products/10236743_large_9d3aff88-c44f-4a66-afc0-391713a3396a.jpg?v=1600352191")</f>
        <v/>
      </c>
      <c r="H384">
        <f>_xlfn.IMAGE("https://m.media-amazon.com/images/I/81UNOUnBFDL._AC_UL320_.jpg")</f>
        <v/>
      </c>
      <c r="K384" t="inlineStr">
        <is>
          <t>6.35</t>
        </is>
      </c>
      <c r="L384" t="n">
        <v>15.98</v>
      </c>
      <c r="M384" s="2" t="inlineStr">
        <is>
          <t>151.65%</t>
        </is>
      </c>
      <c r="N384" t="n">
        <v>4.7</v>
      </c>
      <c r="O384" t="n">
        <v>1159</v>
      </c>
      <c r="Q384" t="inlineStr">
        <is>
          <t>InStock</t>
        </is>
      </c>
      <c r="R384" t="inlineStr">
        <is>
          <t>undefined</t>
        </is>
      </c>
      <c r="S384" t="inlineStr">
        <is>
          <t>1597889904712</t>
        </is>
      </c>
    </row>
    <row r="385" ht="75" customHeight="1">
      <c r="A385" s="1">
        <f>HYPERLINK("https://www.mountainside-medical.com/collections/over-the-counter-drugs/products/childrens-robitussin-honey-cough-chest-congestion-dm", "https://www.mountainside-medical.com/collections/over-the-counter-drugs/products/childrens-robitussin-honey-cough-chest-congestion-dm")</f>
        <v/>
      </c>
      <c r="B385" s="1">
        <f>HYPERLINK("https://www.mountainside-medical.com/products/childrens-robitussin-honey-cough-chest-congestion-dm", "https://www.mountainside-medical.com/products/childrens-robitussin-honey-cough-chest-congestion-dm")</f>
        <v/>
      </c>
      <c r="C385" t="inlineStr">
        <is>
          <t>Children's Robitussin Honey Cough &amp; Chest Congestion DM 4 oz</t>
        </is>
      </c>
      <c r="D385" t="inlineStr">
        <is>
          <t>Robitussin Maximum Strength Honey Cough Plus Chest Congestion DM, Cough Medicine for Cough and Chest Congestion Relief Made with Real Honey for Flavor - 8 Fl Oz x 2</t>
        </is>
      </c>
      <c r="E385" s="1">
        <f>HYPERLINK("https://www.amazon.com/Robitussin-Maximum-Strength-Congestion-Medicine/dp/B0B8ZFLYCZ/ref=sr_1_6?keywords=Children%27s+Robitussin+Honey+Cough+%26+Chest+Congestion+DM+4+oz&amp;qid=1695764215&amp;sr=8-6", "https://www.amazon.com/Robitussin-Maximum-Strength-Congestion-Medicine/dp/B0B8ZFLYCZ/ref=sr_1_6?keywords=Children%27s+Robitussin+Honey+Cough+%26+Chest+Congestion+DM+4+oz&amp;qid=1695764215&amp;sr=8-6")</f>
        <v/>
      </c>
      <c r="F385" t="inlineStr">
        <is>
          <t>B0B8ZFLYCZ</t>
        </is>
      </c>
      <c r="G385">
        <f>_xlfn.IMAGE("https://www.mountainside-medical.com/cdn/shop/products/Children_sRobitussinHoneyCough_ChestCongestionDM.jpg?v=1665583805")</f>
        <v/>
      </c>
      <c r="H385">
        <f>_xlfn.IMAGE("https://m.media-amazon.com/images/I/71yuprEBvaL._AC_UL320_.jpg")</f>
        <v/>
      </c>
      <c r="K385" t="inlineStr">
        <is>
          <t>8.6</t>
        </is>
      </c>
      <c r="L385" t="n">
        <v>21.96</v>
      </c>
      <c r="M385" s="2" t="inlineStr">
        <is>
          <t>155.35%</t>
        </is>
      </c>
      <c r="N385" t="n">
        <v>4.5</v>
      </c>
      <c r="O385" t="n">
        <v>384</v>
      </c>
      <c r="Q385" t="inlineStr">
        <is>
          <t>InStock</t>
        </is>
      </c>
      <c r="R385" t="inlineStr">
        <is>
          <t>9.95</t>
        </is>
      </c>
      <c r="S385" t="inlineStr">
        <is>
          <t>1597868572744</t>
        </is>
      </c>
    </row>
    <row r="386" ht="75" customHeight="1">
      <c r="A386" s="1">
        <f>HYPERLINK("https://www.mountainside-medical.com/collections/over-the-counter-drugs/products/childrens-robitussin-honey-cough-chest-congestion-dm", "https://www.mountainside-medical.com/collections/over-the-counter-drugs/products/childrens-robitussin-honey-cough-chest-congestion-dm")</f>
        <v/>
      </c>
      <c r="B386" s="1">
        <f>HYPERLINK("https://www.mountainside-medical.com/products/childrens-robitussin-honey-cough-chest-congestion-dm", "https://www.mountainside-medical.com/products/childrens-robitussin-honey-cough-chest-congestion-dm")</f>
        <v/>
      </c>
      <c r="C386" t="inlineStr">
        <is>
          <t>Children's Robitussin Honey Cough &amp; Chest Congestion DM 4 oz</t>
        </is>
      </c>
      <c r="D386" t="inlineStr">
        <is>
          <t>Robitussin Children's Honey Cough &amp; Chest Congestion DM</t>
        </is>
      </c>
      <c r="E386" s="1">
        <f>HYPERLINK("https://www.amazon.com/Childrens-Robitussin-Honey-Cough-Congestion/dp/B07TB54CGR/ref=sr_1_2?keywords=Children%27s+Robitussin+Honey+Cough+%26+Chest+Congestion+DM+4+oz&amp;qid=1695764215&amp;sr=8-2", "https://www.amazon.com/Childrens-Robitussin-Honey-Cough-Congestion/dp/B07TB54CGR/ref=sr_1_2?keywords=Children%27s+Robitussin+Honey+Cough+%26+Chest+Congestion+DM+4+oz&amp;qid=1695764215&amp;sr=8-2")</f>
        <v/>
      </c>
      <c r="F386" t="inlineStr">
        <is>
          <t>B07TB54CGR</t>
        </is>
      </c>
      <c r="G386">
        <f>_xlfn.IMAGE("https://www.mountainside-medical.com/cdn/shop/products/Children_sRobitussinHoneyCough_ChestCongestionDM.jpg?v=1665583805")</f>
        <v/>
      </c>
      <c r="H386">
        <f>_xlfn.IMAGE("https://m.media-amazon.com/images/I/81hL9-fLGWL._AC_UL320_.jpg")</f>
        <v/>
      </c>
      <c r="K386" t="inlineStr">
        <is>
          <t>8.6</t>
        </is>
      </c>
      <c r="L386" t="n">
        <v>17.94</v>
      </c>
      <c r="M386" s="2" t="inlineStr">
        <is>
          <t>108.60%</t>
        </is>
      </c>
      <c r="N386" t="n">
        <v>4.5</v>
      </c>
      <c r="O386" t="n">
        <v>80</v>
      </c>
      <c r="Q386" t="inlineStr">
        <is>
          <t>InStock</t>
        </is>
      </c>
      <c r="R386" t="inlineStr">
        <is>
          <t>9.95</t>
        </is>
      </c>
      <c r="S386" t="inlineStr">
        <is>
          <t>1597868572744</t>
        </is>
      </c>
    </row>
    <row r="387" ht="75" customHeight="1">
      <c r="A387" s="1">
        <f>HYPERLINK("https://www.mountainside-medical.com/collections/over-the-counter-drugs/products/claritin-children-s-24-hour-allergy-relief-5mg-syrup-grape-4-oz", "https://www.mountainside-medical.com/collections/over-the-counter-drugs/products/claritin-children-s-24-hour-allergy-relief-5mg-syrup-grape-4-oz")</f>
        <v/>
      </c>
      <c r="B387" s="1">
        <f>HYPERLINK("https://www.mountainside-medical.com/products/claritin-children-s-24-hour-allergy-relief-5mg-syrup-grape-4-oz", "https://www.mountainside-medical.com/products/claritin-children-s-24-hour-allergy-relief-5mg-syrup-grape-4-oz")</f>
        <v/>
      </c>
      <c r="C387" t="inlineStr">
        <is>
          <t>Claritin Children’s 24-Hour Allergy Relief 5mg Syrup Grape 4 oz</t>
        </is>
      </c>
      <c r="D387" t="inlineStr">
        <is>
          <t>Zyrtec 24 Hour Children's Allergy Syrup with Cetirizine HCl, Antihistamine Allergy Medicine for Indoor &amp; Outdoor Allergy Relief for Kids, Dye-Free &amp; Sugar-Free, Grape Flavor, 8 fl. oz</t>
        </is>
      </c>
      <c r="E387" s="1">
        <f>HYPERLINK("https://www.amazon.com/Zyrtec-Childrens-Cetirizine-Antihistamine-Sugar-Free/dp/B0BYPDD446/ref=sr_1_5?keywords=Claritin+Children%E2%80%99s+24-Hour+Allergy+Relief+5mg+Syrup+Grape+4+oz&amp;qid=1695764243&amp;sr=8-5", "https://www.amazon.com/Zyrtec-Childrens-Cetirizine-Antihistamine-Sugar-Free/dp/B0BYPDD446/ref=sr_1_5?keywords=Claritin+Children%E2%80%99s+24-Hour+Allergy+Relief+5mg+Syrup+Grape+4+oz&amp;qid=1695764243&amp;sr=8-5")</f>
        <v/>
      </c>
      <c r="F387" t="inlineStr">
        <is>
          <t>B0BYPDD446</t>
        </is>
      </c>
      <c r="G387">
        <f>_xlfn.IMAGE("https://www.mountainside-medical.com/cdn/shop/products/ClaritinChildren_sAllergySyrup.jpg?v=1621533989")</f>
        <v/>
      </c>
      <c r="H387">
        <f>_xlfn.IMAGE("https://m.media-amazon.com/images/I/717EcbxEZ2L._AC_UL320_.jpg")</f>
        <v/>
      </c>
      <c r="K387" t="inlineStr">
        <is>
          <t>13.4</t>
        </is>
      </c>
      <c r="L387" t="n">
        <v>26.53</v>
      </c>
      <c r="M387" s="2" t="inlineStr">
        <is>
          <t>97.99%</t>
        </is>
      </c>
      <c r="N387" t="n">
        <v>4.9</v>
      </c>
      <c r="O387" t="n">
        <v>559</v>
      </c>
      <c r="Q387" t="inlineStr">
        <is>
          <t>InStock</t>
        </is>
      </c>
      <c r="R387" t="inlineStr">
        <is>
          <t>undefined</t>
        </is>
      </c>
      <c r="S387" t="inlineStr">
        <is>
          <t>6555094024264</t>
        </is>
      </c>
    </row>
    <row r="388" ht="75" customHeight="1">
      <c r="A388" s="1">
        <f>HYPERLINK("https://www.mountainside-medical.com/collections/over-the-counter-drugs/products/clear-eyes-cool-comfort-redness-relief-eye-drops", "https://www.mountainside-medical.com/collections/over-the-counter-drugs/products/clear-eyes-cool-comfort-redness-relief-eye-drops")</f>
        <v/>
      </c>
      <c r="B388" s="1">
        <f>HYPERLINK("https://www.mountainside-medical.com/products/clear-eyes-cool-comfort-redness-relief-eye-drops", "https://www.mountainside-medical.com/products/clear-eyes-cool-comfort-redness-relief-eye-drops")</f>
        <v/>
      </c>
      <c r="C388" t="inlineStr">
        <is>
          <t>Clear Eyes Cool Comfort Redness Relief Eye Drops</t>
        </is>
      </c>
      <c r="D388" t="inlineStr">
        <is>
          <t>Clear Eyes Cooling Comfort Redness Relief Eye Drops, 3 Count</t>
        </is>
      </c>
      <c r="E388" s="1">
        <f>HYPERLINK("https://www.amazon.com/Clear-Eyes-Cooling-Comfort-Redness/dp/B01IKJ0YWQ/ref=sr_1_2?keywords=Clear+Eyes+Cool+Comfort+Redness+Relief+Eye+Drops&amp;qid=1695764237&amp;sr=8-2", "https://www.amazon.com/Clear-Eyes-Cooling-Comfort-Redness/dp/B01IKJ0YWQ/ref=sr_1_2?keywords=Clear+Eyes+Cool+Comfort+Redness+Relief+Eye+Drops&amp;qid=1695764237&amp;sr=8-2")</f>
        <v/>
      </c>
      <c r="F388" t="inlineStr">
        <is>
          <t>B01IKJ0YWQ</t>
        </is>
      </c>
      <c r="G388">
        <f>_xlfn.IMAGE("https://www.mountainside-medical.com/cdn/shop/products/Clear-Eyes-Cool-Comfort-Redness-Relief-Eye-Drops.jpg?v=1600354649")</f>
        <v/>
      </c>
      <c r="H388">
        <f>_xlfn.IMAGE("https://m.media-amazon.com/images/I/618MISrH2BL._AC_UL320_.jpg")</f>
        <v/>
      </c>
      <c r="K388" t="inlineStr">
        <is>
          <t>6.15</t>
        </is>
      </c>
      <c r="L388" t="n">
        <v>24.39</v>
      </c>
      <c r="M388" s="2" t="inlineStr">
        <is>
          <t>296.59%</t>
        </is>
      </c>
      <c r="N388" t="n">
        <v>4.7</v>
      </c>
      <c r="O388" t="n">
        <v>90</v>
      </c>
      <c r="Q388" t="inlineStr">
        <is>
          <t>InStock</t>
        </is>
      </c>
      <c r="R388" t="inlineStr">
        <is>
          <t>undefined</t>
        </is>
      </c>
      <c r="S388" t="inlineStr">
        <is>
          <t>10812688264</t>
        </is>
      </c>
    </row>
    <row r="389" ht="75" customHeight="1">
      <c r="A389" s="1">
        <f>HYPERLINK("https://www.mountainside-medical.com/collections/over-the-counter-drugs/products/compound-w-wart-removal-one-step-medicated-pads-for-adults", "https://www.mountainside-medical.com/collections/over-the-counter-drugs/products/compound-w-wart-removal-one-step-medicated-pads-for-adults")</f>
        <v/>
      </c>
      <c r="B389" s="1">
        <f>HYPERLINK("https://www.mountainside-medical.com/products/compound-w-wart-removal-one-step-medicated-pads-for-adults", "https://www.mountainside-medical.com/products/compound-w-wart-removal-one-step-medicated-pads-for-adults")</f>
        <v/>
      </c>
      <c r="C389" t="inlineStr">
        <is>
          <t>Compound W One Step Wart Removal Invisible Pads 14 Count</t>
        </is>
      </c>
      <c r="D389" t="inlineStr">
        <is>
          <t>Compound W Dual Power 2-in-1 Wart Treatment Kit and One Step Pads (14 Count)</t>
        </is>
      </c>
      <c r="E389" s="1">
        <f>HYPERLINK("https://www.amazon.com/Compound-Wart-Maximum-Strength-Remover/dp/B079P93YHM/ref=sr_1_2?keywords=Compound+W+One+Step+Wart+Removal+Invisible+Pads+14+Count&amp;qid=1695764227&amp;sr=8-2", "https://www.amazon.com/Compound-Wart-Maximum-Strength-Remover/dp/B079P93YHM/ref=sr_1_2?keywords=Compound+W+One+Step+Wart+Removal+Invisible+Pads+14+Count&amp;qid=1695764227&amp;sr=8-2")</f>
        <v/>
      </c>
      <c r="F389" t="inlineStr">
        <is>
          <t>B079P93YHM</t>
        </is>
      </c>
      <c r="G389">
        <f>_xlfn.IMAGE("https://www.mountainside-medical.com/cdn/shop/products/Compound-W-One-Step-Wart-Removal-Invisible-Pads-14-Count.jpg?v=1662127101")</f>
        <v/>
      </c>
      <c r="H389">
        <f>_xlfn.IMAGE("https://m.media-amazon.com/images/I/813YABWmAJL._AC_UL320_.jpg")</f>
        <v/>
      </c>
      <c r="K389" t="inlineStr">
        <is>
          <t>10.75</t>
        </is>
      </c>
      <c r="L389" t="n">
        <v>26.73</v>
      </c>
      <c r="M389" s="2" t="inlineStr">
        <is>
          <t>148.65%</t>
        </is>
      </c>
      <c r="N389" t="n">
        <v>4.1</v>
      </c>
      <c r="O389" t="n">
        <v>16224</v>
      </c>
      <c r="Q389" t="inlineStr">
        <is>
          <t>InStock</t>
        </is>
      </c>
      <c r="R389" t="inlineStr">
        <is>
          <t>undefined</t>
        </is>
      </c>
      <c r="S389" t="inlineStr">
        <is>
          <t>1594806340</t>
        </is>
      </c>
    </row>
    <row r="390" ht="75" customHeight="1">
      <c r="A390" s="1">
        <f>HYPERLINK("https://www.mountainside-medical.com/collections/over-the-counter-drugs/products/dristan-12-hour-nasal-decongestant-relief-spray", "https://www.mountainside-medical.com/collections/over-the-counter-drugs/products/dristan-12-hour-nasal-decongestant-relief-spray")</f>
        <v/>
      </c>
      <c r="B390" s="1">
        <f>HYPERLINK("https://www.mountainside-medical.com/products/dristan-12-hour-nasal-decongestant-relief-spray", "https://www.mountainside-medical.com/products/dristan-12-hour-nasal-decongestant-relief-spray")</f>
        <v/>
      </c>
      <c r="C390" t="inlineStr">
        <is>
          <t>Dristan 12-Hour Nasal Decongestant Relief Spray</t>
        </is>
      </c>
      <c r="D390" t="inlineStr">
        <is>
          <t>Afrin Original Maximum Strength 12 Hour Sinus Congestion Relief Pump Mist - Fast Acting Allergy Nasal Decongestant and Sinus Spray for Powerful Nasal Congestion Relief 0.5oz (15mL)</t>
        </is>
      </c>
      <c r="E390" s="1">
        <f>HYPERLINK("https://www.amazon.com/Afrin-Hour-Pump-Original-Ounce/dp/B019DL5KAG/ref=sr_1_3?keywords=Dristan+12-Hour+Nasal+Decongestant+Relief+Spray&amp;qid=1695764232&amp;sr=8-3", "https://www.amazon.com/Afrin-Hour-Pump-Original-Ounce/dp/B019DL5KAG/ref=sr_1_3?keywords=Dristan+12-Hour+Nasal+Decongestant+Relief+Spray&amp;qid=1695764232&amp;sr=8-3")</f>
        <v/>
      </c>
      <c r="F390" t="inlineStr">
        <is>
          <t>B019DL5KAG</t>
        </is>
      </c>
      <c r="G390">
        <f>_xlfn.IMAGE("https://www.mountainside-medical.com/cdn/shop/products/Dristan12-HourNasalDecongestantRelefSprayforAllergies.jpg?v=1665577900")</f>
        <v/>
      </c>
      <c r="H390">
        <f>_xlfn.IMAGE("https://m.media-amazon.com/images/I/81lfsEyuTvL._AC_UL320_.jpg")</f>
        <v/>
      </c>
      <c r="K390" t="inlineStr">
        <is>
          <t>7.25</t>
        </is>
      </c>
      <c r="L390" t="n">
        <v>17.57</v>
      </c>
      <c r="M390" s="2" t="inlineStr">
        <is>
          <t>142.34%</t>
        </is>
      </c>
      <c r="N390" t="n">
        <v>4.6</v>
      </c>
      <c r="O390" t="n">
        <v>4421</v>
      </c>
      <c r="Q390" t="inlineStr">
        <is>
          <t>OutOfStock</t>
        </is>
      </c>
      <c r="R390" t="inlineStr">
        <is>
          <t>10.95</t>
        </is>
      </c>
      <c r="S390" t="inlineStr">
        <is>
          <t>1594797444</t>
        </is>
      </c>
    </row>
    <row r="391" ht="75" customHeight="1">
      <c r="A391" s="1">
        <f>HYPERLINK("https://www.mountainside-medical.com/collections/over-the-counter-drugs/products/hylands-leg-cramps-quick-dissolving-tablets-50-ct", "https://www.mountainside-medical.com/collections/over-the-counter-drugs/products/hylands-leg-cramps-quick-dissolving-tablets-50-ct")</f>
        <v/>
      </c>
      <c r="B391" s="1">
        <f>HYPERLINK("https://www.mountainside-medical.com/products/hylands-leg-cramps-quick-dissolving-tablets-50-ct", "https://www.mountainside-medical.com/products/hylands-leg-cramps-quick-dissolving-tablets-50-ct")</f>
        <v/>
      </c>
      <c r="C391" t="inlineStr">
        <is>
          <t>Hyland's Leg Cramps Quick Dissolving Tablets 50 Count</t>
        </is>
      </c>
      <c r="D391" t="inlineStr">
        <is>
          <t>Bundle of Hyland's Naturals Leg Cramps Tablets, 100 Count + Leg Cramps PM Nighttime Formula, Natural Relief of Calf, Foot and Leg Cramps, 50 Count</t>
        </is>
      </c>
      <c r="E391" s="1">
        <f>HYPERLINK("https://www.amazon.com/Hylands-Naturals-Tablets-Nighttime-Formula/dp/B0C31SZ1KY/ref=sr_1_8?keywords=Hylands+Leg+Cramps+Quick+Dissolving+Tablets+50+Count&amp;qid=1695764226&amp;sr=8-8", "https://www.amazon.com/Hylands-Naturals-Tablets-Nighttime-Formula/dp/B0C31SZ1KY/ref=sr_1_8?keywords=Hylands+Leg+Cramps+Quick+Dissolving+Tablets+50+Count&amp;qid=1695764226&amp;sr=8-8")</f>
        <v/>
      </c>
      <c r="F391" t="inlineStr">
        <is>
          <t>B0C31SZ1KY</t>
        </is>
      </c>
      <c r="G391">
        <f>_xlfn.IMAGE("https://www.mountainside-medical.com/cdn/shop/products/Hylands-Leg-Cramps-Quick-Dissolving-Tablets-50-Count.jpg?v=1664814857")</f>
        <v/>
      </c>
      <c r="H391">
        <f>_xlfn.IMAGE("https://m.media-amazon.com/images/I/71iHdcMNkXL._AC_UL320_.jpg")</f>
        <v/>
      </c>
      <c r="K391" t="inlineStr">
        <is>
          <t>10.89</t>
        </is>
      </c>
      <c r="L391" t="n">
        <v>24.44</v>
      </c>
      <c r="M391" s="2" t="inlineStr">
        <is>
          <t>124.43%</t>
        </is>
      </c>
      <c r="N391" t="n">
        <v>5</v>
      </c>
      <c r="O391" t="n">
        <v>8</v>
      </c>
      <c r="Q391" t="inlineStr">
        <is>
          <t>InStock</t>
        </is>
      </c>
      <c r="R391" t="inlineStr">
        <is>
          <t>14.95</t>
        </is>
      </c>
      <c r="S391" t="inlineStr">
        <is>
          <t>1594439812</t>
        </is>
      </c>
    </row>
    <row r="392" ht="75" customHeight="1">
      <c r="A392" s="1">
        <f>HYPERLINK("https://www.mountainside-medical.com/collections/over-the-counter-drugs/products/ibuprofen-200mg-generic-advil", "https://www.mountainside-medical.com/collections/over-the-counter-drugs/products/ibuprofen-200mg-generic-advil")</f>
        <v/>
      </c>
      <c r="B392" s="1">
        <f>HYPERLINK("https://www.mountainside-medical.com/products/ibuprofen-200mg-generic-advil", "https://www.mountainside-medical.com/products/ibuprofen-200mg-generic-advil")</f>
        <v/>
      </c>
      <c r="C392" t="inlineStr">
        <is>
          <t>100 Ibuprofen Tablets 200 mg Pain Reliever/Fever Reducer</t>
        </is>
      </c>
      <c r="D392" t="inlineStr">
        <is>
          <t>Advil Pain Reliever and Fever Reducer, Pain Relief Medicine with Ibuprofen 200mg for Headache, Backache, Menstrual Pain and Joint Pain Relief - 300 Coated Tablets</t>
        </is>
      </c>
      <c r="E392" s="1">
        <f>HYPERLINK("https://www.amazon.com/Advil-Reliever-Ibuprofen-Headaches-Toothaches/dp/B004ZCT1M2/ref=sr_1_10?keywords=100+Ibuprofen+Tablets+200+mg+Pain+Reliever%2FFever+Reducer&amp;qid=1695764214&amp;sr=8-10", "https://www.amazon.com/Advil-Reliever-Ibuprofen-Headaches-Toothaches/dp/B004ZCT1M2/ref=sr_1_10?keywords=100+Ibuprofen+Tablets+200+mg+Pain+Reliever%2FFever+Reducer&amp;qid=1695764214&amp;sr=8-10")</f>
        <v/>
      </c>
      <c r="F392" t="inlineStr">
        <is>
          <t>B004ZCT1M2</t>
        </is>
      </c>
      <c r="G392">
        <f>_xlfn.IMAGE("https://www.mountainside-medical.com/cdn/shop/products/Ibuprofen_100_Tablets.png?v=1600344888")</f>
        <v/>
      </c>
      <c r="H392">
        <f>_xlfn.IMAGE("https://m.media-amazon.com/images/I/71TKja1yz5L._AC_UL320_.jpg")</f>
        <v/>
      </c>
      <c r="K392" t="inlineStr">
        <is>
          <t>2.89</t>
        </is>
      </c>
      <c r="L392" t="n">
        <v>15.82</v>
      </c>
      <c r="M392" s="2" t="inlineStr">
        <is>
          <t>447.40%</t>
        </is>
      </c>
      <c r="N392" t="n">
        <v>4.9</v>
      </c>
      <c r="O392" t="n">
        <v>11474</v>
      </c>
      <c r="Q392" t="inlineStr">
        <is>
          <t>InStock</t>
        </is>
      </c>
      <c r="R392" t="inlineStr">
        <is>
          <t>undefined</t>
        </is>
      </c>
      <c r="S392" t="inlineStr">
        <is>
          <t>1509055620</t>
        </is>
      </c>
    </row>
    <row r="393" ht="75" customHeight="1">
      <c r="A393" s="1">
        <f>HYPERLINK("https://www.mountainside-medical.com/collections/over-the-counter-drugs/products/lip-clear-lysine-cold-sore-treatment", "https://www.mountainside-medical.com/collections/over-the-counter-drugs/products/lip-clear-lysine-cold-sore-treatment")</f>
        <v/>
      </c>
      <c r="B393" s="1">
        <f>HYPERLINK("https://www.mountainside-medical.com/products/lip-clear-lysine-cold-sore-treatment", "https://www.mountainside-medical.com/products/lip-clear-lysine-cold-sore-treatment")</f>
        <v/>
      </c>
      <c r="C393" t="inlineStr">
        <is>
          <t>Lip Clear Lysine+ Cold Sore Treatment</t>
        </is>
      </c>
      <c r="D393" t="inlineStr">
        <is>
          <t>Cold Sore Treatment for Lips - Lysine &amp; Probiotics for Lips &amp; Skin - Immune Support for Effective Prevention and Clear Skin (60 Count)</t>
        </is>
      </c>
      <c r="E393" s="1">
        <f>HYPERLINK("https://www.amazon.com/Clear-Probiotics-Prevention-Probiotic-Prebiotic/dp/B08881XJNR/ref=sr_1_6?keywords=Lip+Clear+Lysine+Cold+Sore+Treatment&amp;qid=1695764223&amp;sr=8-6", "https://www.amazon.com/Clear-Probiotics-Prevention-Probiotic-Prebiotic/dp/B08881XJNR/ref=sr_1_6?keywords=Lip+Clear+Lysine+Cold+Sore+Treatment&amp;qid=1695764223&amp;sr=8-6")</f>
        <v/>
      </c>
      <c r="F393" t="inlineStr">
        <is>
          <t>B08881XJNR</t>
        </is>
      </c>
      <c r="G393">
        <f>_xlfn.IMAGE("https://www.mountainside-medical.com/cdn/shop/files/Lip-Clear-Lysine_-Cold-Sore-Treatment.jpg?v=1694797149")</f>
        <v/>
      </c>
      <c r="H393">
        <f>_xlfn.IMAGE("https://m.media-amazon.com/images/I/51Vhg+WOxdL._AC_UF264,320_.jpg")</f>
        <v/>
      </c>
      <c r="K393" t="inlineStr">
        <is>
          <t>9.95</t>
        </is>
      </c>
      <c r="L393" t="n">
        <v>39.99</v>
      </c>
      <c r="M393" s="2" t="inlineStr">
        <is>
          <t>301.91%</t>
        </is>
      </c>
      <c r="N393" t="n">
        <v>4.3</v>
      </c>
      <c r="O393" t="n">
        <v>283</v>
      </c>
      <c r="Q393" t="inlineStr">
        <is>
          <t>InStock</t>
        </is>
      </c>
      <c r="R393" t="inlineStr">
        <is>
          <t>13.95</t>
        </is>
      </c>
      <c r="S393" t="inlineStr">
        <is>
          <t>1594547140</t>
        </is>
      </c>
    </row>
    <row r="394" ht="75" customHeight="1">
      <c r="A394" s="1">
        <f>HYPERLINK("https://www.mountainside-medical.com/collections/over-the-counter-drugs/products/senna-vegetable-laxative-tablets", "https://www.mountainside-medical.com/collections/over-the-counter-drugs/products/senna-vegetable-laxative-tablets")</f>
        <v/>
      </c>
      <c r="B394" s="1">
        <f>HYPERLINK("https://www.mountainside-medical.com/products/senna-vegetable-laxative-tablets", "https://www.mountainside-medical.com/products/senna-vegetable-laxative-tablets")</f>
        <v/>
      </c>
      <c r="C394" t="inlineStr">
        <is>
          <t>Senna Natural Vegetable Laxative Tablets 100 Count</t>
        </is>
      </c>
      <c r="D394" t="inlineStr">
        <is>
          <t>Senna 8.6 Mg Natural Vegetable Laxativ 1000 Tablets Generic for Senekot by MAJOR PHARMACEUTICALS (Original Version)</t>
        </is>
      </c>
      <c r="E394" s="1">
        <f>HYPERLINK("https://www.amazon.com/Natural-Vegetable-Laxativ-PHARMACEUTICALS-Original/dp/B005TM1H7Y/ref=sr_1_9?keywords=Senna+Natural+Vegetable+Laxative+Tablets+100+Count&amp;qid=1695764223&amp;sr=8-9", "https://www.amazon.com/Natural-Vegetable-Laxativ-PHARMACEUTICALS-Original/dp/B005TM1H7Y/ref=sr_1_9?keywords=Senna+Natural+Vegetable+Laxative+Tablets+100+Count&amp;qid=1695764223&amp;sr=8-9")</f>
        <v/>
      </c>
      <c r="F394" t="inlineStr">
        <is>
          <t>B005TM1H7Y</t>
        </is>
      </c>
      <c r="G394">
        <f>_xlfn.IMAGE("https://www.mountainside-medical.com/cdn/shop/products/Senna_Laxative_Tablets_100.png?v=1600379151")</f>
        <v/>
      </c>
      <c r="H394">
        <f>_xlfn.IMAGE("https://m.media-amazon.com/images/I/91iLgRFTctL._AC_UL320_.jpg")</f>
        <v/>
      </c>
      <c r="K394" t="inlineStr">
        <is>
          <t>1.95</t>
        </is>
      </c>
      <c r="L394" t="n">
        <v>15</v>
      </c>
      <c r="M394" s="2" t="inlineStr">
        <is>
          <t>669.23%</t>
        </is>
      </c>
      <c r="N394" t="n">
        <v>4.7</v>
      </c>
      <c r="O394" t="n">
        <v>9371</v>
      </c>
      <c r="Q394" t="inlineStr">
        <is>
          <t>InStock</t>
        </is>
      </c>
      <c r="R394" t="inlineStr">
        <is>
          <t>2.59</t>
        </is>
      </c>
      <c r="S394" t="inlineStr">
        <is>
          <t>1594621252</t>
        </is>
      </c>
    </row>
    <row r="395" ht="75" customHeight="1">
      <c r="A395" s="1">
        <f>HYPERLINK("https://www.mountainside-medical.com/collections/over-the-counter-drugs/products/xylimelts-for-dry-mouth-40-box", "https://www.mountainside-medical.com/collections/over-the-counter-drugs/products/xylimelts-for-dry-mouth-40-box")</f>
        <v/>
      </c>
      <c r="B395" s="1">
        <f>HYPERLINK("https://www.mountainside-medical.com/products/xylimelts-for-dry-mouth-40-box", "https://www.mountainside-medical.com/products/xylimelts-for-dry-mouth-40-box")</f>
        <v/>
      </c>
      <c r="C395" t="inlineStr">
        <is>
          <t>XyliMelts Stick-On Melts for Dry Mouth Moisturizing 40 Count</t>
        </is>
      </c>
      <c r="D395" t="inlineStr">
        <is>
          <t>OraCoat XyliMelts Dry Mouth Relief Oral Adhering Discs, Slightly Sweet with Xylitol, For Dry Mouth, Stimulates Saliva, Non-Acidic, Day and Night Use, Time Release for up to 8 Hours, 100 Count</t>
        </is>
      </c>
      <c r="E395" s="1">
        <f>HYPERLINK("https://www.amazon.com/XyliMelts-Adhering-Slightly-Stimulates-Non-Acidic/dp/B07TYW877C/ref=sr_1_4?keywords=XyliMelts+Stick-On+Melts+for+Dry+Mouth+Moisturizing+40+Count&amp;qid=1695764222&amp;sr=8-4", "https://www.amazon.com/XyliMelts-Adhering-Slightly-Stimulates-Non-Acidic/dp/B07TYW877C/ref=sr_1_4?keywords=XyliMelts+Stick-On+Melts+for+Dry+Mouth+Moisturizing+40+Count&amp;qid=1695764222&amp;sr=8-4")</f>
        <v/>
      </c>
      <c r="F395" t="inlineStr">
        <is>
          <t>B07TYW877C</t>
        </is>
      </c>
      <c r="G395">
        <f>_xlfn.IMAGE("https://www.mountainside-medical.com/cdn/shop/products/XyliMelts-For-Dry-Mouth-Treatment.jpg?v=1664543017")</f>
        <v/>
      </c>
      <c r="H395">
        <f>_xlfn.IMAGE("https://m.media-amazon.com/images/I/71uO7lCzJIL._AC_UL320_.jpg")</f>
        <v/>
      </c>
      <c r="K395" t="inlineStr">
        <is>
          <t>12.95</t>
        </is>
      </c>
      <c r="L395" t="n">
        <v>21.9</v>
      </c>
      <c r="M395" s="2" t="inlineStr">
        <is>
          <t>69.11%</t>
        </is>
      </c>
      <c r="N395" t="n">
        <v>4.5</v>
      </c>
      <c r="O395" t="n">
        <v>14594</v>
      </c>
      <c r="Q395" t="inlineStr">
        <is>
          <t>InStock</t>
        </is>
      </c>
      <c r="R395" t="inlineStr">
        <is>
          <t>17.95</t>
        </is>
      </c>
      <c r="S395" t="inlineStr">
        <is>
          <t>1594892228</t>
        </is>
      </c>
    </row>
    <row r="396" ht="75" customHeight="1">
      <c r="A396" s="1">
        <f>HYPERLINK("https://www.mountainside-medical.com/collections/physicians-supplies/products/bulb-replacement-for-welch-allyn-otoscope-03100", "https://www.mountainside-medical.com/collections/physicians-supplies/products/bulb-replacement-for-welch-allyn-otoscope-03100")</f>
        <v/>
      </c>
      <c r="B396" s="1">
        <f>HYPERLINK("https://www.mountainside-medical.com/products/bulb-replacement-for-welch-allyn-otoscope-03100", "https://www.mountainside-medical.com/products/bulb-replacement-for-welch-allyn-otoscope-03100")</f>
        <v/>
      </c>
      <c r="C396" t="inlineStr">
        <is>
          <t>Halogen 3.5V Replacement Lamp For Welch Allyn Otoscope 03100-U</t>
        </is>
      </c>
      <c r="D396" t="inlineStr">
        <is>
          <t>Welch Allyn 2.5V Halogen HPX Lamp for Otoscopes, Illuminators and Transill Uminators, Tongue Blade Holders, and 3.5V Handle Adapters, 03100-U6 (Box of 6)</t>
        </is>
      </c>
      <c r="E396" s="1">
        <f>HYPERLINK("https://www.amazon.com/Replacement-Halogen-Otoscopes-Illuminators-Transilluminators/dp/B01F9UU62W/ref=sr_1_6?keywords=Halogen+3.5V+Replacement+Lamp+For+Welch+Allyn+Otoscope+03100-U&amp;qid=1695764416&amp;sr=8-6", "https://www.amazon.com/Replacement-Halogen-Otoscopes-Illuminators-Transilluminators/dp/B01F9UU62W/ref=sr_1_6?keywords=Halogen+3.5V+Replacement+Lamp+For+Welch+Allyn+Otoscope+03100-U&amp;qid=1695764416&amp;sr=8-6")</f>
        <v/>
      </c>
      <c r="F396" t="inlineStr">
        <is>
          <t>B01F9UU62W</t>
        </is>
      </c>
      <c r="G396">
        <f>_xlfn.IMAGE("https://www.mountainside-medical.com/cdn/shop/products/welch_allyn_031005__79981.jpeg?v=1600352533")</f>
        <v/>
      </c>
      <c r="H396">
        <f>_xlfn.IMAGE("https://m.media-amazon.com/images/I/41PPK6j7OJL._AC_UL320_.jpg")</f>
        <v/>
      </c>
      <c r="K396" t="inlineStr">
        <is>
          <t>31.9</t>
        </is>
      </c>
      <c r="L396" t="n">
        <v>92</v>
      </c>
      <c r="M396" s="2" t="inlineStr">
        <is>
          <t>188.40%</t>
        </is>
      </c>
      <c r="N396" t="n">
        <v>5</v>
      </c>
      <c r="O396" t="n">
        <v>11</v>
      </c>
      <c r="Q396" t="inlineStr">
        <is>
          <t>InStock</t>
        </is>
      </c>
      <c r="R396" t="inlineStr">
        <is>
          <t>undefined</t>
        </is>
      </c>
      <c r="S396" t="inlineStr">
        <is>
          <t>1509028868</t>
        </is>
      </c>
    </row>
    <row r="397" ht="75" customHeight="1">
      <c r="A397" s="1">
        <f>HYPERLINK("https://www.mountainside-medical.com/collections/physicians-supplies/products/pocket-pal-ii-pocket-organizer-kit", "https://www.mountainside-medical.com/collections/physicians-supplies/products/pocket-pal-ii-pocket-organizer-kit")</f>
        <v/>
      </c>
      <c r="B397" s="1">
        <f>HYPERLINK("https://www.mountainside-medical.com/products/pocket-pal-ii-pocket-organizer-kit", "https://www.mountainside-medical.com/products/pocket-pal-ii-pocket-organizer-kit")</f>
        <v/>
      </c>
      <c r="C397" t="inlineStr">
        <is>
          <t>Pocket Pal II Pocket Organizer Kit</t>
        </is>
      </c>
      <c r="D397" t="inlineStr">
        <is>
          <t>ADC Nurse Medical Accessory Combo Kit, Includes Pocket Pal II Kit with Lister Bandage Scissors, 3-Color Pen, Adlite Plus Penlight, Adscope 641 Sprague Stethoscope, Black</t>
        </is>
      </c>
      <c r="E397" s="1">
        <f>HYPERLINK("https://www.amazon.com/ADC-Accessory-Scissors-Penlight-Stethoscope/dp/B000FA7DD2/ref=sr_1_6?keywords=Pocket+Pal+II+Pocket+Organizer+Kit&amp;qid=1695764413&amp;sr=8-6", "https://www.amazon.com/ADC-Accessory-Scissors-Penlight-Stethoscope/dp/B000FA7DD2/ref=sr_1_6?keywords=Pocket+Pal+II+Pocket+Organizer+Kit&amp;qid=1695764413&amp;sr=8-6")</f>
        <v/>
      </c>
      <c r="F397" t="inlineStr">
        <is>
          <t>B000FA7DD2</t>
        </is>
      </c>
      <c r="G397">
        <f>_xlfn.IMAGE("https://www.mountainside-medical.com/cdn/shop/products/adc-pocket-pal-2-116v_1.jpeg?v=1600374780")</f>
        <v/>
      </c>
      <c r="H397">
        <f>_xlfn.IMAGE("https://m.media-amazon.com/images/I/81YH5M97dSL._AC_UL320_.jpg")</f>
        <v/>
      </c>
      <c r="K397" t="inlineStr">
        <is>
          <t>12.69</t>
        </is>
      </c>
      <c r="L397" t="n">
        <v>42.01</v>
      </c>
      <c r="M397" s="2" t="inlineStr">
        <is>
          <t>231.05%</t>
        </is>
      </c>
      <c r="N397" t="n">
        <v>4.8</v>
      </c>
      <c r="O397" t="n">
        <v>4</v>
      </c>
      <c r="Q397" t="inlineStr">
        <is>
          <t>InStock</t>
        </is>
      </c>
      <c r="R397" t="inlineStr">
        <is>
          <t>19.99</t>
        </is>
      </c>
      <c r="S397" t="inlineStr">
        <is>
          <t>1594607620</t>
        </is>
      </c>
    </row>
    <row r="398" ht="75" customHeight="1">
      <c r="A398" s="1">
        <f>HYPERLINK("https://www.mountainside-medical.com/collections/physicians-supplies/products/pocket-pal-ii-pocket-organizer-kit", "https://www.mountainside-medical.com/collections/physicians-supplies/products/pocket-pal-ii-pocket-organizer-kit")</f>
        <v/>
      </c>
      <c r="B398" s="1">
        <f>HYPERLINK("https://www.mountainside-medical.com/products/pocket-pal-ii-pocket-organizer-kit", "https://www.mountainside-medical.com/products/pocket-pal-ii-pocket-organizer-kit")</f>
        <v/>
      </c>
      <c r="C398" t="inlineStr">
        <is>
          <t>Pocket Pal II Pocket Organizer Kit</t>
        </is>
      </c>
      <c r="D398" t="inlineStr">
        <is>
          <t>ADC Nurse Combo-Lite Kit with Pocket Pal II Medical Organizer, Lister Bandage Scissor, 3-Color Pen, Adlite Disposable Penlight, and Proscope 670 Dual-Head Stethoscope, Purple</t>
        </is>
      </c>
      <c r="E398" s="1">
        <f>HYPERLINK("https://www.amazon.com/ADC-Combo-Lite-Organizer-Disposable-Stethoscope/dp/B000FADAVG/ref=sr_1_2?keywords=Pocket+Pal+II+Pocket+Organizer+Kit&amp;qid=1695764413&amp;sr=8-2", "https://www.amazon.com/ADC-Combo-Lite-Organizer-Disposable-Stethoscope/dp/B000FADAVG/ref=sr_1_2?keywords=Pocket+Pal+II+Pocket+Organizer+Kit&amp;qid=1695764413&amp;sr=8-2")</f>
        <v/>
      </c>
      <c r="F398" t="inlineStr">
        <is>
          <t>B000FADAVG</t>
        </is>
      </c>
      <c r="G398">
        <f>_xlfn.IMAGE("https://www.mountainside-medical.com/cdn/shop/products/adc-pocket-pal-2-116v_1.jpeg?v=1600374780")</f>
        <v/>
      </c>
      <c r="H398">
        <f>_xlfn.IMAGE("https://m.media-amazon.com/images/I/71opyztuzDL._AC_UL320_.jpg")</f>
        <v/>
      </c>
      <c r="K398" t="inlineStr">
        <is>
          <t>12.69</t>
        </is>
      </c>
      <c r="L398" t="n">
        <v>34.02</v>
      </c>
      <c r="M398" s="2" t="inlineStr">
        <is>
          <t>168.09%</t>
        </is>
      </c>
      <c r="N398" t="n">
        <v>4</v>
      </c>
      <c r="O398" t="n">
        <v>5</v>
      </c>
      <c r="Q398" t="inlineStr">
        <is>
          <t>InStock</t>
        </is>
      </c>
      <c r="R398" t="inlineStr">
        <is>
          <t>19.99</t>
        </is>
      </c>
      <c r="S398" t="inlineStr">
        <is>
          <t>1594607620</t>
        </is>
      </c>
    </row>
    <row r="399" ht="75" customHeight="1">
      <c r="A399" s="1">
        <f>HYPERLINK("https://www.mountainside-medical.com/collections/physicians-supplies/products/pocket-pal-ii-pocket-organizer-kit", "https://www.mountainside-medical.com/collections/physicians-supplies/products/pocket-pal-ii-pocket-organizer-kit")</f>
        <v/>
      </c>
      <c r="B399" s="1">
        <f>HYPERLINK("https://www.mountainside-medical.com/products/pocket-pal-ii-pocket-organizer-kit", "https://www.mountainside-medical.com/products/pocket-pal-ii-pocket-organizer-kit")</f>
        <v/>
      </c>
      <c r="C399" t="inlineStr">
        <is>
          <t>Pocket Pal II Pocket Organizer Kit</t>
        </is>
      </c>
      <c r="D399" t="inlineStr">
        <is>
          <t>ADC Nurse Combo-Lite Kit with Pocket Pal II Medical Organizer, Lister Bandage Scissor, 3-Color Pen, Adlite Disposable Penlight, and Proscope 670 Dual-Head Stethoscope, Teal</t>
        </is>
      </c>
      <c r="E399" s="1">
        <f>HYPERLINK("https://www.amazon.com/ADC-Combo-Lite-Organizer-Disposable-Stethoscope/dp/B000FADAW0/ref=sr_1_1?keywords=Pocket+Pal+II+Pocket+Organizer+Kit&amp;qid=1695764413&amp;sr=8-1", "https://www.amazon.com/ADC-Combo-Lite-Organizer-Disposable-Stethoscope/dp/B000FADAW0/ref=sr_1_1?keywords=Pocket+Pal+II+Pocket+Organizer+Kit&amp;qid=1695764413&amp;sr=8-1")</f>
        <v/>
      </c>
      <c r="F399" t="inlineStr">
        <is>
          <t>B000FADAW0</t>
        </is>
      </c>
      <c r="G399">
        <f>_xlfn.IMAGE("https://www.mountainside-medical.com/cdn/shop/products/adc-pocket-pal-2-116v_1.jpeg?v=1600374780")</f>
        <v/>
      </c>
      <c r="H399">
        <f>_xlfn.IMAGE("https://m.media-amazon.com/images/I/71ASmARUthL._AC_UL320_.jpg")</f>
        <v/>
      </c>
      <c r="K399" t="inlineStr">
        <is>
          <t>12.69</t>
        </is>
      </c>
      <c r="L399" t="n">
        <v>34.02</v>
      </c>
      <c r="M399" s="2" t="inlineStr">
        <is>
          <t>168.09%</t>
        </is>
      </c>
      <c r="N399" t="n">
        <v>4.7</v>
      </c>
      <c r="O399" t="n">
        <v>2</v>
      </c>
      <c r="Q399" t="inlineStr">
        <is>
          <t>InStock</t>
        </is>
      </c>
      <c r="R399" t="inlineStr">
        <is>
          <t>19.99</t>
        </is>
      </c>
      <c r="S399" t="inlineStr">
        <is>
          <t>1594607620</t>
        </is>
      </c>
    </row>
    <row r="400" ht="75" customHeight="1">
      <c r="A400" s="1">
        <f>HYPERLINK("https://www.mountainside-medical.com/collections/respiratory-supplies/products/hudson-rci-incentive-spirometer-with-mouthpiece", "https://www.mountainside-medical.com/collections/respiratory-supplies/products/hudson-rci-incentive-spirometer-with-mouthpiece")</f>
        <v/>
      </c>
      <c r="B400" s="1">
        <f>HYPERLINK("https://www.mountainside-medical.com/products/hudson-rci-incentive-spirometer-with-mouthpiece", "https://www.mountainside-medical.com/products/hudson-rci-incentive-spirometer-with-mouthpiece")</f>
        <v/>
      </c>
      <c r="C400" t="inlineStr">
        <is>
          <t>Incentive Spirometer with Mouthpiece</t>
        </is>
      </c>
      <c r="D400" t="inlineStr">
        <is>
          <t>Mouthpieces For #164 Incentive Spirometer Disp 50cs</t>
        </is>
      </c>
      <c r="E400" s="1">
        <f>HYPERLINK("https://www.amazon.com/Mouthpieces-Incentive-Spirometer-Disp-50cs/dp/B0008KM8YS/ref=sr_1_1?keywords=Incentive+Spirometer+with+Mouthpiece&amp;qid=1695764485&amp;sr=8-1", "https://www.amazon.com/Mouthpieces-Incentive-Spirometer-Disp-50cs/dp/B0008KM8YS/ref=sr_1_1?keywords=Incentive+Spirometer+with+Mouthpiece&amp;qid=1695764485&amp;sr=8-1")</f>
        <v/>
      </c>
      <c r="F400" t="inlineStr">
        <is>
          <t>B0008KM8YS</t>
        </is>
      </c>
      <c r="G400">
        <f>_xlfn.IMAGE("https://www.mountainside-medical.com/cdn/shop/products/incentive-spirometer-with-mouthpiece-1750-hudson-rci__72860.jpeg?v=1600364732")</f>
        <v/>
      </c>
      <c r="H400">
        <f>_xlfn.IMAGE("https://m.media-amazon.com/images/I/4106X86fyJL._AC_UY218_.jpg")</f>
        <v/>
      </c>
      <c r="K400" t="inlineStr">
        <is>
          <t>6.5</t>
        </is>
      </c>
      <c r="L400" t="n">
        <v>67.90000000000001</v>
      </c>
      <c r="M400" s="2" t="inlineStr">
        <is>
          <t>944.62%</t>
        </is>
      </c>
      <c r="N400" t="n">
        <v>4.3</v>
      </c>
      <c r="O400" t="n">
        <v>2</v>
      </c>
      <c r="Q400" t="inlineStr">
        <is>
          <t>InStock</t>
        </is>
      </c>
      <c r="R400" t="inlineStr">
        <is>
          <t>undefined</t>
        </is>
      </c>
      <c r="S400" t="inlineStr">
        <is>
          <t>1509236292</t>
        </is>
      </c>
    </row>
    <row r="401" ht="75" customHeight="1">
      <c r="A401" s="1">
        <f>HYPERLINK("https://www.mountainside-medical.com/collections/respiratory-supplies/products/hudson-rci-incentive-spirometer-with-mouthpiece", "https://www.mountainside-medical.com/collections/respiratory-supplies/products/hudson-rci-incentive-spirometer-with-mouthpiece")</f>
        <v/>
      </c>
      <c r="B401" s="1">
        <f>HYPERLINK("https://www.mountainside-medical.com/products/hudson-rci-incentive-spirometer-with-mouthpiece", "https://www.mountainside-medical.com/products/hudson-rci-incentive-spirometer-with-mouthpiece")</f>
        <v/>
      </c>
      <c r="C401" t="inlineStr">
        <is>
          <t>Incentive Spirometer with Mouthpiece</t>
        </is>
      </c>
      <c r="D401" t="inlineStr">
        <is>
          <t>Teleflex Medical (n) Mouthpieces Disposable(Bx/50) For #164 Incentive Spirometer</t>
        </is>
      </c>
      <c r="E401" s="1">
        <f>HYPERLINK("https://www.amazon.com/Teleflex-Mouthpieces-Disposable-Incentive-Spirometer/dp/B00NZGS80K/ref=sr_1_2?keywords=Incentive+Spirometer+with+Mouthpiece&amp;qid=1695764485&amp;sr=8-2", "https://www.amazon.com/Teleflex-Mouthpieces-Disposable-Incentive-Spirometer/dp/B00NZGS80K/ref=sr_1_2?keywords=Incentive+Spirometer+with+Mouthpiece&amp;qid=1695764485&amp;sr=8-2")</f>
        <v/>
      </c>
      <c r="F401" t="inlineStr">
        <is>
          <t>B00NZGS80K</t>
        </is>
      </c>
      <c r="G401">
        <f>_xlfn.IMAGE("https://www.mountainside-medical.com/cdn/shop/products/incentive-spirometer-with-mouthpiece-1750-hudson-rci__72860.jpeg?v=1600364732")</f>
        <v/>
      </c>
      <c r="H401">
        <f>_xlfn.IMAGE("https://m.media-amazon.com/images/I/41k-xNE1ynL._AC_UY218_.jpg")</f>
        <v/>
      </c>
      <c r="K401" t="inlineStr">
        <is>
          <t>6.5</t>
        </is>
      </c>
      <c r="L401" t="n">
        <v>45.89</v>
      </c>
      <c r="M401" s="2" t="inlineStr">
        <is>
          <t>606.00%</t>
        </is>
      </c>
      <c r="N401" t="n">
        <v>5</v>
      </c>
      <c r="O401" t="n">
        <v>1</v>
      </c>
      <c r="Q401" t="inlineStr">
        <is>
          <t>InStock</t>
        </is>
      </c>
      <c r="R401" t="inlineStr">
        <is>
          <t>undefined</t>
        </is>
      </c>
      <c r="S401" t="inlineStr">
        <is>
          <t>1509236292</t>
        </is>
      </c>
    </row>
    <row r="402" ht="75" customHeight="1">
      <c r="A402" s="1">
        <f>HYPERLINK("https://www.mountainside-medical.com/collections/respiratory-supplies/products/portable-nebulizer-machine-compressor", "https://www.mountainside-medical.com/collections/respiratory-supplies/products/portable-nebulizer-machine-compressor")</f>
        <v/>
      </c>
      <c r="B402" s="1">
        <f>HYPERLINK("https://www.mountainside-medical.com/products/portable-nebulizer-machine-compressor", "https://www.mountainside-medical.com/products/portable-nebulizer-machine-compressor")</f>
        <v/>
      </c>
      <c r="C402" t="inlineStr">
        <is>
          <t>Nebulizer Machine with Supplies</t>
        </is>
      </c>
      <c r="D402" t="inlineStr">
        <is>
          <t>Nebulizer Machine - Asthma Nebulizer Machine for Adults and Kids, Nebulizer Machine with Tubing, Mouthpiece and Masks for Adults and Kids OWAREY</t>
        </is>
      </c>
      <c r="E402" s="1" t="n"/>
      <c r="F402" t="inlineStr">
        <is>
          <t>B0BM7Z299P</t>
        </is>
      </c>
      <c r="G402">
        <f>_xlfn.IMAGE("https://www.mountainside-medical.com/cdn/shop/products/Nebulizer.jpg?v=1600375009")</f>
        <v/>
      </c>
      <c r="H402">
        <f>_xlfn.IMAGE("https://m.media-amazon.com/images/I/61JQ7kafYAL._AC_UY218_.jpg")</f>
        <v/>
      </c>
      <c r="K402" t="inlineStr">
        <is>
          <t>25.0</t>
        </is>
      </c>
      <c r="L402" t="n">
        <v>55.99</v>
      </c>
      <c r="M402" s="2" t="inlineStr">
        <is>
          <t>123.96%</t>
        </is>
      </c>
      <c r="N402" t="n">
        <v>4.7</v>
      </c>
      <c r="O402" t="n">
        <v>549</v>
      </c>
      <c r="Q402" t="inlineStr">
        <is>
          <t>InStock</t>
        </is>
      </c>
      <c r="R402" t="inlineStr">
        <is>
          <t>39.95</t>
        </is>
      </c>
      <c r="S402" t="inlineStr">
        <is>
          <t>1594922308</t>
        </is>
      </c>
    </row>
    <row r="403" ht="75" customHeight="1">
      <c r="A403" s="1">
        <f>HYPERLINK("https://www.mountainside-medical.com/collections/respiratory-supplies/products/portable-nebulizer-machine-compressor", "https://www.mountainside-medical.com/collections/respiratory-supplies/products/portable-nebulizer-machine-compressor")</f>
        <v/>
      </c>
      <c r="B403" s="1">
        <f>HYPERLINK("https://www.mountainside-medical.com/products/portable-nebulizer-machine-compressor", "https://www.mountainside-medical.com/products/portable-nebulizer-machine-compressor")</f>
        <v/>
      </c>
      <c r="C403" t="inlineStr">
        <is>
          <t>Nebulizer Machine with Supplies</t>
        </is>
      </c>
      <c r="D403" t="inlineStr">
        <is>
          <t>Nebulizer Machine for Adults &amp; Kids - Portable Nebulizer Machine for Breathing with Mouthpiece &amp; Mask, Desktop Asthma Compressor Nebulizer for Home Use</t>
        </is>
      </c>
      <c r="E403" s="1" t="n"/>
      <c r="F403" t="inlineStr">
        <is>
          <t>B0B5ZY9GX1</t>
        </is>
      </c>
      <c r="G403">
        <f>_xlfn.IMAGE("https://www.mountainside-medical.com/cdn/shop/products/Nebulizer.jpg?v=1600375009")</f>
        <v/>
      </c>
      <c r="H403">
        <f>_xlfn.IMAGE("https://m.media-amazon.com/images/I/61ty-lPtg3L._AC_UY218_.jpg")</f>
        <v/>
      </c>
      <c r="K403" t="inlineStr">
        <is>
          <t>25.0</t>
        </is>
      </c>
      <c r="L403" t="n">
        <v>49.99</v>
      </c>
      <c r="M403" s="2" t="inlineStr">
        <is>
          <t>99.96%</t>
        </is>
      </c>
      <c r="N403" t="n">
        <v>4.6</v>
      </c>
      <c r="O403" t="n">
        <v>309</v>
      </c>
      <c r="Q403" t="inlineStr">
        <is>
          <t>InStock</t>
        </is>
      </c>
      <c r="R403" t="inlineStr">
        <is>
          <t>39.95</t>
        </is>
      </c>
      <c r="S403" t="inlineStr">
        <is>
          <t>1594922308</t>
        </is>
      </c>
    </row>
    <row r="404" ht="75" customHeight="1">
      <c r="A404" s="1">
        <f>HYPERLINK("https://www.mountainside-medical.com/collections/respiratory-supplies/products/portable-nebulizer-machine-compressor", "https://www.mountainside-medical.com/collections/respiratory-supplies/products/portable-nebulizer-machine-compressor")</f>
        <v/>
      </c>
      <c r="B404" s="1">
        <f>HYPERLINK("https://www.mountainside-medical.com/products/portable-nebulizer-machine-compressor", "https://www.mountainside-medical.com/products/portable-nebulizer-machine-compressor")</f>
        <v/>
      </c>
      <c r="C404" t="inlineStr">
        <is>
          <t>Nebulizer Machine with Supplies</t>
        </is>
      </c>
      <c r="D404" t="inlineStr">
        <is>
          <t>Portable Nebulizer Machine for Adults Kids, USB Rechargeable Nebulizer with Fine Atomized Particles,2 Working Modes,Effective Mesh Nebulizer Treatment of Breathing Problems for Home Office Travel</t>
        </is>
      </c>
      <c r="E404" s="1" t="n"/>
      <c r="F404" t="inlineStr">
        <is>
          <t>B0CDBM3962</t>
        </is>
      </c>
      <c r="G404">
        <f>_xlfn.IMAGE("https://www.mountainside-medical.com/cdn/shop/products/Nebulizer.jpg?v=1600375009")</f>
        <v/>
      </c>
      <c r="H404">
        <f>_xlfn.IMAGE("https://m.media-amazon.com/images/I/91HouKyHZLL._AC_UY218_.jpg")</f>
        <v/>
      </c>
      <c r="K404" t="inlineStr">
        <is>
          <t>25.0</t>
        </is>
      </c>
      <c r="L404" t="n">
        <v>49.99</v>
      </c>
      <c r="M404" s="2" t="inlineStr">
        <is>
          <t>99.96%</t>
        </is>
      </c>
      <c r="N404" t="n">
        <v>4.9</v>
      </c>
      <c r="O404" t="n">
        <v>56</v>
      </c>
      <c r="Q404" t="inlineStr">
        <is>
          <t>InStock</t>
        </is>
      </c>
      <c r="R404" t="inlineStr">
        <is>
          <t>39.95</t>
        </is>
      </c>
      <c r="S404" t="inlineStr">
        <is>
          <t>1594922308</t>
        </is>
      </c>
    </row>
    <row r="405" ht="75" customHeight="1">
      <c r="A405" s="1">
        <f>HYPERLINK("https://www.mountainside-medical.com/collections/respiratory-supplies/products/water-trap-for-adults", "https://www.mountainside-medical.com/collections/respiratory-supplies/products/water-trap-for-adults")</f>
        <v/>
      </c>
      <c r="B405" s="1">
        <f>HYPERLINK("https://www.mountainside-medical.com/products/water-trap-for-adults", "https://www.mountainside-medical.com/products/water-trap-for-adults")</f>
        <v/>
      </c>
      <c r="C405" t="inlineStr">
        <is>
          <t>Water Trap for Adults Used with Nebulizer</t>
        </is>
      </c>
      <c r="D405" t="inlineStr">
        <is>
          <t>Portable Nebulizer, Nebulizer Machine for Adults and Kids, Ultrasonic Mesh Nebulizer of Cool Mist, Ultrasonic Nebulizer with Self-Cleaning Function for Breathing Problems, Used at Home, Office, Travel</t>
        </is>
      </c>
      <c r="E405" s="1">
        <f>HYPERLINK("https://www.amazon.com/Portable-Nebulizer-Ultrasonic-Self-Cleaning-Breathing/dp/B0B28THH35/ref=sr_1_3?keywords=Water+Trap+for+Adults+Used+with+Nebulizer&amp;qid=1695764494&amp;sr=8-3", "https://www.amazon.com/Portable-Nebulizer-Ultrasonic-Self-Cleaning-Breathing/dp/B0B28THH35/ref=sr_1_3?keywords=Water+Trap+for+Adults+Used+with+Nebulizer&amp;qid=1695764494&amp;sr=8-3")</f>
        <v/>
      </c>
      <c r="F405" t="inlineStr">
        <is>
          <t>B0B28THH35</t>
        </is>
      </c>
      <c r="G405">
        <f>_xlfn.IMAGE("https://www.mountainside-medical.com/cdn/shop/products/water-trap-adult-1650-hudson-rci__91394.jpeg?v=1600385647")</f>
        <v/>
      </c>
      <c r="H405">
        <f>_xlfn.IMAGE("https://m.media-amazon.com/images/I/61Ywo7z419L._AC_UY218_.jpg")</f>
        <v/>
      </c>
      <c r="K405" t="inlineStr">
        <is>
          <t>4.25</t>
        </is>
      </c>
      <c r="L405" t="n">
        <v>47.99</v>
      </c>
      <c r="M405" s="2" t="inlineStr">
        <is>
          <t>1029.18%</t>
        </is>
      </c>
      <c r="N405" t="n">
        <v>4.6</v>
      </c>
      <c r="O405" t="n">
        <v>803</v>
      </c>
      <c r="Q405" t="inlineStr">
        <is>
          <t>InStock</t>
        </is>
      </c>
      <c r="R405" t="inlineStr">
        <is>
          <t>5.95</t>
        </is>
      </c>
      <c r="S405" t="inlineStr">
        <is>
          <t>1594434308</t>
        </is>
      </c>
    </row>
    <row r="406" ht="75" customHeight="1">
      <c r="A406" s="1">
        <f>HYPERLINK("https://www.mountainside-medical.com/collections/respiratory-supplies/products/yankauer-suction-tip-handle", "https://www.mountainside-medical.com/collections/respiratory-supplies/products/yankauer-suction-tip-handle")</f>
        <v/>
      </c>
      <c r="B406" s="1">
        <f>HYPERLINK("https://www.mountainside-medical.com/products/yankauer-suction-tip-handle", "https://www.mountainside-medical.com/products/yankauer-suction-tip-handle")</f>
        <v/>
      </c>
      <c r="C406" t="inlineStr">
        <is>
          <t>Yankauer Suction Tip Handle, Sterile</t>
        </is>
      </c>
      <c r="D406" t="inlineStr">
        <is>
          <t>302 PT# 302- Tip Yankauer Suction Sterile 6" with Bulb Tip without Vent Ea by, Busse Hospital Disposable</t>
        </is>
      </c>
      <c r="E406" s="1">
        <f>HYPERLINK("https://www.amazon.com/Yankauer-Suction-Sterile-Hospital-Disposable/dp/B00577ZN44/ref=sr_1_2?keywords=Yankauer+Suction+Tip+Handle%2C+Sterile&amp;qid=1695764468&amp;sr=8-2", "https://www.amazon.com/Yankauer-Suction-Sterile-Hospital-Disposable/dp/B00577ZN44/ref=sr_1_2?keywords=Yankauer+Suction+Tip+Handle%2C+Sterile&amp;qid=1695764468&amp;sr=8-2")</f>
        <v/>
      </c>
      <c r="F406" t="inlineStr">
        <is>
          <t>B00577ZN44</t>
        </is>
      </c>
      <c r="G406">
        <f>_xlfn.IMAGE("https://www.mountainside-medical.com/cdn/shop/products/YankauerSuctionHandle.jpg?v=1644422907")</f>
        <v/>
      </c>
      <c r="H406">
        <f>_xlfn.IMAGE("https://m.media-amazon.com/images/I/21ZmPyCasIL._AC_UY218_.jpg")</f>
        <v/>
      </c>
      <c r="K406" t="inlineStr">
        <is>
          <t>0.69</t>
        </is>
      </c>
      <c r="L406" t="n">
        <v>20.99</v>
      </c>
      <c r="M406" s="2" t="inlineStr">
        <is>
          <t>2942.03%</t>
        </is>
      </c>
      <c r="N406" t="n">
        <v>4.6</v>
      </c>
      <c r="O406" t="n">
        <v>19</v>
      </c>
      <c r="Q406" t="inlineStr">
        <is>
          <t>InStock</t>
        </is>
      </c>
      <c r="R406" t="inlineStr">
        <is>
          <t>1.25</t>
        </is>
      </c>
      <c r="S406" t="inlineStr">
        <is>
          <t>1592968708</t>
        </is>
      </c>
    </row>
    <row r="407" ht="75" customHeight="1">
      <c r="A407" s="1">
        <f>HYPERLINK("https://www.mountainside-medical.com/collections/urological-products/products/bd-insyte-autoguard-bc-shielded-20-gauge-x-1-inch-iv-catheter-50-bx", "https://www.mountainside-medical.com/collections/urological-products/products/bd-insyte-autoguard-bc-shielded-20-gauge-x-1-inch-iv-catheter-50-bx")</f>
        <v/>
      </c>
      <c r="B407" s="1">
        <f>HYPERLINK("https://www.mountainside-medical.com/products/bd-insyte-autoguard-bc-shielded-20-gauge-x-1-inch-iv-catheter-50-bx", "https://www.mountainside-medical.com/products/bd-insyte-autoguard-bc-shielded-20-gauge-x-1-inch-iv-catheter-50-bx")</f>
        <v/>
      </c>
      <c r="C407" t="inlineStr">
        <is>
          <t>BD Insyte IV Catheter Needle with Blood Control Catheter Shielded 20 Gauge 1" Pink (Each)</t>
        </is>
      </c>
      <c r="D407" t="inlineStr">
        <is>
          <t>BD Medical Systems 382523 Insyte Autoguard BC Shielded IV Catheter with Blood Control Technology, 22 Gauge, 1" Length, Blue (Box of 50)</t>
        </is>
      </c>
      <c r="E407" s="1">
        <f>HYPERLINK("https://www.amazon.com/BD-Medical-Systems-382523-Technology/dp/B019REB6CK/ref=sr_1_1?keywords=BD+Insyte+IV+Catheter+Needle+with+Blood+Control+Catheter+Shielded+20+Gauge+1%22+Pink+%28Each%29&amp;qid=1695764378&amp;sr=8-1", "https://www.amazon.com/BD-Medical-Systems-382523-Technology/dp/B019REB6CK/ref=sr_1_1?keywords=BD+Insyte+IV+Catheter+Needle+with+Blood+Control+Catheter+Shielded+20+Gauge+1%22+Pink+%28Each%29&amp;qid=1695764378&amp;sr=8-1")</f>
        <v/>
      </c>
      <c r="F407" t="inlineStr">
        <is>
          <t>B019REB6CK</t>
        </is>
      </c>
      <c r="G407">
        <f>_xlfn.IMAGE("https://www.mountainside-medical.com/cdn/shop/files/BD-Insyte-IV-Catheter-Needle--20-Gauge-1-Inch.jpg?v=1690462382")</f>
        <v/>
      </c>
      <c r="H407">
        <f>_xlfn.IMAGE("https://m.media-amazon.com/images/I/51DJzrvGLEL._AC_UY218_.jpg")</f>
        <v/>
      </c>
      <c r="K407" t="inlineStr">
        <is>
          <t>3.75</t>
        </is>
      </c>
      <c r="L407" t="n">
        <v>144.99</v>
      </c>
      <c r="M407" s="2" t="inlineStr">
        <is>
          <t>3766.40%</t>
        </is>
      </c>
      <c r="N407" t="n">
        <v>5</v>
      </c>
      <c r="O407" t="n">
        <v>3</v>
      </c>
      <c r="Q407" t="inlineStr">
        <is>
          <t>InStock</t>
        </is>
      </c>
      <c r="R407" t="inlineStr">
        <is>
          <t>5.95</t>
        </is>
      </c>
      <c r="S407" t="inlineStr">
        <is>
          <t>6729922314312</t>
        </is>
      </c>
    </row>
    <row r="408" ht="75" customHeight="1">
      <c r="A408" s="1">
        <f>HYPERLINK("https://www.mountainside-medical.com/collections/urological-products/products/bd-insyte-autoguard-bc-shielded-22-gauge-x-1-inch-iv-catheter-50-bx", "https://www.mountainside-medical.com/collections/urological-products/products/bd-insyte-autoguard-bc-shielded-22-gauge-x-1-inch-iv-catheter-50-bx")</f>
        <v/>
      </c>
      <c r="B408" s="1">
        <f>HYPERLINK("https://www.mountainside-medical.com/products/bd-insyte-autoguard-bc-shielded-22-gauge-x-1-inch-iv-catheter-50-bx", "https://www.mountainside-medical.com/products/bd-insyte-autoguard-bc-shielded-22-gauge-x-1-inch-iv-catheter-50-bx")</f>
        <v/>
      </c>
      <c r="C408" t="inlineStr">
        <is>
          <t>BD Insyte IV Catheter Needles with Blood Control Catheter Shielded 22 Gauge 1" Blue (Each)</t>
        </is>
      </c>
      <c r="D408" t="inlineStr">
        <is>
          <t>BD Medical Systems 382523 Insyte Autoguard BC Shielded IV Catheter with Blood Control Technology, 22 Gauge, 1" Length, Blue (Box of 50)</t>
        </is>
      </c>
      <c r="E408" s="1">
        <f>HYPERLINK("https://www.amazon.com/BD-Medical-Systems-382523-Technology/dp/B019REB6CK/ref=sr_1_1?keywords=BD+Insyte+IV+Catheter+Needles+with+Blood+Control+Catheter+Shielded+22+Gauge+1%22+Blue+%28Each%29&amp;qid=1695764379&amp;sr=8-1", "https://www.amazon.com/BD-Medical-Systems-382523-Technology/dp/B019REB6CK/ref=sr_1_1?keywords=BD+Insyte+IV+Catheter+Needles+with+Blood+Control+Catheter+Shielded+22+Gauge+1%22+Blue+%28Each%29&amp;qid=1695764379&amp;sr=8-1")</f>
        <v/>
      </c>
      <c r="F408" t="inlineStr">
        <is>
          <t>B019REB6CK</t>
        </is>
      </c>
      <c r="G408">
        <f>_xlfn.IMAGE("https://www.mountainside-medical.com/cdn/shop/files/BD-Insyte-IV-Catheter-Needle-22-Gauge-1-inch.jpg?v=1690462754")</f>
        <v/>
      </c>
      <c r="H408">
        <f>_xlfn.IMAGE("https://m.media-amazon.com/images/I/51DJzrvGLEL._AC_UY218_.jpg")</f>
        <v/>
      </c>
      <c r="K408" t="inlineStr">
        <is>
          <t>3.75</t>
        </is>
      </c>
      <c r="L408" t="n">
        <v>144.99</v>
      </c>
      <c r="M408" s="2" t="inlineStr">
        <is>
          <t>3766.40%</t>
        </is>
      </c>
      <c r="N408" t="n">
        <v>5</v>
      </c>
      <c r="O408" t="n">
        <v>3</v>
      </c>
      <c r="Q408" t="inlineStr">
        <is>
          <t>InStock</t>
        </is>
      </c>
      <c r="R408" t="inlineStr">
        <is>
          <t>5.95</t>
        </is>
      </c>
      <c r="S408" t="inlineStr">
        <is>
          <t>6729921921096</t>
        </is>
      </c>
    </row>
    <row r="409" ht="75" customHeight="1">
      <c r="A409" s="1">
        <f>HYPERLINK("https://www.mountainside-medical.com/collections/urological-products/products/bd-insyte-autoguard-bc-shielded-22-gauge-x-1-inch-retracting-safety-iv-catheter-50-bx", "https://www.mountainside-medical.com/collections/urological-products/products/bd-insyte-autoguard-bc-shielded-22-gauge-x-1-inch-retracting-safety-iv-catheter-50-bx")</f>
        <v/>
      </c>
      <c r="B409" s="1">
        <f>HYPERLINK("https://www.mountainside-medical.com/products/bd-insyte-autoguard-bc-shielded-22-gauge-x-1-inch-retracting-safety-iv-catheter-50-bx", "https://www.mountainside-medical.com/products/bd-insyte-autoguard-bc-shielded-22-gauge-x-1-inch-retracting-safety-iv-catheter-50-bx")</f>
        <v/>
      </c>
      <c r="C409" t="inlineStr">
        <is>
          <t>BD Insyte IV Catheter Needles with Shielded 22 Gauge 1" Blue (Each)</t>
        </is>
      </c>
      <c r="D409" t="inlineStr">
        <is>
          <t>BD Medical Systems 382523 Insyte Autoguard BC Shielded IV Catheter with Blood Control Technology, 22 Gauge, 1" Length, Blue (Box of 50)</t>
        </is>
      </c>
      <c r="E409" s="1">
        <f>HYPERLINK("https://www.amazon.com/BD-Medical-Systems-382523-Technology/dp/B019REB6CK/ref=sr_1_1?keywords=BD+Insyte+IV+Catheter+Needles+with+Shielded+22+Gauge+1%22+Blue+%28Each%29&amp;qid=1695764377&amp;sr=8-1", "https://www.amazon.com/BD-Medical-Systems-382523-Technology/dp/B019REB6CK/ref=sr_1_1?keywords=BD+Insyte+IV+Catheter+Needles+with+Shielded+22+Gauge+1%22+Blue+%28Each%29&amp;qid=1695764377&amp;sr=8-1")</f>
        <v/>
      </c>
      <c r="F409" t="inlineStr">
        <is>
          <t>B019REB6CK</t>
        </is>
      </c>
      <c r="G409">
        <f>_xlfn.IMAGE("https://www.mountainside-medical.com/cdn/shop/files/BD-Insyte-IV-Catheter-Needle-22-Gauge-1-inch_d8018e77-825a-4783-84b1-3a9858635bda.jpg?v=1690463835")</f>
        <v/>
      </c>
      <c r="H409">
        <f>_xlfn.IMAGE("https://m.media-amazon.com/images/I/51DJzrvGLEL._AC_UY218_.jpg")</f>
        <v/>
      </c>
      <c r="K409" t="inlineStr">
        <is>
          <t>3.75</t>
        </is>
      </c>
      <c r="L409" t="n">
        <v>144.99</v>
      </c>
      <c r="M409" s="2" t="inlineStr">
        <is>
          <t>3766.40%</t>
        </is>
      </c>
      <c r="N409" t="n">
        <v>5</v>
      </c>
      <c r="O409" t="n">
        <v>3</v>
      </c>
      <c r="Q409" t="inlineStr">
        <is>
          <t>InStock</t>
        </is>
      </c>
      <c r="R409" t="inlineStr">
        <is>
          <t>5.95</t>
        </is>
      </c>
      <c r="S409" t="inlineStr">
        <is>
          <t>6729921495112</t>
        </is>
      </c>
    </row>
    <row r="410" ht="75" customHeight="1">
      <c r="A410" s="1">
        <f>HYPERLINK("https://www.mountainside-medical.com/collections/urological-products/products/carex-male-urinal", "https://www.mountainside-medical.com/collections/urological-products/products/carex-male-urinal")</f>
        <v/>
      </c>
      <c r="B410" s="1">
        <f>HYPERLINK("https://www.mountainside-medical.com/products/carex-male-urinal", "https://www.mountainside-medical.com/products/carex-male-urinal")</f>
        <v/>
      </c>
      <c r="C410" t="inlineStr">
        <is>
          <t>Carex Male Urinal</t>
        </is>
      </c>
      <c r="D410" t="inlineStr">
        <is>
          <t>Carex? 32 oz Male Urinal With Cover - Case of 6</t>
        </is>
      </c>
      <c r="E410" s="1">
        <f>HYPERLINK("https://www.amazon.com/Carex%C2%AE-32-Male-Urinal-Cover/dp/B00IG0ZQ00/ref=sr_1_4?keywords=Carex+Male+Urinal&amp;qid=1695764362&amp;sr=8-4", "https://www.amazon.com/Carex%C2%AE-32-Male-Urinal-Cover/dp/B00IG0ZQ00/ref=sr_1_4?keywords=Carex+Male+Urinal&amp;qid=1695764362&amp;sr=8-4")</f>
        <v/>
      </c>
      <c r="F410" t="inlineStr">
        <is>
          <t>B00IG0ZQ00</t>
        </is>
      </c>
      <c r="G410">
        <f>_xlfn.IMAGE("https://www.mountainside-medical.com/cdn/shop/products/carex-male-urinal-clear-plastic__99113.jpeg?v=1600353166")</f>
        <v/>
      </c>
      <c r="H410">
        <f>_xlfn.IMAGE("https://m.media-amazon.com/images/I/71LiPTLP2EL._AC_UF264,320_.jpg")</f>
        <v/>
      </c>
      <c r="K410" t="inlineStr">
        <is>
          <t>6.95</t>
        </is>
      </c>
      <c r="L410" t="n">
        <v>37.45</v>
      </c>
      <c r="M410" s="2" t="inlineStr">
        <is>
          <t>438.85%</t>
        </is>
      </c>
      <c r="N410" t="n">
        <v>4.7</v>
      </c>
      <c r="O410" t="n">
        <v>37</v>
      </c>
      <c r="Q410" t="inlineStr">
        <is>
          <t>InStock</t>
        </is>
      </c>
      <c r="R410" t="inlineStr">
        <is>
          <t>undefined</t>
        </is>
      </c>
      <c r="S410" t="inlineStr">
        <is>
          <t>1509615812</t>
        </is>
      </c>
    </row>
    <row r="411" ht="75" customHeight="1">
      <c r="A411" s="1">
        <f>HYPERLINK("https://www.mountainside-medical.com/collections/urological-products/products/clear-advantage-with-aloe-male-external-catheter", "https://www.mountainside-medical.com/collections/urological-products/products/clear-advantage-with-aloe-male-external-catheter")</f>
        <v/>
      </c>
      <c r="B411" s="1">
        <f>HYPERLINK("https://www.mountainside-medical.com/products/clear-advantage-with-aloe-male-external-catheter", "https://www.mountainside-medical.com/products/clear-advantage-with-aloe-male-external-catheter")</f>
        <v/>
      </c>
      <c r="C411" t="inlineStr">
        <is>
          <t>Male External Catheter, Clear Advantage with Aloe - Coloplast</t>
        </is>
      </c>
      <c r="D411" t="inlineStr">
        <is>
          <t>Clear Advantage Male External Catheters with Aloe - Gold, Large, 35 mm - 1 box (100 Each)</t>
        </is>
      </c>
      <c r="E411" s="1">
        <f>HYPERLINK("https://www.amazon.com/Clear-Advantage-Male-External-Catheters/dp/B00USKH8LQ/ref=sr_1_7?keywords=Male+External+Catheter%2C+Clear+Advantage+with+Aloe+-+Coloplast&amp;qid=1695764370&amp;sr=8-7", "https://www.amazon.com/Clear-Advantage-Male-External-Catheters/dp/B00USKH8LQ/ref=sr_1_7?keywords=Male+External+Catheter%2C+Clear+Advantage+with+Aloe+-+Coloplast&amp;qid=1695764370&amp;sr=8-7")</f>
        <v/>
      </c>
      <c r="F411" t="inlineStr">
        <is>
          <t>B00USKH8LQ</t>
        </is>
      </c>
      <c r="G411">
        <f>_xlfn.IMAGE("https://www.mountainside-medical.com/cdn/shop/products/clear-advantage-with-aloe-m.png?v=1600354623")</f>
        <v/>
      </c>
      <c r="H411">
        <f>_xlfn.IMAGE("https://m.media-amazon.com/images/I/31zIy1OH-yL._AC_UL320_.jpg")</f>
        <v/>
      </c>
      <c r="K411" t="inlineStr">
        <is>
          <t>2.09</t>
        </is>
      </c>
      <c r="L411" t="n">
        <v>207.22</v>
      </c>
      <c r="M411" s="2" t="inlineStr">
        <is>
          <t>9814.83%</t>
        </is>
      </c>
      <c r="N411" t="n">
        <v>5</v>
      </c>
      <c r="O411" t="n">
        <v>1</v>
      </c>
      <c r="Q411" t="inlineStr">
        <is>
          <t>InStock</t>
        </is>
      </c>
      <c r="R411" t="inlineStr">
        <is>
          <t>3.99</t>
        </is>
      </c>
      <c r="S411" t="inlineStr">
        <is>
          <t>1594673668</t>
        </is>
      </c>
    </row>
    <row r="412" ht="75" customHeight="1">
      <c r="A412" s="1">
        <f>HYPERLINK("https://www.mountainside-medical.com/collections/urological-products/products/coloplast-freedom-t-tap-leg-bag-500-ml", "https://www.mountainside-medical.com/collections/urological-products/products/coloplast-freedom-t-tap-leg-bag-500-ml")</f>
        <v/>
      </c>
      <c r="B412" s="1">
        <f>HYPERLINK("https://www.mountainside-medical.com/products/coloplast-freedom-t-tap-leg-bag-500-ml", "https://www.mountainside-medical.com/products/coloplast-freedom-t-tap-leg-bag-500-ml")</f>
        <v/>
      </c>
      <c r="C412" t="inlineStr">
        <is>
          <t>Conveen Security+ Leg Bag</t>
        </is>
      </c>
      <c r="D412" t="inlineStr">
        <is>
          <t>Conveen Security Leg Bag, Non-Sterile, Anti-Kink Tubing, Small 9.4 x 14.2 x 4.7 Inch 21026 (Box of 10)</t>
        </is>
      </c>
      <c r="E412" s="1">
        <f>HYPERLINK("https://www.amazon.com/Conveen-Security-Non-Sterile-Anti-Kink-Tubing/dp/B01BI4M44G/ref=sr_1_7?keywords=Conveen+Security%2B+Leg+Bag&amp;qid=1695764366&amp;sr=8-7", "https://www.amazon.com/Conveen-Security-Non-Sterile-Anti-Kink-Tubing/dp/B01BI4M44G/ref=sr_1_7?keywords=Conveen+Security%2B+Leg+Bag&amp;qid=1695764366&amp;sr=8-7")</f>
        <v/>
      </c>
      <c r="F412" t="inlineStr">
        <is>
          <t>B01BI4M44G</t>
        </is>
      </c>
      <c r="G412">
        <f>_xlfn.IMAGE("https://www.mountainside-medical.com/cdn/shop/products/cpucc_conveen_security_plus_500ml_50cm_descrip_001_350x250.png?v=1600355678")</f>
        <v/>
      </c>
      <c r="H412">
        <f>_xlfn.IMAGE("https://m.media-amazon.com/images/I/51P1anSduaL._AC_UL320_.jpg")</f>
        <v/>
      </c>
      <c r="K412" t="inlineStr">
        <is>
          <t>12.65</t>
        </is>
      </c>
      <c r="L412" t="n">
        <v>66.51000000000001</v>
      </c>
      <c r="M412" s="2" t="inlineStr">
        <is>
          <t>425.77%</t>
        </is>
      </c>
      <c r="N412" t="n">
        <v>4.3</v>
      </c>
      <c r="O412" t="n">
        <v>13</v>
      </c>
      <c r="Q412" t="inlineStr">
        <is>
          <t>InStock</t>
        </is>
      </c>
      <c r="R412" t="inlineStr">
        <is>
          <t>17.95</t>
        </is>
      </c>
      <c r="S412" t="inlineStr">
        <is>
          <t>1594238532</t>
        </is>
      </c>
    </row>
    <row r="413" ht="75" customHeight="1">
      <c r="A413" s="1">
        <f>HYPERLINK("https://www.mountainside-medical.com/collections/urological-products/products/coloplast-freedom-t-tap-leg-bag-500-ml", "https://www.mountainside-medical.com/collections/urological-products/products/coloplast-freedom-t-tap-leg-bag-500-ml")</f>
        <v/>
      </c>
      <c r="B413" s="1">
        <f>HYPERLINK("https://www.mountainside-medical.com/products/coloplast-freedom-t-tap-leg-bag-500-ml", "https://www.mountainside-medical.com/products/coloplast-freedom-t-tap-leg-bag-500-ml")</f>
        <v/>
      </c>
      <c r="C413" t="inlineStr">
        <is>
          <t>Conveen Security+ Leg Bag</t>
        </is>
      </c>
      <c r="D413" t="inlineStr">
        <is>
          <t>Conveen Security+ Extra Large Leg Bag/Drainage Bag - - Box of 10</t>
        </is>
      </c>
      <c r="E413" s="1">
        <f>HYPERLINK("https://www.amazon.com/Conveen-Security-Extra-Large-Drainage/dp/B00GKH944U/ref=sr_1_9?keywords=Conveen+Security%2B+Leg+Bag&amp;qid=1695764366&amp;sr=8-9", "https://www.amazon.com/Conveen-Security-Extra-Large-Drainage/dp/B00GKH944U/ref=sr_1_9?keywords=Conveen+Security%2B+Leg+Bag&amp;qid=1695764366&amp;sr=8-9")</f>
        <v/>
      </c>
      <c r="F413" t="inlineStr">
        <is>
          <t>B00GKH944U</t>
        </is>
      </c>
      <c r="G413">
        <f>_xlfn.IMAGE("https://www.mountainside-medical.com/cdn/shop/products/cpucc_conveen_security_plus_500ml_50cm_descrip_001_350x250.png?v=1600355678")</f>
        <v/>
      </c>
      <c r="H413">
        <f>_xlfn.IMAGE("https://m.media-amazon.com/images/I/21kZUTA1OML._AC_UL320_.jpg")</f>
        <v/>
      </c>
      <c r="K413" t="inlineStr">
        <is>
          <t>12.65</t>
        </is>
      </c>
      <c r="L413" t="n">
        <v>64.14</v>
      </c>
      <c r="M413" s="2" t="inlineStr">
        <is>
          <t>407.04%</t>
        </is>
      </c>
      <c r="N413" t="n">
        <v>3.8</v>
      </c>
      <c r="O413" t="n">
        <v>8</v>
      </c>
      <c r="Q413" t="inlineStr">
        <is>
          <t>InStock</t>
        </is>
      </c>
      <c r="R413" t="inlineStr">
        <is>
          <t>17.95</t>
        </is>
      </c>
      <c r="S413" t="inlineStr">
        <is>
          <t>1594238532</t>
        </is>
      </c>
    </row>
    <row r="414" ht="75" customHeight="1">
      <c r="A414" s="1">
        <f>HYPERLINK("https://www.mountainside-medical.com/collections/urological-products/products/dynarex-urinary-drainage-bag-2000-ml-bag", "https://www.mountainside-medical.com/collections/urological-products/products/dynarex-urinary-drainage-bag-2000-ml-bag")</f>
        <v/>
      </c>
      <c r="B414" s="1">
        <f>HYPERLINK("https://www.mountainside-medical.com/products/dynarex-urinary-drainage-bag-2000-ml-bag", "https://www.mountainside-medical.com/products/dynarex-urinary-drainage-bag-2000-ml-bag")</f>
        <v/>
      </c>
      <c r="C414" t="inlineStr">
        <is>
          <t>Dynarex Urinary Drainage Bag, 2000 ml Bag</t>
        </is>
      </c>
      <c r="D414" t="inlineStr">
        <is>
          <t>Dynarex Advantage Urinary Drainage Bag - Teardrop-Shaped, Unisex, Anti-Reflux Chamber, No-Needle Sample Port, Universal Hanger - Vinyl Bags with Markings - 2000ml, 20 Count</t>
        </is>
      </c>
      <c r="E414" s="1">
        <f>HYPERLINK("https://www.amazon.com/Dynarex-Advantage-Urinary-Drainage-Bag/dp/B009ES8NNU/ref=sr_1_1?keywords=Dynarex+Urinary+Drainage+Bag%2C+2000+ml+Bag&amp;qid=1695764372&amp;sr=8-1", "https://www.amazon.com/Dynarex-Advantage-Urinary-Drainage-Bag/dp/B009ES8NNU/ref=sr_1_1?keywords=Dynarex+Urinary+Drainage+Bag%2C+2000+ml+Bag&amp;qid=1695764372&amp;sr=8-1")</f>
        <v/>
      </c>
      <c r="F414" t="inlineStr">
        <is>
          <t>B009ES8NNU</t>
        </is>
      </c>
      <c r="G414">
        <f>_xlfn.IMAGE("https://www.mountainside-medical.com/cdn/shop/products/dynarex-drainage-bag-2000ml__48177.jpeg?v=1600359852")</f>
        <v/>
      </c>
      <c r="H414">
        <f>_xlfn.IMAGE("https://m.media-amazon.com/images/I/71HtmU-Q47L._AC_UL320_.jpg")</f>
        <v/>
      </c>
      <c r="K414" t="inlineStr">
        <is>
          <t>2.25</t>
        </is>
      </c>
      <c r="L414" t="n">
        <v>52.99</v>
      </c>
      <c r="M414" s="2" t="inlineStr">
        <is>
          <t>2255.11%</t>
        </is>
      </c>
      <c r="N414" t="n">
        <v>5</v>
      </c>
      <c r="O414" t="n">
        <v>1</v>
      </c>
      <c r="Q414" t="inlineStr">
        <is>
          <t>InStock</t>
        </is>
      </c>
      <c r="R414" t="inlineStr">
        <is>
          <t>3.59</t>
        </is>
      </c>
      <c r="S414" t="inlineStr">
        <is>
          <t>1509388164</t>
        </is>
      </c>
    </row>
    <row r="415" ht="75" customHeight="1">
      <c r="A415" s="1">
        <f>HYPERLINK("https://www.mountainside-medical.com/collections/urological-products/products/dynarex-urinary-drainage-bag-2000-ml-bag", "https://www.mountainside-medical.com/collections/urological-products/products/dynarex-urinary-drainage-bag-2000-ml-bag")</f>
        <v/>
      </c>
      <c r="B415" s="1">
        <f>HYPERLINK("https://www.mountainside-medical.com/products/dynarex-urinary-drainage-bag-2000-ml-bag", "https://www.mountainside-medical.com/products/dynarex-urinary-drainage-bag-2000-ml-bag")</f>
        <v/>
      </c>
      <c r="C415" t="inlineStr">
        <is>
          <t>Dynarex Urinary Drainage Bag, 2000 ml Bag</t>
        </is>
      </c>
      <c r="D415" t="inlineStr">
        <is>
          <t>Dynarex Urinary Leg Bag, For Use with a Catheter, Has a Non-Drip Closure and Anti-Reflux Valve, Includes Easy-to-Use Straps, 1000 ml/20 oz Capacity, Medium, White, 1 Box of 12 Dynarex Urinary Leg Bags</t>
        </is>
      </c>
      <c r="E415" s="1">
        <f>HYPERLINK("https://www.amazon.com/Dynarex-Catheter-Non-Drip-Anti-Reflux-Capacity/dp/B01M4RD3GA/ref=sr_1_10?keywords=Dynarex+Urinary+Drainage+Bag%2C+2000+ml+Bag&amp;qid=1695764372&amp;sr=8-10", "https://www.amazon.com/Dynarex-Catheter-Non-Drip-Anti-Reflux-Capacity/dp/B01M4RD3GA/ref=sr_1_10?keywords=Dynarex+Urinary+Drainage+Bag%2C+2000+ml+Bag&amp;qid=1695764372&amp;sr=8-10")</f>
        <v/>
      </c>
      <c r="F415" t="inlineStr">
        <is>
          <t>B01M4RD3GA</t>
        </is>
      </c>
      <c r="G415">
        <f>_xlfn.IMAGE("https://www.mountainside-medical.com/cdn/shop/products/dynarex-drainage-bag-2000ml__48177.jpeg?v=1600359852")</f>
        <v/>
      </c>
      <c r="H415">
        <f>_xlfn.IMAGE("https://m.media-amazon.com/images/I/51E5t7HU5ZL._AC_UL320_.jpg")</f>
        <v/>
      </c>
      <c r="K415" t="inlineStr">
        <is>
          <t>2.25</t>
        </is>
      </c>
      <c r="L415" t="n">
        <v>17.98</v>
      </c>
      <c r="M415" s="2" t="inlineStr">
        <is>
          <t>699.11%</t>
        </is>
      </c>
      <c r="N415" t="n">
        <v>4.3</v>
      </c>
      <c r="O415" t="n">
        <v>333</v>
      </c>
      <c r="Q415" t="inlineStr">
        <is>
          <t>InStock</t>
        </is>
      </c>
      <c r="R415" t="inlineStr">
        <is>
          <t>3.59</t>
        </is>
      </c>
      <c r="S415" t="inlineStr">
        <is>
          <t>1509388164</t>
        </is>
      </c>
    </row>
    <row r="416" ht="75" customHeight="1">
      <c r="A416" s="1">
        <f>HYPERLINK("https://www.mountainside-medical.com/collections/urological-products/products/easy-tap-premium-urinary-leg-bag", "https://www.mountainside-medical.com/collections/urological-products/products/easy-tap-premium-urinary-leg-bag")</f>
        <v/>
      </c>
      <c r="B416" s="1">
        <f>HYPERLINK("https://www.mountainside-medical.com/products/easy-tap-premium-urinary-leg-bag", "https://www.mountainside-medical.com/products/easy-tap-premium-urinary-leg-bag")</f>
        <v/>
      </c>
      <c r="C416" t="inlineStr">
        <is>
          <t>Rusch Easy Tap Premium Urinary Leg Bag</t>
        </is>
      </c>
      <c r="D416" t="inlineStr">
        <is>
          <t>Complete Kit Urinary Incontinence 3-Weeks, 21-Condom Catheters External Self-Seal 29mm (MEDIUM), + 3 Premium Legs Bag 1000ml Tubing, Straps &amp; Fast and Easy Draining.</t>
        </is>
      </c>
      <c r="E416" s="1">
        <f>HYPERLINK("https://www.amazon.com/Incontinence-21-Condom-Catheters-Self-Seal-Draining/dp/B011ZFVPOI/ref=sr_1_1?keywords=Rusch+Easy+Tap+Premium+Urinary+Leg+Bag&amp;qid=1695764363&amp;sr=8-1", "https://www.amazon.com/Incontinence-21-Condom-Catheters-Self-Seal-Draining/dp/B011ZFVPOI/ref=sr_1_1?keywords=Rusch+Easy+Tap+Premium+Urinary+Leg+Bag&amp;qid=1695764363&amp;sr=8-1")</f>
        <v/>
      </c>
      <c r="F416" t="inlineStr">
        <is>
          <t>B011ZFVPOI</t>
        </is>
      </c>
      <c r="G416">
        <f>_xlfn.IMAGE("https://www.mountainside-medical.com/cdn/shop/products/Rusch-Easytap-Leg-Bags.jpg?v=1600378174")</f>
        <v/>
      </c>
      <c r="H416">
        <f>_xlfn.IMAGE("https://m.media-amazon.com/images/I/21f4knYYA7L._AC_UL320_.jpg")</f>
        <v/>
      </c>
      <c r="K416" t="inlineStr">
        <is>
          <t>2.97</t>
        </is>
      </c>
      <c r="L416" t="n">
        <v>31.97</v>
      </c>
      <c r="M416" s="2" t="inlineStr">
        <is>
          <t>976.43%</t>
        </is>
      </c>
      <c r="N416" t="n">
        <v>3.8</v>
      </c>
      <c r="O416" t="n">
        <v>74</v>
      </c>
      <c r="Q416" t="inlineStr">
        <is>
          <t>InStock</t>
        </is>
      </c>
      <c r="R416" t="inlineStr">
        <is>
          <t>3.95</t>
        </is>
      </c>
      <c r="S416" t="inlineStr">
        <is>
          <t>1594624900</t>
        </is>
      </c>
    </row>
    <row r="417" ht="75" customHeight="1">
      <c r="A417" s="1">
        <f>HYPERLINK("https://www.mountainside-medical.com/collections/urological-products/products/foley-catheter-holder-with-stretch-material", "https://www.mountainside-medical.com/collections/urological-products/products/foley-catheter-holder-with-stretch-material")</f>
        <v/>
      </c>
      <c r="B417" s="1">
        <f>HYPERLINK("https://www.mountainside-medical.com/products/foley-catheter-holder-with-stretch-material", "https://www.mountainside-medical.com/products/foley-catheter-holder-with-stretch-material")</f>
        <v/>
      </c>
      <c r="C417" t="inlineStr">
        <is>
          <t>Dale Foley Catheter Holder</t>
        </is>
      </c>
      <c r="D417" t="inlineStr">
        <is>
          <t>Foley Catheter Holder, Cath Holder Waistband 1-Sz, (1 EACH, 1 EACH)</t>
        </is>
      </c>
      <c r="E417" s="1">
        <f>HYPERLINK("https://www.amazon.com/Foley-Catheter-Holder-Cath-Waistband/dp/B007AZ3RRG/ref=sr_1_7?keywords=Dale+Foley+Catheter+Holder&amp;qid=1695764364&amp;sr=8-7", "https://www.amazon.com/Foley-Catheter-Holder-Cath-Waistband/dp/B007AZ3RRG/ref=sr_1_7?keywords=Dale+Foley+Catheter+Holder&amp;qid=1695764364&amp;sr=8-7")</f>
        <v/>
      </c>
      <c r="F417" t="inlineStr">
        <is>
          <t>B007AZ3RRG</t>
        </is>
      </c>
      <c r="G417">
        <f>_xlfn.IMAGE("https://www.mountainside-medical.com/cdn/shop/files/Dale-Foley-Catheter-Holder-Dale-Medical.jpg?v=1695046129")</f>
        <v/>
      </c>
      <c r="H417">
        <f>_xlfn.IMAGE("https://m.media-amazon.com/images/I/41bC9LujyPL._AC_UL320_.jpg")</f>
        <v/>
      </c>
      <c r="K417" t="inlineStr">
        <is>
          <t>6.89</t>
        </is>
      </c>
      <c r="L417" t="n">
        <v>18.73</v>
      </c>
      <c r="M417" s="2" t="inlineStr">
        <is>
          <t>171.84%</t>
        </is>
      </c>
      <c r="N417" t="n">
        <v>3.9</v>
      </c>
      <c r="O417" t="n">
        <v>24</v>
      </c>
      <c r="Q417" t="inlineStr">
        <is>
          <t>InStock</t>
        </is>
      </c>
      <c r="R417" t="inlineStr">
        <is>
          <t>7.99</t>
        </is>
      </c>
      <c r="S417" t="inlineStr">
        <is>
          <t>1508996612</t>
        </is>
      </c>
    </row>
    <row r="418" ht="75" customHeight="1">
      <c r="A418" s="1">
        <f>HYPERLINK("https://www.mountainside-medical.com/collections/urological-products/products/freedom-clear-ls-male-external-catheter", "https://www.mountainside-medical.com/collections/urological-products/products/freedom-clear-ls-male-external-catheter")</f>
        <v/>
      </c>
      <c r="B418" s="1">
        <f>HYPERLINK("https://www.mountainside-medical.com/products/freedom-clear-ls-male-external-catheter", "https://www.mountainside-medical.com/products/freedom-clear-ls-male-external-catheter")</f>
        <v/>
      </c>
      <c r="C418" t="inlineStr">
        <is>
          <t>Freedom Clear LS Male External Catheter</t>
        </is>
      </c>
      <c r="D418" t="inlineStr">
        <is>
          <t>Freedom Clear Male External Catheter, Self-Adhering, 23mm Long Length 5190 (Box of 100)</t>
        </is>
      </c>
      <c r="E418" s="1">
        <f>HYPERLINK("https://www.amazon.com/Freedom-Clear-External-Catheter-Self-Adhering/dp/B01M301B79/ref=sr_1_5?keywords=Freedom+Clear+LS+Male+External+Catheter&amp;qid=1695764370&amp;sr=8-5", "https://www.amazon.com/Freedom-Clear-External-Catheter-Self-Adhering/dp/B01M301B79/ref=sr_1_5?keywords=Freedom+Clear+LS+Male+External+Catheter&amp;qid=1695764370&amp;sr=8-5")</f>
        <v/>
      </c>
      <c r="F418" t="inlineStr">
        <is>
          <t>B01M301B79</t>
        </is>
      </c>
      <c r="G418">
        <f>_xlfn.IMAGE("https://www.mountainside-medical.com/cdn/shop/products/freedom-clear-ls-male-external-catheter2.png?v=1600362460")</f>
        <v/>
      </c>
      <c r="H418">
        <f>_xlfn.IMAGE("https://m.media-amazon.com/images/I/519TcbDvAUL._AC_UL320_.jpg")</f>
        <v/>
      </c>
      <c r="K418" t="inlineStr">
        <is>
          <t>1.95</t>
        </is>
      </c>
      <c r="L418" t="n">
        <v>186.57</v>
      </c>
      <c r="M418" s="2" t="inlineStr">
        <is>
          <t>9467.69%</t>
        </is>
      </c>
      <c r="N418" t="n">
        <v>4.2</v>
      </c>
      <c r="O418" t="n">
        <v>5</v>
      </c>
      <c r="Q418" t="inlineStr">
        <is>
          <t>InStock</t>
        </is>
      </c>
      <c r="R418" t="inlineStr">
        <is>
          <t>3.95</t>
        </is>
      </c>
      <c r="S418" t="inlineStr">
        <is>
          <t>1594708996</t>
        </is>
      </c>
    </row>
    <row r="419" ht="75" customHeight="1">
      <c r="A419" s="1">
        <f>HYPERLINK("https://www.mountainside-medical.com/collections/urological-products/products/freedom-clear-ls-male-external-catheter", "https://www.mountainside-medical.com/collections/urological-products/products/freedom-clear-ls-male-external-catheter")</f>
        <v/>
      </c>
      <c r="B419" s="1">
        <f>HYPERLINK("https://www.mountainside-medical.com/products/freedom-clear-ls-male-external-catheter", "https://www.mountainside-medical.com/products/freedom-clear-ls-male-external-catheter")</f>
        <v/>
      </c>
      <c r="C419" t="inlineStr">
        <is>
          <t>Freedom Clear LS Male External Catheter</t>
        </is>
      </c>
      <c r="D419" t="inlineStr">
        <is>
          <t>Freedom Clear Advantage Self-Adhering Male External Catheter, 35 mm 6400 Qty 100 Per Box</t>
        </is>
      </c>
      <c r="E419" s="1">
        <f>HYPERLINK("https://www.amazon.com/Freedom-Advantage-Self-Adhering-External-Catheter/dp/B00V92CZ7E/ref=sr_1_6?keywords=Freedom+Clear+LS+Male+External+Catheter&amp;qid=1695764370&amp;sr=8-6", "https://www.amazon.com/Freedom-Advantage-Self-Adhering-External-Catheter/dp/B00V92CZ7E/ref=sr_1_6?keywords=Freedom+Clear+LS+Male+External+Catheter&amp;qid=1695764370&amp;sr=8-6")</f>
        <v/>
      </c>
      <c r="F419" t="inlineStr">
        <is>
          <t>B00V92CZ7E</t>
        </is>
      </c>
      <c r="G419">
        <f>_xlfn.IMAGE("https://www.mountainside-medical.com/cdn/shop/products/freedom-clear-ls-male-external-catheter2.png?v=1600362460")</f>
        <v/>
      </c>
      <c r="H419">
        <f>_xlfn.IMAGE("https://m.media-amazon.com/images/I/31uz2FBsPbL._AC_UL320_.jpg")</f>
        <v/>
      </c>
      <c r="K419" t="inlineStr">
        <is>
          <t>1.95</t>
        </is>
      </c>
      <c r="L419" t="n">
        <v>180.45</v>
      </c>
      <c r="M419" s="2" t="inlineStr">
        <is>
          <t>9153.85%</t>
        </is>
      </c>
      <c r="N419" t="n">
        <v>5</v>
      </c>
      <c r="O419" t="n">
        <v>2</v>
      </c>
      <c r="Q419" t="inlineStr">
        <is>
          <t>InStock</t>
        </is>
      </c>
      <c r="R419" t="inlineStr">
        <is>
          <t>3.95</t>
        </is>
      </c>
      <c r="S419" t="inlineStr">
        <is>
          <t>1594708996</t>
        </is>
      </c>
    </row>
    <row r="420" ht="75" customHeight="1">
      <c r="A420" s="1">
        <f>HYPERLINK("https://www.mountainside-medical.com/collections/urological-products/products/hollister-everyday-male-external-catheter", "https://www.mountainside-medical.com/collections/urological-products/products/hollister-everyday-male-external-catheter")</f>
        <v/>
      </c>
      <c r="B420" s="1">
        <f>HYPERLINK("https://www.mountainside-medical.com/products/hollister-everyday-male-external-catheter", "https://www.mountainside-medical.com/products/hollister-everyday-male-external-catheter")</f>
        <v/>
      </c>
      <c r="C420" t="inlineStr">
        <is>
          <t>Hollister Everyday Male External Catheter</t>
        </is>
      </c>
      <c r="D420" t="inlineStr">
        <is>
          <t>Everyday Male External Catheter - Medium (26 - 30 mm) - 1 box (30 Each)</t>
        </is>
      </c>
      <c r="E420" s="1">
        <f>HYPERLINK("https://www.amazon.com/Everyday-Male-External-Catheter-Medium/dp/B00XCQ7D22/ref=sr_1_1?keywords=Hollister+Everyday+Male+External+Catheter&amp;qid=1695764377&amp;sr=8-1", "https://www.amazon.com/Everyday-Male-External-Catheter-Medium/dp/B00XCQ7D22/ref=sr_1_1?keywords=Hollister+Everyday+Male+External+Catheter&amp;qid=1695764377&amp;sr=8-1")</f>
        <v/>
      </c>
      <c r="F420" t="inlineStr">
        <is>
          <t>B00XCQ7D22</t>
        </is>
      </c>
      <c r="G420">
        <f>_xlfn.IMAGE("https://www.mountainside-medical.com/cdn/shop/products/everyday-male-external-catheter-47166.gif.png?v=1600364432")</f>
        <v/>
      </c>
      <c r="H420">
        <f>_xlfn.IMAGE("https://m.media-amazon.com/images/I/517QLZvNW4L._AC_UL320_.jpg")</f>
        <v/>
      </c>
      <c r="K420" t="inlineStr">
        <is>
          <t>2.1</t>
        </is>
      </c>
      <c r="L420" t="n">
        <v>47.23</v>
      </c>
      <c r="M420" s="2" t="inlineStr">
        <is>
          <t>2149.05%</t>
        </is>
      </c>
      <c r="N420" t="n">
        <v>4.3</v>
      </c>
      <c r="O420" t="n">
        <v>38</v>
      </c>
      <c r="Q420" t="inlineStr">
        <is>
          <t>InStock</t>
        </is>
      </c>
      <c r="R420" t="inlineStr">
        <is>
          <t>1.95</t>
        </is>
      </c>
      <c r="S420" t="inlineStr">
        <is>
          <t>1594572100</t>
        </is>
      </c>
    </row>
    <row r="421" ht="75" customHeight="1">
      <c r="A421" s="1">
        <f>HYPERLINK("https://www.mountainside-medical.com/collections/urological-products/products/hollister-extended-wear-male-external-catheter", "https://www.mountainside-medical.com/collections/urological-products/products/hollister-extended-wear-male-external-catheter")</f>
        <v/>
      </c>
      <c r="B421" s="1">
        <f>HYPERLINK("https://www.mountainside-medical.com/products/hollister-extended-wear-male-external-catheter", "https://www.mountainside-medical.com/products/hollister-extended-wear-male-external-catheter")</f>
        <v/>
      </c>
      <c r="C421" t="inlineStr">
        <is>
          <t>Hollister Extended Wear Male External Catheter</t>
        </is>
      </c>
      <c r="D421" t="inlineStr">
        <is>
          <t>Extended Wear Male External Catheter - Large (36 - 39 mm) - 1 box (30 Each)</t>
        </is>
      </c>
      <c r="E421" s="1">
        <f>HYPERLINK("https://www.amazon.com/Extended-Wear-Male-External-Catheter/dp/B00XCR8Q5O/ref=sr_1_4?keywords=Hollister+Extended+Wear+Male+External+Catheter&amp;qid=1695764366&amp;sr=8-4", "https://www.amazon.com/Extended-Wear-Male-External-Catheter/dp/B00XCR8Q5O/ref=sr_1_4?keywords=Hollister+Extended+Wear+Male+External+Catheter&amp;qid=1695764366&amp;sr=8-4")</f>
        <v/>
      </c>
      <c r="F421" t="inlineStr">
        <is>
          <t>B00XCR8Q5O</t>
        </is>
      </c>
      <c r="G421">
        <f>_xlfn.IMAGE("https://www.mountainside-medical.com/cdn/shop/products/hollister-extended-wear-male-external-catheter-83134.jpeg?v=1600364435")</f>
        <v/>
      </c>
      <c r="H421">
        <f>_xlfn.IMAGE("https://m.media-amazon.com/images/I/41Ry56KzRFL._AC_UL320_.jpg")</f>
        <v/>
      </c>
      <c r="K421" t="inlineStr">
        <is>
          <t>2.79</t>
        </is>
      </c>
      <c r="L421" t="n">
        <v>72.86</v>
      </c>
      <c r="M421" s="2" t="inlineStr">
        <is>
          <t>2511.47%</t>
        </is>
      </c>
      <c r="N421" t="n">
        <v>4.6</v>
      </c>
      <c r="O421" t="n">
        <v>8</v>
      </c>
      <c r="Q421" t="inlineStr">
        <is>
          <t>InStock</t>
        </is>
      </c>
      <c r="R421" t="inlineStr">
        <is>
          <t>2.95</t>
        </is>
      </c>
      <c r="S421" t="inlineStr">
        <is>
          <t>1594591940</t>
        </is>
      </c>
    </row>
    <row r="422" ht="75" customHeight="1">
      <c r="A422" s="1">
        <f>HYPERLINK("https://www.mountainside-medical.com/collections/urological-products/products/hollister-extended-wear-male-external-catheter", "https://www.mountainside-medical.com/collections/urological-products/products/hollister-extended-wear-male-external-catheter")</f>
        <v/>
      </c>
      <c r="B422" s="1">
        <f>HYPERLINK("https://www.mountainside-medical.com/products/hollister-extended-wear-male-external-catheter", "https://www.mountainside-medical.com/products/hollister-extended-wear-male-external-catheter")</f>
        <v/>
      </c>
      <c r="C422" t="inlineStr">
        <is>
          <t>Hollister Extended Wear Male External Catheter</t>
        </is>
      </c>
      <c r="D422" t="inlineStr">
        <is>
          <t>Extended Male External Catheter, Self-Adhesive Seal Acrylic Small, Hollister, 9206 - Box of 30</t>
        </is>
      </c>
      <c r="E422" s="1">
        <f>HYPERLINK("https://www.amazon.com/Extended-External-Catheter-Self-Adhesive-Hollister/dp/B08DGZ75PK/ref=sr_1_3?keywords=Hollister+Extended+Wear+Male+External+Catheter&amp;qid=1695764366&amp;sr=8-3", "https://www.amazon.com/Extended-External-Catheter-Self-Adhesive-Hollister/dp/B08DGZ75PK/ref=sr_1_3?keywords=Hollister+Extended+Wear+Male+External+Catheter&amp;qid=1695764366&amp;sr=8-3")</f>
        <v/>
      </c>
      <c r="F422" t="inlineStr">
        <is>
          <t>B08DGZ75PK</t>
        </is>
      </c>
      <c r="G422">
        <f>_xlfn.IMAGE("https://www.mountainside-medical.com/cdn/shop/products/hollister-extended-wear-male-external-catheter-83134.jpeg?v=1600364435")</f>
        <v/>
      </c>
      <c r="H422">
        <f>_xlfn.IMAGE("https://m.media-amazon.com/images/I/31MUPCA49wL._AC_UL320_.jpg")</f>
        <v/>
      </c>
      <c r="K422" t="inlineStr">
        <is>
          <t>2.79</t>
        </is>
      </c>
      <c r="L422" t="n">
        <v>68.59999999999999</v>
      </c>
      <c r="M422" s="2" t="inlineStr">
        <is>
          <t>2358.78%</t>
        </is>
      </c>
      <c r="N422" t="n">
        <v>5</v>
      </c>
      <c r="O422" t="n">
        <v>2</v>
      </c>
      <c r="Q422" t="inlineStr">
        <is>
          <t>InStock</t>
        </is>
      </c>
      <c r="R422" t="inlineStr">
        <is>
          <t>2.95</t>
        </is>
      </c>
      <c r="S422" t="inlineStr">
        <is>
          <t>1594591940</t>
        </is>
      </c>
    </row>
    <row r="423" ht="75" customHeight="1">
      <c r="A423" s="1">
        <f>HYPERLINK("https://www.mountainside-medical.com/collections/urological-products/products/leg-bag-extension-tubing", "https://www.mountainside-medical.com/collections/urological-products/products/leg-bag-extension-tubing")</f>
        <v/>
      </c>
      <c r="B423" s="1">
        <f>HYPERLINK("https://www.mountainside-medical.com/products/leg-bag-extension-tubing", "https://www.mountainside-medical.com/products/leg-bag-extension-tubing")</f>
        <v/>
      </c>
      <c r="C423" t="inlineStr">
        <is>
          <t>Leg Bag Extension Tubing - Bard Medical</t>
        </is>
      </c>
      <c r="D423" t="inlineStr">
        <is>
          <t>Dispoz-a-Bag Leg Bag with Flip-Flo Valve &amp; 18" Extension Tubing, 32 oz. - 1 Each / Each</t>
        </is>
      </c>
      <c r="E423" s="1">
        <f>HYPERLINK("https://www.amazon.com/Dispoz-Flip-Flo-Valve-Extension-Tubing/dp/B014I1PR0O/ref=sr_1_4?keywords=Leg+Bag+Extension+Tubing+-+Bard+Medical&amp;qid=1695764365&amp;sr=8-4", "https://www.amazon.com/Dispoz-Flip-Flo-Valve-Extension-Tubing/dp/B014I1PR0O/ref=sr_1_4?keywords=Leg+Bag+Extension+Tubing+-+Bard+Medical&amp;qid=1695764365&amp;sr=8-4")</f>
        <v/>
      </c>
      <c r="F423" t="inlineStr">
        <is>
          <t>B014I1PR0O</t>
        </is>
      </c>
      <c r="G423">
        <f>_xlfn.IMAGE("https://www.mountainside-medical.com/cdn/shop/files/Leg-Bag-Extension-Tubing-Bard-Medical.jpg?v=1695743403")</f>
        <v/>
      </c>
      <c r="H423">
        <f>_xlfn.IMAGE("https://m.media-amazon.com/images/I/31vA6rnSAsL._AC_UL320_.jpg")</f>
        <v/>
      </c>
      <c r="K423" t="inlineStr">
        <is>
          <t>3.49</t>
        </is>
      </c>
      <c r="L423" t="n">
        <v>15.29</v>
      </c>
      <c r="M423" s="2" t="inlineStr">
        <is>
          <t>338.11%</t>
        </is>
      </c>
      <c r="N423" t="n">
        <v>5</v>
      </c>
      <c r="O423" t="n">
        <v>1</v>
      </c>
      <c r="Q423" t="inlineStr">
        <is>
          <t>InStock</t>
        </is>
      </c>
      <c r="R423" t="inlineStr">
        <is>
          <t>5.95</t>
        </is>
      </c>
      <c r="S423" t="inlineStr">
        <is>
          <t>1593496900</t>
        </is>
      </c>
    </row>
    <row r="424" ht="75" customHeight="1">
      <c r="A424" s="1">
        <f>HYPERLINK("https://www.mountainside-medical.com/collections/urological-products/products/leg-bag-medium-urinary-600ml", "https://www.mountainside-medical.com/collections/urological-products/products/leg-bag-medium-urinary-600ml")</f>
        <v/>
      </c>
      <c r="B424" s="1">
        <f>HYPERLINK("https://www.mountainside-medical.com/products/leg-bag-medium-urinary-600ml", "https://www.mountainside-medical.com/products/leg-bag-medium-urinary-600ml")</f>
        <v/>
      </c>
      <c r="C424" t="inlineStr">
        <is>
          <t>Urinary Leg Bag with Leg Straps, Medium 600ml</t>
        </is>
      </c>
      <c r="D424" t="inlineStr">
        <is>
          <t>Dynarex Urinary Leg Bag, For Use with a Catheter, Has a Non-Drip Closure and Anti-Reflux Valve, Includes Easy-to-Use Straps, 1000 ml/20 oz Capacity, Medium, White, 1 Box of 12 Dynarex Urinary Leg Bags</t>
        </is>
      </c>
      <c r="E424" s="1">
        <f>HYPERLINK("https://www.amazon.com/Dynarex-Catheter-Non-Drip-Anti-Reflux-Capacity/dp/B01M4RD3GA/ref=sr_1_4?keywords=Urinary+Leg+Bag+with+Leg+Straps%2C+Medium+600ml&amp;qid=1695764362&amp;sr=8-4", "https://www.amazon.com/Dynarex-Catheter-Non-Drip-Anti-Reflux-Capacity/dp/B01M4RD3GA/ref=sr_1_4?keywords=Urinary+Leg+Bag+with+Leg+Straps%2C+Medium+600ml&amp;qid=1695764362&amp;sr=8-4")</f>
        <v/>
      </c>
      <c r="F424" t="inlineStr">
        <is>
          <t>B01M4RD3GA</t>
        </is>
      </c>
      <c r="G424">
        <f>_xlfn.IMAGE("https://www.mountainside-medical.com/cdn/shop/products/urinary_leg_bag__45755_58b3feb9-0776-40d5-bc36-4f5d009b1c6f.jpeg?v=1600384731")</f>
        <v/>
      </c>
      <c r="H424">
        <f>_xlfn.IMAGE("https://m.media-amazon.com/images/I/51E5t7HU5ZL._AC_UF264,320_.jpg")</f>
        <v/>
      </c>
      <c r="K424" t="inlineStr">
        <is>
          <t>0.97</t>
        </is>
      </c>
      <c r="L424" t="n">
        <v>17.37</v>
      </c>
      <c r="M424" s="2" t="inlineStr">
        <is>
          <t>1690.72%</t>
        </is>
      </c>
      <c r="N424" t="n">
        <v>4.3</v>
      </c>
      <c r="O424" t="n">
        <v>333</v>
      </c>
      <c r="Q424" t="inlineStr">
        <is>
          <t>InStock</t>
        </is>
      </c>
      <c r="R424" t="inlineStr">
        <is>
          <t>undefined</t>
        </is>
      </c>
      <c r="S424" t="inlineStr">
        <is>
          <t>1592928516</t>
        </is>
      </c>
    </row>
    <row r="425" ht="75" customHeight="1">
      <c r="A425" s="1">
        <f>HYPERLINK("https://www.mountainside-medical.com/collections/urological-products/products/pro-advantage-lubricating-jelly-4-oz", "https://www.mountainside-medical.com/collections/urological-products/products/pro-advantage-lubricating-jelly-4-oz")</f>
        <v/>
      </c>
      <c r="B425" s="1">
        <f>HYPERLINK("https://www.mountainside-medical.com/products/pro-advantage-lubricating-jelly-4-oz", "https://www.mountainside-medical.com/products/pro-advantage-lubricating-jelly-4-oz")</f>
        <v/>
      </c>
      <c r="C425" t="inlineStr">
        <is>
          <t>Sterile Lubricating Jelly, Water-Soluble 4 oz</t>
        </is>
      </c>
      <c r="D425" t="inlineStr">
        <is>
          <t>Dynarex DynaLube Lubricating Jelly, Water Soluble and Sterile Lubricant Jelly, Used for Body Orifices, Hinged Instruments and Medical Devices, 1 Case of 72 DynaLube Tubes, 4 oz. (6 Boxes of 12)</t>
        </is>
      </c>
      <c r="E425" s="1">
        <f>HYPERLINK("https://www.amazon.com/Dynarex-1254-Lubricating-Jelly-Flip/dp/B008SIGVO0/ref=sr_1_5?keywords=Sterile+Lubricating+Jelly%2C+Water-Soluble+4+oz&amp;qid=1695764364&amp;sr=8-5", "https://www.amazon.com/Dynarex-1254-Lubricating-Jelly-Flip/dp/B008SIGVO0/ref=sr_1_5?keywords=Sterile+Lubricating+Jelly%2C+Water-Soluble+4+oz&amp;qid=1695764364&amp;sr=8-5")</f>
        <v/>
      </c>
      <c r="F425" t="inlineStr">
        <is>
          <t>B008SIGVO0</t>
        </is>
      </c>
      <c r="G425">
        <f>_xlfn.IMAGE("https://www.mountainside-medical.com/cdn/shop/products/lubricating-jelly-4-ounce-tube-pro-advantage-ndc__44689.jpeg?v=1600381249")</f>
        <v/>
      </c>
      <c r="H425">
        <f>_xlfn.IMAGE("https://m.media-amazon.com/images/I/711xJ7C61ML._AC_UY218_.jpg")</f>
        <v/>
      </c>
      <c r="K425" t="inlineStr">
        <is>
          <t>2.47</t>
        </is>
      </c>
      <c r="L425" t="n">
        <v>50</v>
      </c>
      <c r="M425" s="2" t="inlineStr">
        <is>
          <t>1924.29%</t>
        </is>
      </c>
      <c r="N425" t="n">
        <v>5</v>
      </c>
      <c r="O425" t="n">
        <v>1</v>
      </c>
      <c r="Q425" t="inlineStr">
        <is>
          <t>InStock</t>
        </is>
      </c>
      <c r="R425" t="inlineStr">
        <is>
          <t>undefined</t>
        </is>
      </c>
      <c r="S425" t="inlineStr">
        <is>
          <t>1509307204</t>
        </is>
      </c>
    </row>
    <row r="426" ht="75" customHeight="1">
      <c r="A426" s="1">
        <f>HYPERLINK("https://www.mountainside-medical.com/collections/urological-products/products/pro-advantage-lubricating-jelly-4-oz", "https://www.mountainside-medical.com/collections/urological-products/products/pro-advantage-lubricating-jelly-4-oz")</f>
        <v/>
      </c>
      <c r="B426" s="1">
        <f>HYPERLINK("https://www.mountainside-medical.com/products/pro-advantage-lubricating-jelly-4-oz", "https://www.mountainside-medical.com/products/pro-advantage-lubricating-jelly-4-oz")</f>
        <v/>
      </c>
      <c r="C426" t="inlineStr">
        <is>
          <t>Sterile Lubricating Jelly, Water-Soluble 4 oz</t>
        </is>
      </c>
      <c r="D426" t="inlineStr">
        <is>
          <t>PRO ADVANTAGE LUBRICATING JELLY - Lubricating Jelly, 4 oz Flip-Top Tube, Sterile, 12/bx</t>
        </is>
      </c>
      <c r="E426" s="1">
        <f>HYPERLINK("https://www.amazon.com/PRO-ADVANTAGE%C2%AE-LUBRICATING-JELLY-Lubricating/dp/B00V3P91R4/ref=sr_1_3?keywords=Sterile+Lubricating+Jelly%2C+Water-Soluble+4+oz&amp;qid=1695764364&amp;sr=8-3", "https://www.amazon.com/PRO-ADVANTAGE%C2%AE-LUBRICATING-JELLY-Lubricating/dp/B00V3P91R4/ref=sr_1_3?keywords=Sterile+Lubricating+Jelly%2C+Water-Soluble+4+oz&amp;qid=1695764364&amp;sr=8-3")</f>
        <v/>
      </c>
      <c r="F426" t="inlineStr">
        <is>
          <t>B00V3P91R4</t>
        </is>
      </c>
      <c r="G426">
        <f>_xlfn.IMAGE("https://www.mountainside-medical.com/cdn/shop/products/lubricating-jelly-4-ounce-tube-pro-advantage-ndc__44689.jpeg?v=1600381249")</f>
        <v/>
      </c>
      <c r="H426">
        <f>_xlfn.IMAGE("https://m.media-amazon.com/images/I/71HdyaI9wvL._AC_UY218_.jpg")</f>
        <v/>
      </c>
      <c r="K426" t="inlineStr">
        <is>
          <t>2.47</t>
        </is>
      </c>
      <c r="L426" t="n">
        <v>27.15</v>
      </c>
      <c r="M426" s="2" t="inlineStr">
        <is>
          <t>999.19%</t>
        </is>
      </c>
      <c r="N426" t="n">
        <v>4.3</v>
      </c>
      <c r="O426" t="n">
        <v>49</v>
      </c>
      <c r="Q426" t="inlineStr">
        <is>
          <t>InStock</t>
        </is>
      </c>
      <c r="R426" t="inlineStr">
        <is>
          <t>undefined</t>
        </is>
      </c>
      <c r="S426" t="inlineStr">
        <is>
          <t>1509307204</t>
        </is>
      </c>
    </row>
    <row r="427" ht="75" customHeight="1">
      <c r="A427" s="1">
        <f>HYPERLINK("https://www.mountainside-medical.com/collections/urological-products/products/pro-advantage-lubricating-jelly-4-oz", "https://www.mountainside-medical.com/collections/urological-products/products/pro-advantage-lubricating-jelly-4-oz")</f>
        <v/>
      </c>
      <c r="B427" s="1">
        <f>HYPERLINK("https://www.mountainside-medical.com/products/pro-advantage-lubricating-jelly-4-oz", "https://www.mountainside-medical.com/products/pro-advantage-lubricating-jelly-4-oz")</f>
        <v/>
      </c>
      <c r="C427" t="inlineStr">
        <is>
          <t>Sterile Lubricating Jelly, Water-Soluble 4 oz</t>
        </is>
      </c>
      <c r="D427" t="inlineStr">
        <is>
          <t>MED PRIDE Lubricating Jelly Tube| 4fl Oz Tube Box of 12| Water Soluble, Sterile, Bacteriostatic, | Ideal for Enema Equipment, Rectal Thermometer</t>
        </is>
      </c>
      <c r="E427" s="1">
        <f>HYPERLINK("https://www.amazon.com/Lubricating-Bacteriostatic-Latex-Free-Application-Thermometer/dp/B07S28X56N/ref=sr_1_9?keywords=Sterile+Lubricating+Jelly%2C+Water-Soluble+4+oz&amp;qid=1695764364&amp;sr=8-9", "https://www.amazon.com/Lubricating-Bacteriostatic-Latex-Free-Application-Thermometer/dp/B07S28X56N/ref=sr_1_9?keywords=Sterile+Lubricating+Jelly%2C+Water-Soluble+4+oz&amp;qid=1695764364&amp;sr=8-9")</f>
        <v/>
      </c>
      <c r="F427" t="inlineStr">
        <is>
          <t>B07S28X56N</t>
        </is>
      </c>
      <c r="G427">
        <f>_xlfn.IMAGE("https://www.mountainside-medical.com/cdn/shop/products/lubricating-jelly-4-ounce-tube-pro-advantage-ndc__44689.jpeg?v=1600381249")</f>
        <v/>
      </c>
      <c r="H427">
        <f>_xlfn.IMAGE("https://m.media-amazon.com/images/I/715nBp3fnpL._AC_UY218_.jpg")</f>
        <v/>
      </c>
      <c r="K427" t="inlineStr">
        <is>
          <t>2.47</t>
        </is>
      </c>
      <c r="L427" t="n">
        <v>23.79</v>
      </c>
      <c r="M427" s="2" t="inlineStr">
        <is>
          <t>863.16%</t>
        </is>
      </c>
      <c r="N427" t="n">
        <v>4.6</v>
      </c>
      <c r="O427" t="n">
        <v>1140</v>
      </c>
      <c r="Q427" t="inlineStr">
        <is>
          <t>InStock</t>
        </is>
      </c>
      <c r="R427" t="inlineStr">
        <is>
          <t>undefined</t>
        </is>
      </c>
      <c r="S427" t="inlineStr">
        <is>
          <t>1509307204</t>
        </is>
      </c>
    </row>
    <row r="428" ht="75" customHeight="1">
      <c r="A428" s="1">
        <f>HYPERLINK("https://www.mountainside-medical.com/collections/urological-products/products/ultraflex-self-adhesive-male-external-catheter", "https://www.mountainside-medical.com/collections/urological-products/products/ultraflex-self-adhesive-male-external-catheter")</f>
        <v/>
      </c>
      <c r="B428" s="1">
        <f>HYPERLINK("https://www.mountainside-medical.com/products/ultraflex-self-adhesive-male-external-catheter", "https://www.mountainside-medical.com/products/ultraflex-self-adhesive-male-external-catheter")</f>
        <v/>
      </c>
      <c r="C428" t="inlineStr">
        <is>
          <t>UltraFlex Self-Adhesive Male External Catheter</t>
        </is>
      </c>
      <c r="D428" t="inlineStr">
        <is>
          <t>UltraFlex Male External Catheter Self-Adhesive Seal Silicone Intermediate, 33103 - Case of 100</t>
        </is>
      </c>
      <c r="E428" s="1">
        <f>HYPERLINK("https://www.amazon.com/UltraFlex-External-Catheter-Self-Adhesive-Intermediate/dp/B07X1TG66K/ref=sr_1_3?keywords=UltraFlex+Self-Adhesive+Male+External+Catheter&amp;qid=1695764375&amp;sr=8-3", "https://www.amazon.com/UltraFlex-External-Catheter-Self-Adhesive-Intermediate/dp/B07X1TG66K/ref=sr_1_3?keywords=UltraFlex+Self-Adhesive+Male+External+Catheter&amp;qid=1695764375&amp;sr=8-3")</f>
        <v/>
      </c>
      <c r="F428" t="inlineStr">
        <is>
          <t>B07X1TG66K</t>
        </is>
      </c>
      <c r="G428">
        <f>_xlfn.IMAGE("https://www.mountainside-medical.com/cdn/shop/products/Screenshot2022-11-09at12-51-57UltraFlex-Self-Adhesive-Male-External-Catheter-With-Silicone-Band-Small.jpg_JPEGImage500x500pixels.png?v=1668030641")</f>
        <v/>
      </c>
      <c r="H428">
        <f>_xlfn.IMAGE("https://m.media-amazon.com/images/I/31vtmx0HIzL._AC_UL320_.jpg")</f>
        <v/>
      </c>
      <c r="K428" t="inlineStr">
        <is>
          <t>2.09</t>
        </is>
      </c>
      <c r="L428" t="n">
        <v>159.98</v>
      </c>
      <c r="M428" s="2" t="inlineStr">
        <is>
          <t>7554.55%</t>
        </is>
      </c>
      <c r="N428" t="n">
        <v>5</v>
      </c>
      <c r="O428" t="n">
        <v>5</v>
      </c>
      <c r="Q428" t="inlineStr">
        <is>
          <t>InStock</t>
        </is>
      </c>
      <c r="R428" t="inlineStr">
        <is>
          <t>undefined</t>
        </is>
      </c>
      <c r="S428" t="inlineStr">
        <is>
          <t>6674843828296</t>
        </is>
      </c>
    </row>
    <row r="429" ht="75" customHeight="1">
      <c r="A429" s="1">
        <f>HYPERLINK("https://www.mountainside-medical.com/collections/urological-products/products/ultraflex-self-adhesive-male-external-catheter", "https://www.mountainside-medical.com/collections/urological-products/products/ultraflex-self-adhesive-male-external-catheter")</f>
        <v/>
      </c>
      <c r="B429" s="1">
        <f>HYPERLINK("https://www.mountainside-medical.com/products/ultraflex-self-adhesive-male-external-catheter", "https://www.mountainside-medical.com/products/ultraflex-self-adhesive-male-external-catheter")</f>
        <v/>
      </c>
      <c r="C429" t="inlineStr">
        <is>
          <t>UltraFlex Self-Adhesive Male External Catheter</t>
        </is>
      </c>
      <c r="D429" t="inlineStr">
        <is>
          <t>UltraFlex Male External Catheter Self-Adhesive Band Silicone Medium, 33102 - Case of 100</t>
        </is>
      </c>
      <c r="E429" s="1">
        <f>HYPERLINK("https://www.amazon.com/UltraFlex-External-Catheter-Self-Adhesive-Silicone/dp/B07X2T7RS7/ref=sr_1_2?keywords=UltraFlex+Self-Adhesive+Male+External+Catheter&amp;qid=1695764375&amp;sr=8-2", "https://www.amazon.com/UltraFlex-External-Catheter-Self-Adhesive-Silicone/dp/B07X2T7RS7/ref=sr_1_2?keywords=UltraFlex+Self-Adhesive+Male+External+Catheter&amp;qid=1695764375&amp;sr=8-2")</f>
        <v/>
      </c>
      <c r="F429" t="inlineStr">
        <is>
          <t>B07X2T7RS7</t>
        </is>
      </c>
      <c r="G429">
        <f>_xlfn.IMAGE("https://www.mountainside-medical.com/cdn/shop/products/Screenshot2022-11-09at12-51-57UltraFlex-Self-Adhesive-Male-External-Catheter-With-Silicone-Band-Small.jpg_JPEGImage500x500pixels.png?v=1668030641")</f>
        <v/>
      </c>
      <c r="H429">
        <f>_xlfn.IMAGE("https://m.media-amazon.com/images/I/31vtmx0HIzL._AC_UL320_.jpg")</f>
        <v/>
      </c>
      <c r="K429" t="inlineStr">
        <is>
          <t>2.09</t>
        </is>
      </c>
      <c r="L429" t="n">
        <v>133.15</v>
      </c>
      <c r="M429" s="2" t="inlineStr">
        <is>
          <t>6270.81%</t>
        </is>
      </c>
      <c r="N429" t="n">
        <v>3.9</v>
      </c>
      <c r="O429" t="n">
        <v>10</v>
      </c>
      <c r="Q429" t="inlineStr">
        <is>
          <t>InStock</t>
        </is>
      </c>
      <c r="R429" t="inlineStr">
        <is>
          <t>undefined</t>
        </is>
      </c>
      <c r="S429" t="inlineStr">
        <is>
          <t>6674843828296</t>
        </is>
      </c>
    </row>
    <row r="430" ht="75" customHeight="1">
      <c r="A430" s="1">
        <f>HYPERLINK("https://www.mountainside-medical.com/collections/urological-products/products/ultra-secure-self-adhering-male-external-catheters-35-box", "https://www.mountainside-medical.com/collections/urological-products/products/ultra-secure-self-adhering-male-external-catheters-35-box")</f>
        <v/>
      </c>
      <c r="B430" s="1">
        <f>HYPERLINK("https://www.mountainside-medical.com/products/ultra-secure-self-adhering-male-external-catheters-35-box", "https://www.mountainside-medical.com/products/ultra-secure-self-adhering-male-external-catheters-35-box")</f>
        <v/>
      </c>
      <c r="C430" t="inlineStr">
        <is>
          <t>Conveen Security Plus Male Self-sealing External Catheter</t>
        </is>
      </c>
      <c r="D430" t="inlineStr">
        <is>
          <t>Conveen Security Male External Catheter, Self-Sealing, 21mm Standard Length 5221 (Box of 35)</t>
        </is>
      </c>
      <c r="E430" s="1">
        <f>HYPERLINK("https://www.amazon.com/Conveen-Security-External-Catheter-Self-Sealing/dp/B01MAZEZJ6/ref=sr_1_1?keywords=Conveen+Security+Plus+Male+Self-sealing+External+Catheter&amp;qid=1695764367&amp;sr=8-1", "https://www.amazon.com/Conveen-Security-External-Catheter-Self-Sealing/dp/B01MAZEZJ6/ref=sr_1_1?keywords=Conveen+Security+Plus+Male+Self-sealing+External+Catheter&amp;qid=1695764367&amp;sr=8-1")</f>
        <v/>
      </c>
      <c r="F430" t="inlineStr">
        <is>
          <t>B01MAZEZJ6</t>
        </is>
      </c>
      <c r="G430">
        <f>_xlfn.IMAGE("https://www.mountainside-medical.com/cdn/shop/products/ultra-secure-self-adhering.png?v=1600355668")</f>
        <v/>
      </c>
      <c r="H430">
        <f>_xlfn.IMAGE("https://m.media-amazon.com/images/I/21PDHgy7lwL._AC_UL320_.jpg")</f>
        <v/>
      </c>
      <c r="K430" t="inlineStr">
        <is>
          <t>2.05</t>
        </is>
      </c>
      <c r="L430" t="n">
        <v>72.02</v>
      </c>
      <c r="M430" s="2" t="inlineStr">
        <is>
          <t>3413.17%</t>
        </is>
      </c>
      <c r="N430" t="n">
        <v>5</v>
      </c>
      <c r="O430" t="n">
        <v>2</v>
      </c>
      <c r="Q430" t="inlineStr">
        <is>
          <t>InStock</t>
        </is>
      </c>
      <c r="R430" t="inlineStr">
        <is>
          <t>3.49</t>
        </is>
      </c>
      <c r="S430" t="inlineStr">
        <is>
          <t>1594678788</t>
        </is>
      </c>
    </row>
    <row r="431" ht="75" customHeight="1">
      <c r="A431" s="1">
        <f>HYPERLINK("https://www.mountainside-medical.com/collections/urological-products/products/uri-drain-male-external-catheter-with-foam-strap", "https://www.mountainside-medical.com/collections/urological-products/products/uri-drain-male-external-catheter-with-foam-strap")</f>
        <v/>
      </c>
      <c r="B431" s="1">
        <f>HYPERLINK("https://www.mountainside-medical.com/products/uri-drain-male-external-catheter-with-foam-strap", "https://www.mountainside-medical.com/products/uri-drain-male-external-catheter-with-foam-strap")</f>
        <v/>
      </c>
      <c r="C431" t="inlineStr">
        <is>
          <t>Uri-Drain Male External Catheter with Foam Strap</t>
        </is>
      </c>
      <c r="D431" t="inlineStr">
        <is>
          <t>50 Rubber Urinal Bag Male External Catheter Single use 50 Count Comes with a Foam Strip for Tightening 2 Count (Medium 25 mm 1 Inches)</t>
        </is>
      </c>
      <c r="E431" s="1">
        <f>HYPERLINK("https://www.amazon.com/Rubber-Urinal-External-Catheter-Single/dp/B0BDSH5SZ4/ref=sr_1_5?keywords=Uri-Drain+Male+External+Catheter+with+Foam+Strap&amp;qid=1695764365&amp;sr=8-5", "https://www.amazon.com/Rubber-Urinal-External-Catheter-Single/dp/B0BDSH5SZ4/ref=sr_1_5?keywords=Uri-Drain+Male+External+Catheter+with+Foam+Strap&amp;qid=1695764365&amp;sr=8-5")</f>
        <v/>
      </c>
      <c r="F431" t="inlineStr">
        <is>
          <t>B0BDSH5SZ4</t>
        </is>
      </c>
      <c r="G431">
        <f>_xlfn.IMAGE("https://www.mountainside-medical.com/cdn/shop/products/kendall-healthcare-uri-drai-81171.gif.png?v=1600384687")</f>
        <v/>
      </c>
      <c r="H431">
        <f>_xlfn.IMAGE("https://m.media-amazon.com/images/I/318bHqWrgWL._AC_UL320_.jpg")</f>
        <v/>
      </c>
      <c r="K431" t="inlineStr">
        <is>
          <t>1.65</t>
        </is>
      </c>
      <c r="L431" t="n">
        <v>48</v>
      </c>
      <c r="M431" s="2" t="inlineStr">
        <is>
          <t>2809.09%</t>
        </is>
      </c>
      <c r="N431" t="n">
        <v>4</v>
      </c>
      <c r="O431" t="n">
        <v>23</v>
      </c>
      <c r="Q431" t="inlineStr">
        <is>
          <t>InStock</t>
        </is>
      </c>
      <c r="R431" t="inlineStr">
        <is>
          <t>2.95</t>
        </is>
      </c>
      <c r="S431" t="inlineStr">
        <is>
          <t>1594587396</t>
        </is>
      </c>
    </row>
    <row r="432" ht="75" customHeight="1">
      <c r="A432" s="1">
        <f>HYPERLINK("https://www.mountainside-medical.com/collections/urological-products/products/urinary-drainage-bags-2000ml-economy", "https://www.mountainside-medical.com/collections/urological-products/products/urinary-drainage-bags-2000ml-economy")</f>
        <v/>
      </c>
      <c r="B432" s="1">
        <f>HYPERLINK("https://www.mountainside-medical.com/products/urinary-drainage-bags-2000ml-economy", "https://www.mountainside-medical.com/products/urinary-drainage-bags-2000ml-economy")</f>
        <v/>
      </c>
      <c r="C432" t="inlineStr">
        <is>
          <t>Urinary Drainage Bag with Anti-Reflux Flutter Valve, 2000ml</t>
        </is>
      </c>
      <c r="D432" t="inlineStr">
        <is>
          <t>Dynarex Advantage Urinary Drainage Bag - Teardrop-Shaped, Unisex, Anti-Reflux Chamber, No-Needle Sample Port, Universal Hanger - Vinyl Bags with Markings - 2000ml, 20 Count</t>
        </is>
      </c>
      <c r="E432" s="1">
        <f>HYPERLINK("https://www.amazon.com/Dynarex-Advantage-Urinary-Drainage-Bag/dp/B009ES8NNU/ref=sr_1_7?keywords=Urinary+Drainage+Bag+with+Anti-Reflux+Flutter+Valve%2C+2000ml&amp;qid=1695764369&amp;sr=8-7", "https://www.amazon.com/Dynarex-Advantage-Urinary-Drainage-Bag/dp/B009ES8NNU/ref=sr_1_7?keywords=Urinary+Drainage+Bag+with+Anti-Reflux+Flutter+Valve%2C+2000ml&amp;qid=1695764369&amp;sr=8-7")</f>
        <v/>
      </c>
      <c r="F432" t="inlineStr">
        <is>
          <t>B009ES8NNU</t>
        </is>
      </c>
      <c r="G432">
        <f>_xlfn.IMAGE("https://www.mountainside-medical.com/cdn/shop/products/urinary_drain_bag__76663_7f623465-c412-4872-8985-58faceaeac50.jpeg?v=1600384710")</f>
        <v/>
      </c>
      <c r="H432">
        <f>_xlfn.IMAGE("https://m.media-amazon.com/images/I/71HtmU-Q47L._AC_UL320_.jpg")</f>
        <v/>
      </c>
      <c r="K432" t="inlineStr">
        <is>
          <t>2.29</t>
        </is>
      </c>
      <c r="L432" t="n">
        <v>52.99</v>
      </c>
      <c r="M432" s="2" t="inlineStr">
        <is>
          <t>2213.97%</t>
        </is>
      </c>
      <c r="N432" t="n">
        <v>5</v>
      </c>
      <c r="O432" t="n">
        <v>1</v>
      </c>
      <c r="Q432" t="inlineStr">
        <is>
          <t>InStock</t>
        </is>
      </c>
      <c r="R432" t="inlineStr">
        <is>
          <t>2.99</t>
        </is>
      </c>
      <c r="S432" t="inlineStr">
        <is>
          <t>1592929476</t>
        </is>
      </c>
    </row>
    <row r="433" ht="75" customHeight="1">
      <c r="A433" s="1">
        <f>HYPERLINK("https://www.mountainside-medical.com/collections/urological-products/products/urinary-drainage-bags-2000ml-economy", "https://www.mountainside-medical.com/collections/urological-products/products/urinary-drainage-bags-2000ml-economy")</f>
        <v/>
      </c>
      <c r="B433" s="1">
        <f>HYPERLINK("https://www.mountainside-medical.com/products/urinary-drainage-bags-2000ml-economy", "https://www.mountainside-medical.com/products/urinary-drainage-bags-2000ml-economy")</f>
        <v/>
      </c>
      <c r="C433" t="inlineStr">
        <is>
          <t>Urinary Drainage Bag with Anti-Reflux Flutter Valve, 2000ml</t>
        </is>
      </c>
      <c r="D433" t="inlineStr">
        <is>
          <t>Urine Drainage Bag, 500-2000mL with Anti-Reflux Valve, Silicone Tube (2000ml-5pcs)</t>
        </is>
      </c>
      <c r="E433" s="1">
        <f>HYPERLINK("https://www.amazon.com/Drainage-500-2000mL-Anti-Reflux-Silicone-2000ml-5pcs/dp/B0C2PRHP46/ref=sr_1_2?keywords=Urinary+Drainage+Bag+with+Anti-Reflux+Flutter+Valve%2C+2000ml&amp;qid=1695764369&amp;sr=8-2", "https://www.amazon.com/Drainage-500-2000mL-Anti-Reflux-Silicone-2000ml-5pcs/dp/B0C2PRHP46/ref=sr_1_2?keywords=Urinary+Drainage+Bag+with+Anti-Reflux+Flutter+Valve%2C+2000ml&amp;qid=1695764369&amp;sr=8-2")</f>
        <v/>
      </c>
      <c r="F433" t="inlineStr">
        <is>
          <t>B0C2PRHP46</t>
        </is>
      </c>
      <c r="G433">
        <f>_xlfn.IMAGE("https://www.mountainside-medical.com/cdn/shop/products/urinary_drain_bag__76663_7f623465-c412-4872-8985-58faceaeac50.jpeg?v=1600384710")</f>
        <v/>
      </c>
      <c r="H433">
        <f>_xlfn.IMAGE("https://m.media-amazon.com/images/I/510KNXXLi2L._AC_UL320_.jpg")</f>
        <v/>
      </c>
      <c r="K433" t="inlineStr">
        <is>
          <t>2.29</t>
        </is>
      </c>
      <c r="L433" t="n">
        <v>39.99</v>
      </c>
      <c r="M433" s="2" t="inlineStr">
        <is>
          <t>1646.29%</t>
        </is>
      </c>
      <c r="N433" t="n">
        <v>4.1</v>
      </c>
      <c r="O433" t="n">
        <v>75</v>
      </c>
      <c r="Q433" t="inlineStr">
        <is>
          <t>InStock</t>
        </is>
      </c>
      <c r="R433" t="inlineStr">
        <is>
          <t>2.99</t>
        </is>
      </c>
      <c r="S433" t="inlineStr">
        <is>
          <t>1592929476</t>
        </is>
      </c>
    </row>
    <row r="434" ht="75" customHeight="1">
      <c r="A434" s="1">
        <f>HYPERLINK("https://www.mountainside-medical.com/collections/urological-products/products/urinary-leg-bag-dispoz-a-bag-with-anti-reflux-valve-19-oz-vinyl", "https://www.mountainside-medical.com/collections/urological-products/products/urinary-leg-bag-dispoz-a-bag-with-anti-reflux-valve-19-oz-vinyl")</f>
        <v/>
      </c>
      <c r="B434" s="1">
        <f>HYPERLINK("https://www.mountainside-medical.com/products/urinary-leg-bag-dispoz-a-bag-with-anti-reflux-valve-19-oz-vinyl", "https://www.mountainside-medical.com/products/urinary-leg-bag-dispoz-a-bag-with-anti-reflux-valve-19-oz-vinyl")</f>
        <v/>
      </c>
      <c r="C434" t="inlineStr">
        <is>
          <t>Urinary Leg Bag Dispoz-a-Bag with Anti-Reflux Valve, 19 oz. Vinyl</t>
        </is>
      </c>
      <c r="D434" t="inlineStr">
        <is>
          <t>Dynarex Urinary Leg Bag, For Use with a Catheter, Has a Non-Drip Closure and Anti-Reflux Valve, Includes Easy-to-Use Straps, 1000 ml/20 oz Capacity, Medium, White, 1 Box of 12 Dynarex Urinary Leg Bags</t>
        </is>
      </c>
      <c r="E434" s="1">
        <f>HYPERLINK("https://www.amazon.com/Dynarex-Catheter-Non-Drip-Anti-Reflux-Capacity/dp/B01M4RD3GA/ref=sr_1_2?keywords=Urinary+Leg+Bag+Dispoz-a-Bag+with+Anti-Reflux+Valve%2C+19+oz.+Vinyl&amp;qid=1695764375&amp;sr=8-2", "https://www.amazon.com/Dynarex-Catheter-Non-Drip-Anti-Reflux-Capacity/dp/B01M4RD3GA/ref=sr_1_2?keywords=Urinary+Leg+Bag+Dispoz-a-Bag+with+Anti-Reflux+Valve%2C+19+oz.+Vinyl&amp;qid=1695764375&amp;sr=8-2")</f>
        <v/>
      </c>
      <c r="F434" t="inlineStr">
        <is>
          <t>B01M4RD3GA</t>
        </is>
      </c>
      <c r="G434">
        <f>_xlfn.IMAGE("https://www.mountainside-medical.com/cdn/shop/products/Screenshot2022-11-08at12-47-22McKessonSupplyManager-Product_191454.png?v=1667929675")</f>
        <v/>
      </c>
      <c r="H434">
        <f>_xlfn.IMAGE("https://m.media-amazon.com/images/I/51E5t7HU5ZL._AC_UL320_.jpg")</f>
        <v/>
      </c>
      <c r="K434" t="inlineStr">
        <is>
          <t>9.87</t>
        </is>
      </c>
      <c r="L434" t="n">
        <v>17.98</v>
      </c>
      <c r="M434" s="2" t="inlineStr">
        <is>
          <t>82.17%</t>
        </is>
      </c>
      <c r="N434" t="n">
        <v>4.3</v>
      </c>
      <c r="O434" t="n">
        <v>333</v>
      </c>
      <c r="Q434" t="inlineStr">
        <is>
          <t>InStock</t>
        </is>
      </c>
      <c r="R434" t="inlineStr">
        <is>
          <t>undefined</t>
        </is>
      </c>
      <c r="S434" t="inlineStr">
        <is>
          <t>6674254004296</t>
        </is>
      </c>
    </row>
    <row r="435" ht="75" customHeight="1">
      <c r="A435" s="1">
        <f>HYPERLINK("https://www.mountainside-medical.com/collections/urological-products/products/urinary-leg-bag-dispoz-a-bag-with-anti-reflux-valve-950-ml", "https://www.mountainside-medical.com/collections/urological-products/products/urinary-leg-bag-dispoz-a-bag-with-anti-reflux-valve-950-ml")</f>
        <v/>
      </c>
      <c r="B435" s="1">
        <f>HYPERLINK("https://www.mountainside-medical.com/products/urinary-leg-bag-dispoz-a-bag-with-anti-reflux-valve-950-ml", "https://www.mountainside-medical.com/products/urinary-leg-bag-dispoz-a-bag-with-anti-reflux-valve-950-ml")</f>
        <v/>
      </c>
      <c r="C435" t="inlineStr">
        <is>
          <t>Urinary Leg Bag Dispoz-a-Bag with Anti-Reflux Valve, 950 mL</t>
        </is>
      </c>
      <c r="D435" t="inlineStr">
        <is>
          <t>Dynarex Urinary Leg Bag, For Use with a Catheter, Has a Non-Drip Closure and Anti-Reflux Valve, Includes Easy-to-Use Straps, 1000 ml/20 oz Capacity, Medium, White, 1 Box of 12 Dynarex Urinary Leg Bags</t>
        </is>
      </c>
      <c r="E435" s="1">
        <f>HYPERLINK("https://www.amazon.com/Dynarex-Catheter-Non-Drip-Anti-Reflux-Capacity/dp/B01M4RD3GA/ref=sr_1_5?keywords=Urinary+Leg+Bag+Dispoz-a-Bag+with+Anti-Reflux+Valve%2C+950+mL&amp;qid=1695764375&amp;sr=8-5", "https://www.amazon.com/Dynarex-Catheter-Non-Drip-Anti-Reflux-Capacity/dp/B01M4RD3GA/ref=sr_1_5?keywords=Urinary+Leg+Bag+Dispoz-a-Bag+with+Anti-Reflux+Valve%2C+950+mL&amp;qid=1695764375&amp;sr=8-5")</f>
        <v/>
      </c>
      <c r="F435" t="inlineStr">
        <is>
          <t>B01M4RD3GA</t>
        </is>
      </c>
      <c r="G435">
        <f>_xlfn.IMAGE("https://www.mountainside-medical.com/cdn/shop/products/Screenshot2022-11-08at12-27-20McKessonSupplyManager-Product_166613.png?v=1667928466")</f>
        <v/>
      </c>
      <c r="H435">
        <f>_xlfn.IMAGE("https://m.media-amazon.com/images/I/51E5t7HU5ZL._AC_UL320_.jpg")</f>
        <v/>
      </c>
      <c r="K435" t="inlineStr">
        <is>
          <t>5.67</t>
        </is>
      </c>
      <c r="L435" t="n">
        <v>17.37</v>
      </c>
      <c r="M435" s="2" t="inlineStr">
        <is>
          <t>206.35%</t>
        </is>
      </c>
      <c r="N435" t="n">
        <v>4.3</v>
      </c>
      <c r="O435" t="n">
        <v>333</v>
      </c>
      <c r="Q435" t="inlineStr">
        <is>
          <t>InStock</t>
        </is>
      </c>
      <c r="R435" t="inlineStr">
        <is>
          <t>undefined</t>
        </is>
      </c>
      <c r="S435" t="inlineStr">
        <is>
          <t>6674251939912</t>
        </is>
      </c>
    </row>
    <row r="436" ht="75" customHeight="1">
      <c r="A436" s="1">
        <f>HYPERLINK("https://www.mountainside-medical.com/collections/urological-products/products/urinary-leg-bag-vinyl-dispoz-a-bag-with-anti-reflux-valve", "https://www.mountainside-medical.com/collections/urological-products/products/urinary-leg-bag-vinyl-dispoz-a-bag-with-anti-reflux-valve")</f>
        <v/>
      </c>
      <c r="B436" s="1">
        <f>HYPERLINK("https://www.mountainside-medical.com/products/urinary-leg-bag-vinyl-dispoz-a-bag-with-anti-reflux-valve", "https://www.mountainside-medical.com/products/urinary-leg-bag-vinyl-dispoz-a-bag-with-anti-reflux-valve")</f>
        <v/>
      </c>
      <c r="C436" t="inlineStr">
        <is>
          <t>Urinary Leg Bag Vinyl Dispoz-a-Bag with Anti-Reflux Valve and Fabric Straps, 19 oz.</t>
        </is>
      </c>
      <c r="D436" t="inlineStr">
        <is>
          <t>Dynarex Urinary Leg Bag, For Use with a Catheter, Has a Non-Drip Closure and Anti-Reflux Valve, Includes Easy-to-Use Straps, 1000 ml/20 oz Capacity, Medium, White, 1 Box of 12 Dynarex Urinary Leg Bags</t>
        </is>
      </c>
      <c r="E436" s="1">
        <f>HYPERLINK("https://www.amazon.com/Dynarex-Catheter-Non-Drip-Anti-Reflux-Capacity/dp/B01M4RD3GA/ref=sr_1_8?keywords=Urinary+Leg+Bag+Vinyl+Dispoz-a-Bag+with+Anti-Reflux+Valve+and+Fabric+Straps%2C+19+oz.&amp;qid=1695764376&amp;sr=8-8", "https://www.amazon.com/Dynarex-Catheter-Non-Drip-Anti-Reflux-Capacity/dp/B01M4RD3GA/ref=sr_1_8?keywords=Urinary+Leg+Bag+Vinyl+Dispoz-a-Bag+with+Anti-Reflux+Valve+and+Fabric+Straps%2C+19+oz.&amp;qid=1695764376&amp;sr=8-8")</f>
        <v/>
      </c>
      <c r="F436" t="inlineStr">
        <is>
          <t>B01M4RD3GA</t>
        </is>
      </c>
      <c r="G436">
        <f>_xlfn.IMAGE("https://www.mountainside-medical.com/cdn/shop/products/Screenshot2022-11-08at13-17-56McKessonSupplyManager-Product_368515.png?v=1667931769")</f>
        <v/>
      </c>
      <c r="H436">
        <f>_xlfn.IMAGE("https://m.media-amazon.com/images/I/51E5t7HU5ZL._AC_UL320_.jpg")</f>
        <v/>
      </c>
      <c r="K436" t="inlineStr">
        <is>
          <t>7.47</t>
        </is>
      </c>
      <c r="L436" t="n">
        <v>17.98</v>
      </c>
      <c r="M436" s="2" t="inlineStr">
        <is>
          <t>140.70%</t>
        </is>
      </c>
      <c r="N436" t="n">
        <v>4.3</v>
      </c>
      <c r="O436" t="n">
        <v>333</v>
      </c>
      <c r="Q436" t="inlineStr">
        <is>
          <t>InStock</t>
        </is>
      </c>
      <c r="R436" t="inlineStr">
        <is>
          <t>undefined</t>
        </is>
      </c>
      <c r="S436" t="inlineStr">
        <is>
          <t>6674266161224</t>
        </is>
      </c>
    </row>
    <row r="437" ht="75" customHeight="1">
      <c r="A437" s="1">
        <f>HYPERLINK("https://www.mountainside-medical.com/collections/urological-products/products/urinary-leg-bag-with-anti-reflux-valve-950-ml", "https://www.mountainside-medical.com/collections/urological-products/products/urinary-leg-bag-with-anti-reflux-valve-950-ml")</f>
        <v/>
      </c>
      <c r="B437" s="1">
        <f>HYPERLINK("https://www.mountainside-medical.com/products/urinary-leg-bag-with-anti-reflux-valve-950-ml", "https://www.mountainside-medical.com/products/urinary-leg-bag-with-anti-reflux-valve-950-ml")</f>
        <v/>
      </c>
      <c r="C437" t="inlineStr">
        <is>
          <t>Urinary Leg Bag with Anti-Reflux Valve, 950 mL</t>
        </is>
      </c>
      <c r="D437" t="inlineStr">
        <is>
          <t>Dynarex Urinary Leg Bag, For Use with a Catheter, Has a Non-Drip Closure and Anti-Reflux Valve, Includes Easy-to-Use Straps, 1000 ml/20 oz Capacity, Medium, White, 1 Box of 12 Dynarex Urinary Leg Bags</t>
        </is>
      </c>
      <c r="E437" s="1">
        <f>HYPERLINK("https://www.amazon.com/Dynarex-Catheter-Non-Drip-Anti-Reflux-Capacity/dp/B01M4RD3GA/ref=sr_1_6?keywords=Urinary+Leg+Bag+with+Anti-Reflux+Valve%2C+950+mL&amp;qid=1695764375&amp;sr=8-6", "https://www.amazon.com/Dynarex-Catheter-Non-Drip-Anti-Reflux-Capacity/dp/B01M4RD3GA/ref=sr_1_6?keywords=Urinary+Leg+Bag+with+Anti-Reflux+Valve%2C+950+mL&amp;qid=1695764375&amp;sr=8-6")</f>
        <v/>
      </c>
      <c r="F437" t="inlineStr">
        <is>
          <t>B01M4RD3GA</t>
        </is>
      </c>
      <c r="G437">
        <f>_xlfn.IMAGE("https://www.mountainside-medical.com/cdn/shop/products/Screenshot2022-11-08at12-05-38Bard-Urinary-Leg-Bag-Anti-Reflux-Valve-with-Fabric-Straps-_950-mL-Sterile.jpg_JPEGImage500x500pixels.png?v=1667927312")</f>
        <v/>
      </c>
      <c r="H437">
        <f>_xlfn.IMAGE("https://m.media-amazon.com/images/I/51E5t7HU5ZL._AC_UF264,320_.jpg")</f>
        <v/>
      </c>
      <c r="K437" t="inlineStr">
        <is>
          <t>7.57</t>
        </is>
      </c>
      <c r="L437" t="n">
        <v>17.37</v>
      </c>
      <c r="M437" s="2" t="inlineStr">
        <is>
          <t>129.46%</t>
        </is>
      </c>
      <c r="N437" t="n">
        <v>4.3</v>
      </c>
      <c r="O437" t="n">
        <v>333</v>
      </c>
      <c r="Q437" t="inlineStr">
        <is>
          <t>InStock</t>
        </is>
      </c>
      <c r="R437" t="inlineStr">
        <is>
          <t>undefined</t>
        </is>
      </c>
      <c r="S437" t="inlineStr">
        <is>
          <t>6674234507336</t>
        </is>
      </c>
    </row>
    <row r="438" ht="75" customHeight="1">
      <c r="A438" s="1">
        <f>HYPERLINK("https://www.mountainside-medical.com/collections/urological-products/products/urinary-leg-bag-with-anti-reflux-valve-and-catheter-tube-950-ml", "https://www.mountainside-medical.com/collections/urological-products/products/urinary-leg-bag-with-anti-reflux-valve-and-catheter-tube-950-ml")</f>
        <v/>
      </c>
      <c r="B438" s="1">
        <f>HYPERLINK("https://www.mountainside-medical.com/products/urinary-leg-bag-with-anti-reflux-valve-and-catheter-tube-950-ml", "https://www.mountainside-medical.com/products/urinary-leg-bag-with-anti-reflux-valve-and-catheter-tube-950-ml")</f>
        <v/>
      </c>
      <c r="C438" t="inlineStr">
        <is>
          <t>Urinary Leg Bag with Anti-Reflux Valve and Catheter Tube, 950 mL</t>
        </is>
      </c>
      <c r="D438" t="inlineStr">
        <is>
          <t>Dynarex Urinary Leg Bag, For Use with a Catheter, Has a Non-Drip Closure and Anti-Reflux Valve, Includes Easy-to-Use Straps, 1000 ml/20 oz Capacity, Medium, White, 1 Box of 12 Dynarex Urinary Leg Bags</t>
        </is>
      </c>
      <c r="E438" s="1">
        <f>HYPERLINK("https://www.amazon.com/Dynarex-Catheter-Non-Drip-Anti-Reflux-Capacity/dp/B01M4RD3GA/ref=sr_1_5?keywords=Urinary+Leg+Bag+with+Anti-Reflux+Valve+and+Catheter+Tube%2C+950+mL&amp;qid=1695764374&amp;sr=8-5", "https://www.amazon.com/Dynarex-Catheter-Non-Drip-Anti-Reflux-Capacity/dp/B01M4RD3GA/ref=sr_1_5?keywords=Urinary+Leg+Bag+with+Anti-Reflux+Valve+and+Catheter+Tube%2C+950+mL&amp;qid=1695764374&amp;sr=8-5")</f>
        <v/>
      </c>
      <c r="F438" t="inlineStr">
        <is>
          <t>B01M4RD3GA</t>
        </is>
      </c>
      <c r="G438">
        <f>_xlfn.IMAGE("https://www.mountainside-medical.com/cdn/shop/products/Screenshot2022-11-08at12-22-50McKessonSupplyManager-Product_191455.png?v=1667928292")</f>
        <v/>
      </c>
      <c r="H438">
        <f>_xlfn.IMAGE("https://m.media-amazon.com/images/I/51E5t7HU5ZL._AC_UL320_.jpg")</f>
        <v/>
      </c>
      <c r="K438" t="inlineStr">
        <is>
          <t>9.59</t>
        </is>
      </c>
      <c r="L438" t="n">
        <v>17.37</v>
      </c>
      <c r="M438" s="2" t="inlineStr">
        <is>
          <t>81.13%</t>
        </is>
      </c>
      <c r="N438" t="n">
        <v>4.3</v>
      </c>
      <c r="O438" t="n">
        <v>333</v>
      </c>
      <c r="Q438" t="inlineStr">
        <is>
          <t>InStock</t>
        </is>
      </c>
      <c r="R438" t="inlineStr">
        <is>
          <t>undefined</t>
        </is>
      </c>
      <c r="S438" t="inlineStr">
        <is>
          <t>6674250596424</t>
        </is>
      </c>
    </row>
    <row r="439" ht="75" customHeight="1">
      <c r="A439" s="1">
        <f>HYPERLINK("https://www.mountainside-medical.com/collections/urological-products/products/urinary-leg-bag-with-anti-reflux-valve-and-fabric-straps-19-oz-vinyl", "https://www.mountainside-medical.com/collections/urological-products/products/urinary-leg-bag-with-anti-reflux-valve-and-fabric-straps-19-oz-vinyl")</f>
        <v/>
      </c>
      <c r="B439" s="1">
        <f>HYPERLINK("https://www.mountainside-medical.com/products/urinary-leg-bag-with-anti-reflux-valve-and-fabric-straps-19-oz-vinyl", "https://www.mountainside-medical.com/products/urinary-leg-bag-with-anti-reflux-valve-and-fabric-straps-19-oz-vinyl")</f>
        <v/>
      </c>
      <c r="C439" t="inlineStr">
        <is>
          <t>Urinary Leg Bag with Anti-Reflux Valve and Fabric Straps, 19 oz. Vinyl</t>
        </is>
      </c>
      <c r="D439" t="inlineStr">
        <is>
          <t>Dynarex Urinary Leg Bag, For Use with a Catheter, Has a Non-Drip Closure and Anti-Reflux Valve, Includes Easy-to-Use Straps, 1000 ml/20 oz Capacity, Medium, White, 1 Box of 12 Dynarex Urinary Leg Bags</t>
        </is>
      </c>
      <c r="E439" s="1">
        <f>HYPERLINK("https://www.amazon.com/Dynarex-Catheter-Non-Drip-Anti-Reflux-Capacity/dp/B01M4RD3GA/ref=sr_1_4?keywords=Urinary+Leg+Bag+with+Anti-Reflux+Valve+and+Fabric+Straps%2C+19+oz.+Vinyl&amp;qid=1695764379&amp;sr=8-4", "https://www.amazon.com/Dynarex-Catheter-Non-Drip-Anti-Reflux-Capacity/dp/B01M4RD3GA/ref=sr_1_4?keywords=Urinary+Leg+Bag+with+Anti-Reflux+Valve+and+Fabric+Straps%2C+19+oz.+Vinyl&amp;qid=1695764379&amp;sr=8-4")</f>
        <v/>
      </c>
      <c r="F439" t="inlineStr">
        <is>
          <t>B01M4RD3GA</t>
        </is>
      </c>
      <c r="G439">
        <f>_xlfn.IMAGE("https://www.mountainside-medical.com/cdn/shop/products/Screenshot2022-11-08at15-11-11McKessonSupplyManager-Product_166612.png?v=1667938288")</f>
        <v/>
      </c>
      <c r="H439">
        <f>_xlfn.IMAGE("https://m.media-amazon.com/images/I/51E5t7HU5ZL._AC_UL320_.jpg")</f>
        <v/>
      </c>
      <c r="K439" t="inlineStr">
        <is>
          <t>5.7</t>
        </is>
      </c>
      <c r="L439" t="n">
        <v>17.37</v>
      </c>
      <c r="M439" s="2" t="inlineStr">
        <is>
          <t>204.74%</t>
        </is>
      </c>
      <c r="N439" t="n">
        <v>4.3</v>
      </c>
      <c r="O439" t="n">
        <v>333</v>
      </c>
      <c r="Q439" t="inlineStr">
        <is>
          <t>InStock</t>
        </is>
      </c>
      <c r="R439" t="inlineStr">
        <is>
          <t>undefined</t>
        </is>
      </c>
      <c r="S439" t="inlineStr">
        <is>
          <t>6674315444296</t>
        </is>
      </c>
    </row>
    <row r="440" ht="75" customHeight="1">
      <c r="A440" s="1">
        <f>HYPERLINK("https://www.mountainside-medical.com/collections/urological-products/products/wide-band-self-adhesive-male-external-catheter", "https://www.mountainside-medical.com/collections/urological-products/products/wide-band-self-adhesive-male-external-catheter")</f>
        <v/>
      </c>
      <c r="B440" s="1">
        <f>HYPERLINK("https://www.mountainside-medical.com/products/wide-band-self-adhesive-male-external-catheter", "https://www.mountainside-medical.com/products/wide-band-self-adhesive-male-external-catheter")</f>
        <v/>
      </c>
      <c r="C440" t="inlineStr">
        <is>
          <t>Wide Band Self-Adhesive Male External Catheter</t>
        </is>
      </c>
      <c r="D440" t="inlineStr">
        <is>
          <t>Male External Catheter Self-Adhesive Band Silicone Medium, 33102 - Case of 100</t>
        </is>
      </c>
      <c r="E440" s="1">
        <f>HYPERLINK("https://www.amazon.com/UltraFlex-External-Catheter-Self-Adhesive-Silicone/dp/B07X2T7RS7/ref=sr_1_3?keywords=Wide+Band+Self-Adhesive+Male+External+Catheter&amp;qid=1695764379&amp;sr=8-3", "https://www.amazon.com/UltraFlex-External-Catheter-Self-Adhesive-Silicone/dp/B07X2T7RS7/ref=sr_1_3?keywords=Wide+Band+Self-Adhesive+Male+External+Catheter&amp;qid=1695764379&amp;sr=8-3")</f>
        <v/>
      </c>
      <c r="F440" t="inlineStr">
        <is>
          <t>B07X2T7RS7</t>
        </is>
      </c>
      <c r="G440">
        <f>_xlfn.IMAGE("https://www.mountainside-medical.com/cdn/shop/products/MaleExternalCatheterWideBandSelf-AdhesiveBandSiliconeX-Large-1xEAHealth_Household.png?v=1668436496")</f>
        <v/>
      </c>
      <c r="H440">
        <f>_xlfn.IMAGE("https://m.media-amazon.com/images/I/31vtmx0HIzL._AC_UL320_.jpg")</f>
        <v/>
      </c>
      <c r="K440" t="inlineStr">
        <is>
          <t>2.5</t>
        </is>
      </c>
      <c r="L440" t="n">
        <v>133.15</v>
      </c>
      <c r="M440" s="2" t="inlineStr">
        <is>
          <t>5226.00%</t>
        </is>
      </c>
      <c r="N440" t="n">
        <v>3.9</v>
      </c>
      <c r="O440" t="n">
        <v>10</v>
      </c>
      <c r="Q440" t="inlineStr">
        <is>
          <t>InStock</t>
        </is>
      </c>
      <c r="R440" t="inlineStr">
        <is>
          <t>undefined</t>
        </is>
      </c>
      <c r="S440" t="inlineStr">
        <is>
          <t>6677344452680</t>
        </is>
      </c>
    </row>
    <row r="441" ht="75" customHeight="1">
      <c r="A441" s="1">
        <f>HYPERLINK("https://www.mountainside-medical.com/collections/veterinary/products/3m-littmann-select-stethoscope-black", "https://www.mountainside-medical.com/collections/veterinary/products/3m-littmann-select-stethoscope-black")</f>
        <v/>
      </c>
      <c r="B441" s="1">
        <f>HYPERLINK("https://www.mountainside-medical.com/products/3m-littmann-select-stethoscope-black", "https://www.mountainside-medical.com/products/3m-littmann-select-stethoscope-black")</f>
        <v/>
      </c>
      <c r="C441" t="inlineStr">
        <is>
          <t>3M Littmann Stethoscope Lightweight II</t>
        </is>
      </c>
      <c r="D441" t="inlineStr">
        <is>
          <t>Briggs 3M Littmann Classic II S.E. Lightweight Stethoscope, Black</t>
        </is>
      </c>
      <c r="E441" s="1">
        <f>HYPERLINK("https://www.amazon.com/3M-081252550-Littmann-Classic-Stethoscope/dp/B07HL5HX1L/ref=sr_1_8?keywords=3M+Littmann+Stethoscope+Lightweight+II&amp;qid=1695764516&amp;sr=8-8", "https://www.amazon.com/3M-081252550-Littmann-Classic-Stethoscope/dp/B07HL5HX1L/ref=sr_1_8?keywords=3M+Littmann+Stethoscope+Lightweight+II&amp;qid=1695764516&amp;sr=8-8")</f>
        <v/>
      </c>
      <c r="F441" t="inlineStr">
        <is>
          <t>B07HL5HX1L</t>
        </is>
      </c>
      <c r="G441">
        <f>_xlfn.IMAGE("https://www.mountainside-medical.com/cdn/shop/products/3M-Littmann-Lightweight-II-Stethoscope.jpg?v=1673534901")</f>
        <v/>
      </c>
      <c r="H441">
        <f>_xlfn.IMAGE("https://m.media-amazon.com/images/I/41F6UgtX+gL._AC_UY218_.jpg")</f>
        <v/>
      </c>
      <c r="K441" t="inlineStr">
        <is>
          <t>59.0</t>
        </is>
      </c>
      <c r="L441" t="n">
        <v>120.24</v>
      </c>
      <c r="M441" s="2" t="inlineStr">
        <is>
          <t>103.80%</t>
        </is>
      </c>
      <c r="N441" t="n">
        <v>5</v>
      </c>
      <c r="O441" t="n">
        <v>4</v>
      </c>
      <c r="Q441" t="inlineStr">
        <is>
          <t>InStock</t>
        </is>
      </c>
      <c r="R441" t="inlineStr">
        <is>
          <t>74.95</t>
        </is>
      </c>
      <c r="S441" t="inlineStr">
        <is>
          <t>1509747716</t>
        </is>
      </c>
    </row>
    <row r="442" ht="75" customHeight="1">
      <c r="A442" s="1">
        <f>HYPERLINK("https://www.mountainside-medical.com/collections/veterinary/products/3m-littmann-select-stethoscope-black", "https://www.mountainside-medical.com/collections/veterinary/products/3m-littmann-select-stethoscope-black")</f>
        <v/>
      </c>
      <c r="B442" s="1">
        <f>HYPERLINK("https://www.mountainside-medical.com/products/3m-littmann-select-stethoscope-black", "https://www.mountainside-medical.com/products/3m-littmann-select-stethoscope-black")</f>
        <v/>
      </c>
      <c r="C442" t="inlineStr">
        <is>
          <t>3M Littmann Stethoscope Lightweight II</t>
        </is>
      </c>
      <c r="D442" t="inlineStr">
        <is>
          <t>3M Littmann Stethoscope, Classic II Pediatric, Caribbean Blue Tube, Rainbow Chestpiece, 28 inch, 2153</t>
        </is>
      </c>
      <c r="E442" s="1">
        <f>HYPERLINK("https://www.amazon.com/3M-Littmann-Stethoscope-Rainbow-finish-2153/dp/B004W744TA/ref=sr_1_4?keywords=3M+Littmann+Stethoscope+Lightweight+II&amp;qid=1695764516&amp;sr=8-4", "https://www.amazon.com/3M-Littmann-Stethoscope-Rainbow-finish-2153/dp/B004W744TA/ref=sr_1_4?keywords=3M+Littmann+Stethoscope+Lightweight+II&amp;qid=1695764516&amp;sr=8-4")</f>
        <v/>
      </c>
      <c r="F442" t="inlineStr">
        <is>
          <t>B004W744TA</t>
        </is>
      </c>
      <c r="G442">
        <f>_xlfn.IMAGE("https://www.mountainside-medical.com/cdn/shop/products/3M-Littmann-Lightweight-II-Stethoscope.jpg?v=1673534901")</f>
        <v/>
      </c>
      <c r="H442">
        <f>_xlfn.IMAGE("https://m.media-amazon.com/images/I/71NJsT1VFAL._AC_UY218_.jpg")</f>
        <v/>
      </c>
      <c r="K442" t="inlineStr">
        <is>
          <t>59.0</t>
        </is>
      </c>
      <c r="L442" t="n">
        <v>116.91</v>
      </c>
      <c r="M442" s="2" t="inlineStr">
        <is>
          <t>98.15%</t>
        </is>
      </c>
      <c r="N442" t="n">
        <v>4.7</v>
      </c>
      <c r="O442" t="n">
        <v>773</v>
      </c>
      <c r="Q442" t="inlineStr">
        <is>
          <t>InStock</t>
        </is>
      </c>
      <c r="R442" t="inlineStr">
        <is>
          <t>74.95</t>
        </is>
      </c>
      <c r="S442" t="inlineStr">
        <is>
          <t>1509747716</t>
        </is>
      </c>
    </row>
    <row r="443" ht="75" customHeight="1">
      <c r="A443" s="1">
        <f>HYPERLINK("https://www.mountainside-medical.com/collections/veterinary/products/3m-littmann-select-stethoscope-black", "https://www.mountainside-medical.com/collections/veterinary/products/3m-littmann-select-stethoscope-black")</f>
        <v/>
      </c>
      <c r="B443" s="1">
        <f>HYPERLINK("https://www.mountainside-medical.com/products/3m-littmann-select-stethoscope-black", "https://www.mountainside-medical.com/products/3m-littmann-select-stethoscope-black")</f>
        <v/>
      </c>
      <c r="C443" t="inlineStr">
        <is>
          <t>3M Littmann Stethoscope Lightweight II</t>
        </is>
      </c>
      <c r="D443" t="inlineStr">
        <is>
          <t>3M Littmann Stethoscope, Classic II Pediatric, Caribbean Blue Tube, Stainless Steel Chestpiece, 28 inch, 2119</t>
        </is>
      </c>
      <c r="E443" s="1">
        <f>HYPERLINK("https://www.amazon.com/3M-Littmann-2119-Pediatric-Stethoscope/dp/B000F4UP10/ref=sr_1_6?keywords=3M+Littmann+Stethoscope+Lightweight+II&amp;qid=1695764516&amp;sr=8-6", "https://www.amazon.com/3M-Littmann-2119-Pediatric-Stethoscope/dp/B000F4UP10/ref=sr_1_6?keywords=3M+Littmann+Stethoscope+Lightweight+II&amp;qid=1695764516&amp;sr=8-6")</f>
        <v/>
      </c>
      <c r="F443" t="inlineStr">
        <is>
          <t>B000F4UP10</t>
        </is>
      </c>
      <c r="G443">
        <f>_xlfn.IMAGE("https://www.mountainside-medical.com/cdn/shop/products/3M-Littmann-Lightweight-II-Stethoscope.jpg?v=1673534901")</f>
        <v/>
      </c>
      <c r="H443">
        <f>_xlfn.IMAGE("https://m.media-amazon.com/images/I/61+oreVJu9L._AC_UY218_.jpg")</f>
        <v/>
      </c>
      <c r="K443" t="inlineStr">
        <is>
          <t>59.0</t>
        </is>
      </c>
      <c r="L443" t="n">
        <v>112.94</v>
      </c>
      <c r="M443" s="2" t="inlineStr">
        <is>
          <t>91.42%</t>
        </is>
      </c>
      <c r="N443" t="n">
        <v>4.7</v>
      </c>
      <c r="O443" t="n">
        <v>511</v>
      </c>
      <c r="Q443" t="inlineStr">
        <is>
          <t>InStock</t>
        </is>
      </c>
      <c r="R443" t="inlineStr">
        <is>
          <t>74.95</t>
        </is>
      </c>
      <c r="S443" t="inlineStr">
        <is>
          <t>1509747716</t>
        </is>
      </c>
    </row>
    <row r="444" ht="75" customHeight="1">
      <c r="A444" s="1">
        <f>HYPERLINK("https://www.mountainside-medical.com/collections/veterinary/products/3m-littmann-select-stethoscope-black", "https://www.mountainside-medical.com/collections/veterinary/products/3m-littmann-select-stethoscope-black")</f>
        <v/>
      </c>
      <c r="B444" s="1">
        <f>HYPERLINK("https://www.mountainside-medical.com/products/3m-littmann-select-stethoscope-black", "https://www.mountainside-medical.com/products/3m-littmann-select-stethoscope-black")</f>
        <v/>
      </c>
      <c r="C444" t="inlineStr">
        <is>
          <t>3M Littmann Stethoscope Lightweight II</t>
        </is>
      </c>
      <c r="D444" t="inlineStr">
        <is>
          <t>3M Littmann Stethoscope, Classic II Pediatric, Raspberry Tube, Stainless Steel Chestpiece, 28 inch, 2122</t>
        </is>
      </c>
      <c r="E444" s="1">
        <f>HYPERLINK("https://www.amazon.com/3M-Littmann-2122-Pediatric-Stethoscope/dp/B000F4UP1A/ref=sr_1_2?keywords=3M+Littmann+Stethoscope+Lightweight+II&amp;qid=1695764516&amp;sr=8-2", "https://www.amazon.com/3M-Littmann-2122-Pediatric-Stethoscope/dp/B000F4UP1A/ref=sr_1_2?keywords=3M+Littmann+Stethoscope+Lightweight+II&amp;qid=1695764516&amp;sr=8-2")</f>
        <v/>
      </c>
      <c r="F444" t="inlineStr">
        <is>
          <t>B000F4UP1A</t>
        </is>
      </c>
      <c r="G444">
        <f>_xlfn.IMAGE("https://www.mountainside-medical.com/cdn/shop/products/3M-Littmann-Lightweight-II-Stethoscope.jpg?v=1673534901")</f>
        <v/>
      </c>
      <c r="H444">
        <f>_xlfn.IMAGE("https://m.media-amazon.com/images/I/61zQiS--FeL._AC_UY218_.jpg")</f>
        <v/>
      </c>
      <c r="K444" t="inlineStr">
        <is>
          <t>59.0</t>
        </is>
      </c>
      <c r="L444" t="n">
        <v>112.94</v>
      </c>
      <c r="M444" s="2" t="inlineStr">
        <is>
          <t>91.42%</t>
        </is>
      </c>
      <c r="N444" t="n">
        <v>4.8</v>
      </c>
      <c r="O444" t="n">
        <v>1036</v>
      </c>
      <c r="Q444" t="inlineStr">
        <is>
          <t>InStock</t>
        </is>
      </c>
      <c r="R444" t="inlineStr">
        <is>
          <t>74.95</t>
        </is>
      </c>
      <c r="S444" t="inlineStr">
        <is>
          <t>1509747716</t>
        </is>
      </c>
    </row>
    <row r="445" ht="75" customHeight="1">
      <c r="A445" s="1">
        <f>HYPERLINK("https://www.mountainside-medical.com/collections/veterinary/products/3m-littmann-select-stethoscope-black", "https://www.mountainside-medical.com/collections/veterinary/products/3m-littmann-select-stethoscope-black")</f>
        <v/>
      </c>
      <c r="B445" s="1">
        <f>HYPERLINK("https://www.mountainside-medical.com/products/3m-littmann-select-stethoscope-black", "https://www.mountainside-medical.com/products/3m-littmann-select-stethoscope-black")</f>
        <v/>
      </c>
      <c r="C445" t="inlineStr">
        <is>
          <t>3M Littmann Stethoscope Lightweight II</t>
        </is>
      </c>
      <c r="D445" t="inlineStr">
        <is>
          <t>3M Littmann Stethoscope, Classic II Pediatric, Red Tube, Stainless Steel Chestpiece, 28 inch, 2113R</t>
        </is>
      </c>
      <c r="E445" s="1">
        <f>HYPERLINK("https://www.amazon.com/3M-Littmann-2113R-Pediatric-Stethoscope/dp/B000F4OYDK/ref=sr_1_3?keywords=3M+Littmann+Stethoscope+Lightweight+II&amp;qid=1695764516&amp;sr=8-3", "https://www.amazon.com/3M-Littmann-2113R-Pediatric-Stethoscope/dp/B000F4OYDK/ref=sr_1_3?keywords=3M+Littmann+Stethoscope+Lightweight+II&amp;qid=1695764516&amp;sr=8-3")</f>
        <v/>
      </c>
      <c r="F445" t="inlineStr">
        <is>
          <t>B000F4OYDK</t>
        </is>
      </c>
      <c r="G445">
        <f>_xlfn.IMAGE("https://www.mountainside-medical.com/cdn/shop/products/3M-Littmann-Lightweight-II-Stethoscope.jpg?v=1673534901")</f>
        <v/>
      </c>
      <c r="H445">
        <f>_xlfn.IMAGE("https://m.media-amazon.com/images/I/71yDmI4wuhL._AC_UY218_.jpg")</f>
        <v/>
      </c>
      <c r="K445" t="inlineStr">
        <is>
          <t>59.0</t>
        </is>
      </c>
      <c r="L445" t="n">
        <v>98.79000000000001</v>
      </c>
      <c r="M445" s="2" t="inlineStr">
        <is>
          <t>67.44%</t>
        </is>
      </c>
      <c r="N445" t="n">
        <v>4.7</v>
      </c>
      <c r="O445" t="n">
        <v>223</v>
      </c>
      <c r="Q445" t="inlineStr">
        <is>
          <t>InStock</t>
        </is>
      </c>
      <c r="R445" t="inlineStr">
        <is>
          <t>74.95</t>
        </is>
      </c>
      <c r="S445" t="inlineStr">
        <is>
          <t>1509747716</t>
        </is>
      </c>
    </row>
    <row r="446" ht="75" customHeight="1">
      <c r="A446" s="1">
        <f>HYPERLINK("https://www.mountainside-medical.com/collections/veterinary/products/clorox-citrace-hospital-disinfectant-deodorizer-spray-citrus-14-oz-case", "https://www.mountainside-medical.com/collections/veterinary/products/clorox-citrace-hospital-disinfectant-deodorizer-spray-citrus-14-oz-case")</f>
        <v/>
      </c>
      <c r="B446" s="1">
        <f>HYPERLINK("https://www.mountainside-medical.com/products/clorox-citrace-hospital-disinfectant-deodorizer-spray-citrus-14-oz-case", "https://www.mountainside-medical.com/products/clorox-citrace-hospital-disinfectant-deodorizer-spray-citrus-14-oz-case")</f>
        <v/>
      </c>
      <c r="C446" t="inlineStr">
        <is>
          <t>Clorox Citrace Hospital Disinfectant &amp; Deodorizer Spray Citrus 14 oz</t>
        </is>
      </c>
      <c r="D446" t="inlineStr">
        <is>
          <t>Clorox Healthcare Citrace Hospital Disinfectant &amp; Deodorizer, Citrus, 14Oz Aerosol, 12/Carton</t>
        </is>
      </c>
      <c r="E446" s="1">
        <f>HYPERLINK("https://www.amazon.com/Clorox-Healthcare-Hospital-Disinfectant-Deodorizer/dp/B07K4WQS9G/ref=sr_1_2?keywords=Clorox+Citrace+Hospital+Disinfectant&amp;qid=1695764513&amp;sr=8-2", "https://www.amazon.com/Clorox-Healthcare-Hospital-Disinfectant-Deodorizer/dp/B07K4WQS9G/ref=sr_1_2?keywords=Clorox+Citrace+Hospital+Disinfectant&amp;qid=1695764513&amp;sr=8-2")</f>
        <v/>
      </c>
      <c r="F446" t="inlineStr">
        <is>
          <t>B07K4WQS9G</t>
        </is>
      </c>
      <c r="G446">
        <f>_xlfn.IMAGE("https://www.mountainside-medical.com/cdn/shop/products/clorox-citrace-hospital-disinfectant-and-deodorizer-spray-citrus-14-oz.jpeg?v=1600354823")</f>
        <v/>
      </c>
      <c r="H446">
        <f>_xlfn.IMAGE("https://m.media-amazon.com/images/I/51jyuwyqKHL._AC_UY218_.jpg")</f>
        <v/>
      </c>
      <c r="K446" t="inlineStr">
        <is>
          <t>11.95</t>
        </is>
      </c>
      <c r="L446" t="n">
        <v>93.7</v>
      </c>
      <c r="M446" s="2" t="inlineStr">
        <is>
          <t>684.10%</t>
        </is>
      </c>
      <c r="N446" t="n">
        <v>4.5</v>
      </c>
      <c r="O446" t="n">
        <v>54</v>
      </c>
      <c r="Q446" t="inlineStr">
        <is>
          <t>InStock</t>
        </is>
      </c>
      <c r="R446" t="inlineStr">
        <is>
          <t>13.95</t>
        </is>
      </c>
      <c r="S446" t="inlineStr">
        <is>
          <t>1595014532</t>
        </is>
      </c>
    </row>
    <row r="447" ht="75" customHeight="1">
      <c r="A447" s="1">
        <f>HYPERLINK("https://www.mountainside-medical.com/collections/veterinary/products/clorox-citrace-hospital-disinfectant-deodorizer-spray-citrus-14-oz-case", "https://www.mountainside-medical.com/collections/veterinary/products/clorox-citrace-hospital-disinfectant-deodorizer-spray-citrus-14-oz-case")</f>
        <v/>
      </c>
      <c r="B447" s="1">
        <f>HYPERLINK("https://www.mountainside-medical.com/products/clorox-citrace-hospital-disinfectant-deodorizer-spray-citrus-14-oz-case", "https://www.mountainside-medical.com/products/clorox-citrace-hospital-disinfectant-deodorizer-spray-citrus-14-oz-case")</f>
        <v/>
      </c>
      <c r="C447" t="inlineStr">
        <is>
          <t>Clorox Citrace Hospital Disinfectant &amp; Deodorizer Spray Citrus 14 oz</t>
        </is>
      </c>
      <c r="D447" t="inlineStr">
        <is>
          <t>Citrace Hospital Disinfectant &amp;amp; Deodorizer, Citrus, 14oz Aerosol, 12/Carton</t>
        </is>
      </c>
      <c r="E447" s="1">
        <f>HYPERLINK("https://www.amazon.com/Clorox-Professional-Caltech-Pressurized-Disinfectant/dp/B006OVS9GG/ref=sr_1_3?keywords=Clorox+Citrace+Hospital+Disinfectant&amp;qid=1695764513&amp;sr=8-3", "https://www.amazon.com/Clorox-Professional-Caltech-Pressurized-Disinfectant/dp/B006OVS9GG/ref=sr_1_3?keywords=Clorox+Citrace+Hospital+Disinfectant&amp;qid=1695764513&amp;sr=8-3")</f>
        <v/>
      </c>
      <c r="F447" t="inlineStr">
        <is>
          <t>B006OVS9GG</t>
        </is>
      </c>
      <c r="G447">
        <f>_xlfn.IMAGE("https://www.mountainside-medical.com/cdn/shop/products/clorox-citrace-hospital-disinfectant-and-deodorizer-spray-citrus-14-oz.jpeg?v=1600354823")</f>
        <v/>
      </c>
      <c r="H447">
        <f>_xlfn.IMAGE("https://m.media-amazon.com/images/I/51jyuwyqKHL._AC_UY218_.jpg")</f>
        <v/>
      </c>
      <c r="K447" t="inlineStr">
        <is>
          <t>11.95</t>
        </is>
      </c>
      <c r="L447" t="n">
        <v>93.7</v>
      </c>
      <c r="M447" s="2" t="inlineStr">
        <is>
          <t>684.10%</t>
        </is>
      </c>
      <c r="N447" t="n">
        <v>4.2</v>
      </c>
      <c r="O447" t="n">
        <v>7</v>
      </c>
      <c r="Q447" t="inlineStr">
        <is>
          <t>InStock</t>
        </is>
      </c>
      <c r="R447" t="inlineStr">
        <is>
          <t>13.95</t>
        </is>
      </c>
      <c r="S447" t="inlineStr">
        <is>
          <t>1595014532</t>
        </is>
      </c>
    </row>
    <row r="448" ht="75" customHeight="1">
      <c r="A448" s="1">
        <f>HYPERLINK("https://www.mountainside-medical.com/collections/veterinary/products/kemp-wool-emergency-blanket-with-80-real-wool", "https://www.mountainside-medical.com/collections/veterinary/products/kemp-wool-emergency-blanket-with-80-real-wool")</f>
        <v/>
      </c>
      <c r="B448" s="1">
        <f>HYPERLINK("https://www.mountainside-medical.com/products/kemp-wool-emergency-blanket-with-80-real-wool", "https://www.mountainside-medical.com/products/kemp-wool-emergency-blanket-with-80-real-wool")</f>
        <v/>
      </c>
      <c r="C448" t="inlineStr">
        <is>
          <t>Kemp Wool Emergency Blanket with 80% Real Wool</t>
        </is>
      </c>
      <c r="D448" t="inlineStr">
        <is>
          <t>EPG Extra Large Wool Blanket with Zippered Bag | Warm, Comfortable, Stylish, Military | XL Queen/King - 72 x 92 in, 80% Wool, 5.35 lbs | Camping, Outdoor, Bedding, Emergency, Survival, Cabin, RV</t>
        </is>
      </c>
      <c r="E448" s="1">
        <f>HYPERLINK("https://www.amazon.com/Blanket-Zippered-Comfortable-Stylish-Military/dp/B09RDJ28C5/ref=sr_1_10?keywords=Kemp+Wool+Emergency+Blanket+with+80%25+Real+Wool&amp;qid=1695764512&amp;sr=8-10", "https://www.amazon.com/Blanket-Zippered-Comfortable-Stylish-Military/dp/B09RDJ28C5/ref=sr_1_10?keywords=Kemp+Wool+Emergency+Blanket+with+80%25+Real+Wool&amp;qid=1695764512&amp;sr=8-10")</f>
        <v/>
      </c>
      <c r="F448" t="inlineStr">
        <is>
          <t>B09RDJ28C5</t>
        </is>
      </c>
      <c r="G448">
        <f>_xlfn.IMAGE("https://www.mountainside-medical.com/cdn/shop/products/wool-emergency-blanket-grey-eighty-pecent-real-wool__42298.jpeg?v=1600366494")</f>
        <v/>
      </c>
      <c r="H448">
        <f>_xlfn.IMAGE("https://m.media-amazon.com/images/I/71-qcSZJ0rL._AC_UL320_.jpg")</f>
        <v/>
      </c>
      <c r="K448" t="inlineStr">
        <is>
          <t>29.0</t>
        </is>
      </c>
      <c r="L448" t="n">
        <v>52.95</v>
      </c>
      <c r="M448" s="2" t="inlineStr">
        <is>
          <t>82.59%</t>
        </is>
      </c>
      <c r="N448" t="n">
        <v>4.5</v>
      </c>
      <c r="O448" t="n">
        <v>41</v>
      </c>
      <c r="Q448" t="inlineStr">
        <is>
          <t>InStock</t>
        </is>
      </c>
      <c r="R448" t="inlineStr">
        <is>
          <t>undefined</t>
        </is>
      </c>
      <c r="S448" t="inlineStr">
        <is>
          <t>1594489668</t>
        </is>
      </c>
    </row>
    <row r="449" ht="75" customHeight="1">
      <c r="A449" s="1">
        <f>HYPERLINK("https://www.mountainside-medical.com/collections/veterinary/products/red-z-spill-control-solidifier-shaker-bottle-15-oz", "https://www.mountainside-medical.com/collections/veterinary/products/red-z-spill-control-solidifier-shaker-bottle-15-oz")</f>
        <v/>
      </c>
      <c r="B449" s="1">
        <f>HYPERLINK("https://www.mountainside-medical.com/products/red-z-spill-control-solidifier-shaker-bottle-15-oz", "https://www.mountainside-medical.com/products/red-z-spill-control-solidifier-shaker-bottle-15-oz")</f>
        <v/>
      </c>
      <c r="C449" t="inlineStr">
        <is>
          <t>Red Z Spill Control Solidifier Shaker Bottle 5 oz</t>
        </is>
      </c>
      <c r="D449" t="inlineStr">
        <is>
          <t>Safetec Red Z Spill Control Solidifier, 15 oz. shaker top bottle (12 bottles/case)</t>
        </is>
      </c>
      <c r="E449" s="1">
        <f>HYPERLINK("https://www.amazon.com/Safetec-Control-Solidifier-Shaker-Bottles/dp/B07JCM8ZGP/ref=sr_1_3?keywords=Red+Z+Spill+Control+Solidifier+Shaker+Bottle+5+oz&amp;qid=1695764515&amp;sr=8-3", "https://www.amazon.com/Safetec-Control-Solidifier-Shaker-Bottles/dp/B07JCM8ZGP/ref=sr_1_3?keywords=Red+Z+Spill+Control+Solidifier+Shaker+Bottle+5+oz&amp;qid=1695764515&amp;sr=8-3")</f>
        <v/>
      </c>
      <c r="F449" t="inlineStr">
        <is>
          <t>B07JCM8ZGP</t>
        </is>
      </c>
      <c r="G449">
        <f>_xlfn.IMAGE("https://www.mountainside-medical.com/cdn/shop/products/red-z-spill-control-solidifier-shaker-bottle__97553.jpeg?v=1600377217")</f>
        <v/>
      </c>
      <c r="H449">
        <f>_xlfn.IMAGE("https://m.media-amazon.com/images/I/31X-JUjoW+L._AC_UL320_.jpg")</f>
        <v/>
      </c>
      <c r="K449" t="inlineStr">
        <is>
          <t>6.0</t>
        </is>
      </c>
      <c r="L449" t="n">
        <v>200.28</v>
      </c>
      <c r="M449" s="2" t="inlineStr">
        <is>
          <t>3238.00%</t>
        </is>
      </c>
      <c r="N449" t="n">
        <v>5</v>
      </c>
      <c r="O449" t="n">
        <v>1</v>
      </c>
      <c r="Q449" t="inlineStr">
        <is>
          <t>InStock</t>
        </is>
      </c>
      <c r="R449" t="inlineStr">
        <is>
          <t>undefined</t>
        </is>
      </c>
      <c r="S449" t="inlineStr">
        <is>
          <t>1509319044</t>
        </is>
      </c>
    </row>
    <row r="450" ht="75" customHeight="1">
      <c r="A450" s="1">
        <f>HYPERLINK("https://www.mountainside-medical.com/collections/veterinary/products/red-z-spill-control-solidifier-shaker-bottle-15-oz", "https://www.mountainside-medical.com/collections/veterinary/products/red-z-spill-control-solidifier-shaker-bottle-15-oz")</f>
        <v/>
      </c>
      <c r="B450" s="1">
        <f>HYPERLINK("https://www.mountainside-medical.com/products/red-z-spill-control-solidifier-shaker-bottle-15-oz", "https://www.mountainside-medical.com/products/red-z-spill-control-solidifier-shaker-bottle-15-oz")</f>
        <v/>
      </c>
      <c r="C450" t="inlineStr">
        <is>
          <t>Red Z Spill Control Solidifier Shaker Bottle 5 oz</t>
        </is>
      </c>
      <c r="D450" t="inlineStr">
        <is>
          <t>Safetec Red Z, 5 oz. Spill Control Solidifier, Shaker top Bottle (24/case)</t>
        </is>
      </c>
      <c r="E450" s="1">
        <f>HYPERLINK("https://www.amazon.com/Safetec-Control-Solidifier-Shaker-Bottle/dp/B000NRHNUA/ref=sr_1_4?keywords=Red+Z+Spill+Control+Solidifier+Shaker+Bottle+5+oz&amp;qid=1695764515&amp;sr=8-4", "https://www.amazon.com/Safetec-Control-Solidifier-Shaker-Bottle/dp/B000NRHNUA/ref=sr_1_4?keywords=Red+Z+Spill+Control+Solidifier+Shaker+Bottle+5+oz&amp;qid=1695764515&amp;sr=8-4")</f>
        <v/>
      </c>
      <c r="F450" t="inlineStr">
        <is>
          <t>B000NRHNUA</t>
        </is>
      </c>
      <c r="G450">
        <f>_xlfn.IMAGE("https://www.mountainside-medical.com/cdn/shop/products/red-z-spill-control-solidifier-shaker-bottle__97553.jpeg?v=1600377217")</f>
        <v/>
      </c>
      <c r="H450">
        <f>_xlfn.IMAGE("https://m.media-amazon.com/images/I/71qotNgwKBL._AC_UL320_.jpg")</f>
        <v/>
      </c>
      <c r="K450" t="inlineStr">
        <is>
          <t>6.0</t>
        </is>
      </c>
      <c r="L450" t="n">
        <v>198</v>
      </c>
      <c r="M450" s="2" t="inlineStr">
        <is>
          <t>3200.00%</t>
        </is>
      </c>
      <c r="N450" t="n">
        <v>5</v>
      </c>
      <c r="O450" t="n">
        <v>3</v>
      </c>
      <c r="Q450" t="inlineStr">
        <is>
          <t>InStock</t>
        </is>
      </c>
      <c r="R450" t="inlineStr">
        <is>
          <t>undefined</t>
        </is>
      </c>
      <c r="S450" t="inlineStr">
        <is>
          <t>1509319044</t>
        </is>
      </c>
    </row>
    <row r="451" ht="75" customHeight="1">
      <c r="A451" s="1">
        <f>HYPERLINK("https://www.mountainside-medical.com/collections/veterinary/products/red-z-spill-control-solidifier-shaker-bottle-15-oz", "https://www.mountainside-medical.com/collections/veterinary/products/red-z-spill-control-solidifier-shaker-bottle-15-oz")</f>
        <v/>
      </c>
      <c r="B451" s="1">
        <f>HYPERLINK("https://www.mountainside-medical.com/products/red-z-spill-control-solidifier-shaker-bottle-15-oz", "https://www.mountainside-medical.com/products/red-z-spill-control-solidifier-shaker-bottle-15-oz")</f>
        <v/>
      </c>
      <c r="C451" t="inlineStr">
        <is>
          <t>Red Z Spill Control Solidifier Shaker Bottle 5 oz</t>
        </is>
      </c>
      <c r="D451" t="inlineStr">
        <is>
          <t>Safetec 262031 Red Z Fluid Control Solidifier, 15 oz Shaker Top Bottle</t>
        </is>
      </c>
      <c r="E451" s="1">
        <f>HYPERLINK("https://www.amazon.com/Fluid-Control-Solidifier-Shaker-Bottle/dp/B07JNCHW69/ref=sr_1_10?keywords=Red+Z+Spill+Control+Solidifier+Shaker+Bottle+5+oz&amp;qid=1695764515&amp;sr=8-10", "https://www.amazon.com/Fluid-Control-Solidifier-Shaker-Bottle/dp/B07JNCHW69/ref=sr_1_10?keywords=Red+Z+Spill+Control+Solidifier+Shaker+Bottle+5+oz&amp;qid=1695764515&amp;sr=8-10")</f>
        <v/>
      </c>
      <c r="F451" t="inlineStr">
        <is>
          <t>B07JNCHW69</t>
        </is>
      </c>
      <c r="G451">
        <f>_xlfn.IMAGE("https://www.mountainside-medical.com/cdn/shop/products/red-z-spill-control-solidifier-shaker-bottle__97553.jpeg?v=1600377217")</f>
        <v/>
      </c>
      <c r="H451">
        <f>_xlfn.IMAGE("https://m.media-amazon.com/images/I/611Gxgvn9LL._AC_UL320_.jpg")</f>
        <v/>
      </c>
      <c r="K451" t="inlineStr">
        <is>
          <t>6.0</t>
        </is>
      </c>
      <c r="L451" t="n">
        <v>21.09</v>
      </c>
      <c r="M451" s="2" t="inlineStr">
        <is>
          <t>251.50%</t>
        </is>
      </c>
      <c r="N451" t="n">
        <v>4.3</v>
      </c>
      <c r="O451" t="n">
        <v>16</v>
      </c>
      <c r="Q451" t="inlineStr">
        <is>
          <t>InStock</t>
        </is>
      </c>
      <c r="R451" t="inlineStr">
        <is>
          <t>undefined</t>
        </is>
      </c>
      <c r="S451" t="inlineStr">
        <is>
          <t>1509319044</t>
        </is>
      </c>
    </row>
    <row r="452" ht="75" customHeight="1">
      <c r="A452" s="1">
        <f>HYPERLINK("https://www.mountainside-medical.com/collections/veterinary/products/red-z-spill-control-solidifier-shaker-bottle-15-oz", "https://www.mountainside-medical.com/collections/veterinary/products/red-z-spill-control-solidifier-shaker-bottle-15-oz")</f>
        <v/>
      </c>
      <c r="B452" s="1">
        <f>HYPERLINK("https://www.mountainside-medical.com/products/red-z-spill-control-solidifier-shaker-bottle-15-oz", "https://www.mountainside-medical.com/products/red-z-spill-control-solidifier-shaker-bottle-15-oz")</f>
        <v/>
      </c>
      <c r="C452" t="inlineStr">
        <is>
          <t>Red Z Spill Control Solidifier Shaker Bottle 5 oz</t>
        </is>
      </c>
      <c r="D452" t="inlineStr">
        <is>
          <t>Safetec 41103 Red Z Spill Control Solidifier, 15 oz. Flip-Top Shaker, Plastic Bottle</t>
        </is>
      </c>
      <c r="E452" s="1">
        <f>HYPERLINK("https://www.amazon.com/Safetec-41103-Control-Solidifier-Flip-Top/dp/B002ZFR78G/ref=sr_1_8?keywords=Red+Z+Spill+Control+Solidifier+Shaker+Bottle+5+oz&amp;qid=1695764515&amp;sr=8-8", "https://www.amazon.com/Safetec-41103-Control-Solidifier-Flip-Top/dp/B002ZFR78G/ref=sr_1_8?keywords=Red+Z+Spill+Control+Solidifier+Shaker+Bottle+5+oz&amp;qid=1695764515&amp;sr=8-8")</f>
        <v/>
      </c>
      <c r="F452" t="inlineStr">
        <is>
          <t>B002ZFR78G</t>
        </is>
      </c>
      <c r="G452">
        <f>_xlfn.IMAGE("https://www.mountainside-medical.com/cdn/shop/products/red-z-spill-control-solidifier-shaker-bottle__97553.jpeg?v=1600377217")</f>
        <v/>
      </c>
      <c r="H452">
        <f>_xlfn.IMAGE("https://m.media-amazon.com/images/I/31X-JUjoW+L._AC_UL320_.jpg")</f>
        <v/>
      </c>
      <c r="K452" t="inlineStr">
        <is>
          <t>6.0</t>
        </is>
      </c>
      <c r="L452" t="n">
        <v>18.99</v>
      </c>
      <c r="M452" s="2" t="inlineStr">
        <is>
          <t>216.50%</t>
        </is>
      </c>
      <c r="N452" t="n">
        <v>4.7</v>
      </c>
      <c r="O452" t="n">
        <v>16</v>
      </c>
      <c r="Q452" t="inlineStr">
        <is>
          <t>InStock</t>
        </is>
      </c>
      <c r="R452" t="inlineStr">
        <is>
          <t>undefined</t>
        </is>
      </c>
      <c r="S452" t="inlineStr">
        <is>
          <t>1509319044</t>
        </is>
      </c>
    </row>
    <row r="453" ht="75" customHeight="1">
      <c r="A453" s="1">
        <f>HYPERLINK("https://www.mountainside-medical.com/collections/veterinary/products/red-z-spill-control-solidifier-shaker-bottle-15-oz", "https://www.mountainside-medical.com/collections/veterinary/products/red-z-spill-control-solidifier-shaker-bottle-15-oz")</f>
        <v/>
      </c>
      <c r="B453" s="1">
        <f>HYPERLINK("https://www.mountainside-medical.com/products/red-z-spill-control-solidifier-shaker-bottle-15-oz", "https://www.mountainside-medical.com/products/red-z-spill-control-solidifier-shaker-bottle-15-oz")</f>
        <v/>
      </c>
      <c r="C453" t="inlineStr">
        <is>
          <t>Red Z Spill Control Solidifier Shaker Bottle 5 oz</t>
        </is>
      </c>
      <c r="D453" t="inlineStr">
        <is>
          <t>Red Z Spill Control Solidifier 5oz. Shaker Top Bottle</t>
        </is>
      </c>
      <c r="E453" s="1">
        <f>HYPERLINK("https://www.amazon.com/Safetec-Control-Solidifier-Shaker-Bottle/dp/B002CTEDS2/ref=sr_1_2?keywords=Red+Z+Spill+Control+Solidifier+Shaker+Bottle+5+oz&amp;qid=1695764515&amp;sr=8-2", "https://www.amazon.com/Safetec-Control-Solidifier-Shaker-Bottle/dp/B002CTEDS2/ref=sr_1_2?keywords=Red+Z+Spill+Control+Solidifier+Shaker+Bottle+5+oz&amp;qid=1695764515&amp;sr=8-2")</f>
        <v/>
      </c>
      <c r="F453" t="inlineStr">
        <is>
          <t>B002CTEDS2</t>
        </is>
      </c>
      <c r="G453">
        <f>_xlfn.IMAGE("https://www.mountainside-medical.com/cdn/shop/products/red-z-spill-control-solidifier-shaker-bottle__97553.jpeg?v=1600377217")</f>
        <v/>
      </c>
      <c r="H453">
        <f>_xlfn.IMAGE("https://m.media-amazon.com/images/I/71YKiBoiLtL._AC_UL320_.jpg")</f>
        <v/>
      </c>
      <c r="K453" t="inlineStr">
        <is>
          <t>6.0</t>
        </is>
      </c>
      <c r="L453" t="n">
        <v>15.76</v>
      </c>
      <c r="M453" s="2" t="inlineStr">
        <is>
          <t>162.67%</t>
        </is>
      </c>
      <c r="N453" t="n">
        <v>4</v>
      </c>
      <c r="O453" t="n">
        <v>15</v>
      </c>
      <c r="Q453" t="inlineStr">
        <is>
          <t>InStock</t>
        </is>
      </c>
      <c r="R453" t="inlineStr">
        <is>
          <t>undefined</t>
        </is>
      </c>
      <c r="S453" t="inlineStr">
        <is>
          <t>1509319044</t>
        </is>
      </c>
    </row>
    <row r="454" ht="75" customHeight="1">
      <c r="A454" s="1">
        <f>HYPERLINK("https://www.mountainside-medical.com/collections/veterinary/products/super-sani-cloth-germicidal-disposable-wipes", "https://www.mountainside-medical.com/collections/veterinary/products/super-sani-cloth-germicidal-disposable-wipes")</f>
        <v/>
      </c>
      <c r="B454" s="1">
        <f>HYPERLINK("https://www.mountainside-medical.com/products/super-sani-cloth-germicidal-disposable-wipes", "https://www.mountainside-medical.com/products/super-sani-cloth-germicidal-disposable-wipes")</f>
        <v/>
      </c>
      <c r="C454" t="inlineStr">
        <is>
          <t>Super Sani Cloth Germicidal Disposable Wipes</t>
        </is>
      </c>
      <c r="D454" t="inlineStr">
        <is>
          <t>PDI Q55172 Super Sani Cloth Germicidal Disinfecting Wipes, Large 6" x 6-3/4", 160 Wipes (Case of 12 Canisters)</t>
        </is>
      </c>
      <c r="E454" s="1">
        <f>HYPERLINK("https://www.amazon.com/PDI-Q55172-Germicidal-Disinfecting-Canisters/dp/B01M59DHRX/ref=sr_1_6?keywords=Super+Sani+Cloth+Germicidal+Disposable+Wipes&amp;qid=1695764513&amp;sr=8-6", "https://www.amazon.com/PDI-Q55172-Germicidal-Disinfecting-Canisters/dp/B01M59DHRX/ref=sr_1_6?keywords=Super+Sani+Cloth+Germicidal+Disposable+Wipes&amp;qid=1695764513&amp;sr=8-6")</f>
        <v/>
      </c>
      <c r="F454" t="inlineStr">
        <is>
          <t>B01M59DHRX</t>
        </is>
      </c>
      <c r="G454">
        <f>_xlfn.IMAGE("https://www.mountainside-medical.com/cdn/shop/products/super-sani-cloth-wipes.jpeg?v=1600381958")</f>
        <v/>
      </c>
      <c r="H454">
        <f>_xlfn.IMAGE("https://m.media-amazon.com/images/I/71GnS4ZiW3L._AC_UL320_.jpg")</f>
        <v/>
      </c>
      <c r="K454" t="inlineStr">
        <is>
          <t>8.99</t>
        </is>
      </c>
      <c r="L454" t="n">
        <v>95.98999999999999</v>
      </c>
      <c r="M454" s="2" t="inlineStr">
        <is>
          <t>967.74%</t>
        </is>
      </c>
      <c r="N454" t="n">
        <v>5</v>
      </c>
      <c r="O454" t="n">
        <v>3</v>
      </c>
      <c r="Q454" t="inlineStr">
        <is>
          <t>InStock</t>
        </is>
      </c>
      <c r="R454" t="inlineStr">
        <is>
          <t>undefined</t>
        </is>
      </c>
      <c r="S454" t="inlineStr">
        <is>
          <t>1594610372</t>
        </is>
      </c>
    </row>
    <row r="455" ht="75" customHeight="1">
      <c r="A455" s="1">
        <f>HYPERLINK("https://www.mountainside-medical.com/collections/veterinary/products/super-sani-cloth-germicidal-disposable-wipes", "https://www.mountainside-medical.com/collections/veterinary/products/super-sani-cloth-germicidal-disposable-wipes")</f>
        <v/>
      </c>
      <c r="B455" s="1">
        <f>HYPERLINK("https://www.mountainside-medical.com/products/super-sani-cloth-germicidal-disposable-wipes", "https://www.mountainside-medical.com/products/super-sani-cloth-germicidal-disposable-wipes")</f>
        <v/>
      </c>
      <c r="C455" t="inlineStr">
        <is>
          <t>Super Sani Cloth Germicidal Disposable Wipes</t>
        </is>
      </c>
      <c r="D455" t="inlineStr">
        <is>
          <t>Q55172 Super Sani Cloth Germicidal Disinfecting Wipes, Large 6" x 6-3/4", 160 Wipes (Case of 12 Canisters)</t>
        </is>
      </c>
      <c r="E455" s="1">
        <f>HYPERLINK("https://www.amazon.com/Super-Sani-Cloth-Germicidal-Disinfecting/dp/B07PXHMQ73/ref=sr_1_3?keywords=Super+Sani+Cloth+Germicidal+Disposable+Wipes&amp;qid=1695764513&amp;sr=8-3", "https://www.amazon.com/Super-Sani-Cloth-Germicidal-Disinfecting/dp/B07PXHMQ73/ref=sr_1_3?keywords=Super+Sani+Cloth+Germicidal+Disposable+Wipes&amp;qid=1695764513&amp;sr=8-3")</f>
        <v/>
      </c>
      <c r="F455" t="inlineStr">
        <is>
          <t>B07PXHMQ73</t>
        </is>
      </c>
      <c r="G455">
        <f>_xlfn.IMAGE("https://www.mountainside-medical.com/cdn/shop/products/super-sani-cloth-wipes.jpeg?v=1600381958")</f>
        <v/>
      </c>
      <c r="H455">
        <f>_xlfn.IMAGE("https://m.media-amazon.com/images/I/71sWhC0tvML._AC_UL320_.jpg")</f>
        <v/>
      </c>
      <c r="K455" t="inlineStr">
        <is>
          <t>8.99</t>
        </is>
      </c>
      <c r="L455" t="n">
        <v>91.84</v>
      </c>
      <c r="M455" s="2" t="inlineStr">
        <is>
          <t>921.58%</t>
        </is>
      </c>
      <c r="N455" t="n">
        <v>4.8</v>
      </c>
      <c r="O455" t="n">
        <v>92</v>
      </c>
      <c r="Q455" t="inlineStr">
        <is>
          <t>InStock</t>
        </is>
      </c>
      <c r="R455" t="inlineStr">
        <is>
          <t>undefined</t>
        </is>
      </c>
      <c r="S455" t="inlineStr">
        <is>
          <t>1594610372</t>
        </is>
      </c>
    </row>
    <row r="456" ht="75" customHeight="1">
      <c r="A456" s="1">
        <f>HYPERLINK("https://www.mountainside-medical.com/collections/veterinary/products/super-sani-cloth-germicidal-disposable-wipes", "https://www.mountainside-medical.com/collections/veterinary/products/super-sani-cloth-germicidal-disposable-wipes")</f>
        <v/>
      </c>
      <c r="B456" s="1">
        <f>HYPERLINK("https://www.mountainside-medical.com/products/super-sani-cloth-germicidal-disposable-wipes", "https://www.mountainside-medical.com/products/super-sani-cloth-germicidal-disposable-wipes")</f>
        <v/>
      </c>
      <c r="C456" t="inlineStr">
        <is>
          <t>Super Sani Cloth Germicidal Disposable Wipes</t>
        </is>
      </c>
      <c r="D456" t="inlineStr">
        <is>
          <t>PDI Super SANI Cloth GERMICIDAL Disposable Wipes Super Sani Cloth Large Wipes, Individual, 50/bx</t>
        </is>
      </c>
      <c r="E456" s="1">
        <f>HYPERLINK("https://www.amazon.com/PDI-SUPER-GERMICIDAL-DISPOSABLE-Individual/dp/B000SY37SA/ref=sr_1_4?keywords=Super+Sani+Cloth+Germicidal+Disposable+Wipes&amp;qid=1695764513&amp;sr=8-4", "https://www.amazon.com/PDI-SUPER-GERMICIDAL-DISPOSABLE-Individual/dp/B000SY37SA/ref=sr_1_4?keywords=Super+Sani+Cloth+Germicidal+Disposable+Wipes&amp;qid=1695764513&amp;sr=8-4")</f>
        <v/>
      </c>
      <c r="F456" t="inlineStr">
        <is>
          <t>B000SY37SA</t>
        </is>
      </c>
      <c r="G456">
        <f>_xlfn.IMAGE("https://www.mountainside-medical.com/cdn/shop/products/super-sani-cloth-wipes.jpeg?v=1600381958")</f>
        <v/>
      </c>
      <c r="H456">
        <f>_xlfn.IMAGE("https://m.media-amazon.com/images/I/71NJqeAyvbL._AC_UL320_.jpg")</f>
        <v/>
      </c>
      <c r="K456" t="inlineStr">
        <is>
          <t>8.99</t>
        </is>
      </c>
      <c r="L456" t="n">
        <v>19.95</v>
      </c>
      <c r="M456" s="2" t="inlineStr">
        <is>
          <t>121.91%</t>
        </is>
      </c>
      <c r="N456" t="n">
        <v>4.7</v>
      </c>
      <c r="O456" t="n">
        <v>191</v>
      </c>
      <c r="Q456" t="inlineStr">
        <is>
          <t>InStock</t>
        </is>
      </c>
      <c r="R456" t="inlineStr">
        <is>
          <t>undefined</t>
        </is>
      </c>
      <c r="S456" t="inlineStr">
        <is>
          <t>1594610372</t>
        </is>
      </c>
    </row>
    <row r="457" ht="75" customHeight="1">
      <c r="A457" s="1">
        <f>HYPERLINK("https://www.mountainside-medical.com/collections/veterinary/products/super-sani-cloth-germicidal-disposable-wipes", "https://www.mountainside-medical.com/collections/veterinary/products/super-sani-cloth-germicidal-disposable-wipes")</f>
        <v/>
      </c>
      <c r="B457" s="1">
        <f>HYPERLINK("https://www.mountainside-medical.com/products/super-sani-cloth-germicidal-disposable-wipes", "https://www.mountainside-medical.com/products/super-sani-cloth-germicidal-disposable-wipes")</f>
        <v/>
      </c>
      <c r="C457" t="inlineStr">
        <is>
          <t>Super Sani Cloth Germicidal Disposable Wipes</t>
        </is>
      </c>
      <c r="D457" t="inlineStr">
        <is>
          <t>PDI PYP13872 - Sani-Cloth AF3 Germicidal Disposable Wipes, Large</t>
        </is>
      </c>
      <c r="E457" s="1">
        <f>HYPERLINK("https://www.amazon.com/PYP13872-Sani-Cloth-Germicidal-Disposable-Wipes/dp/B00VS18MUU/ref=sr_1_9?keywords=Super+Sani+Cloth+Germicidal+Disposable+Wipes&amp;qid=1695764513&amp;sr=8-9", "https://www.amazon.com/PYP13872-Sani-Cloth-Germicidal-Disposable-Wipes/dp/B00VS18MUU/ref=sr_1_9?keywords=Super+Sani+Cloth+Germicidal+Disposable+Wipes&amp;qid=1695764513&amp;sr=8-9")</f>
        <v/>
      </c>
      <c r="F457" t="inlineStr">
        <is>
          <t>B00VS18MUU</t>
        </is>
      </c>
      <c r="G457">
        <f>_xlfn.IMAGE("https://www.mountainside-medical.com/cdn/shop/products/super-sani-cloth-wipes.jpeg?v=1600381958")</f>
        <v/>
      </c>
      <c r="H457">
        <f>_xlfn.IMAGE("https://m.media-amazon.com/images/I/61yupHrIFVL._AC_UL320_.jpg")</f>
        <v/>
      </c>
      <c r="K457" t="inlineStr">
        <is>
          <t>8.99</t>
        </is>
      </c>
      <c r="L457" t="n">
        <v>16.72</v>
      </c>
      <c r="M457" s="2" t="inlineStr">
        <is>
          <t>85.98%</t>
        </is>
      </c>
      <c r="N457" t="n">
        <v>4.4</v>
      </c>
      <c r="O457" t="n">
        <v>96</v>
      </c>
      <c r="Q457" t="inlineStr">
        <is>
          <t>InStock</t>
        </is>
      </c>
      <c r="R457" t="inlineStr">
        <is>
          <t>undefined</t>
        </is>
      </c>
      <c r="S457" t="inlineStr">
        <is>
          <t>1594610372</t>
        </is>
      </c>
    </row>
    <row r="458" ht="75" customHeight="1">
      <c r="A458" s="1">
        <f>HYPERLINK("https://www.mountainside-medical.com/collections/veterinary/products/twin-blade-razors-blue-100-box", "https://www.mountainside-medical.com/collections/veterinary/products/twin-blade-razors-blue-100-box")</f>
        <v/>
      </c>
      <c r="B458" s="1">
        <f>HYPERLINK("https://www.mountainside-medical.com/products/twin-blade-razors-blue-100-box", "https://www.mountainside-medical.com/products/twin-blade-razors-blue-100-box")</f>
        <v/>
      </c>
      <c r="C458" t="inlineStr">
        <is>
          <t>Twin-Blade Disposable Razors, Blue 100/Box</t>
        </is>
      </c>
      <c r="D458" t="inlineStr">
        <is>
          <t>100 Box of Pink Razor Blades Disposable Stainless Steel Hospitality Quality Shavers High End Twin Blade Razors for Men and Women with Aloe Vera Lubrication Strip</t>
        </is>
      </c>
      <c r="E458" s="1">
        <f>HYPERLINK("https://www.amazon.com/Disposable-Stainless-Hospitality-Quality-Lubrication/dp/B0973L1G7V/ref=sr_1_9?keywords=Twin-Blade+Disposable+Razors%2C+Blue+100%2FBox&amp;qid=1695764513&amp;sr=8-9", "https://www.amazon.com/Disposable-Stainless-Hospitality-Quality-Lubrication/dp/B0973L1G7V/ref=sr_1_9?keywords=Twin-Blade+Disposable+Razors%2C+Blue+100%2FBox&amp;qid=1695764513&amp;sr=8-9")</f>
        <v/>
      </c>
      <c r="F458" t="inlineStr">
        <is>
          <t>B0973L1G7V</t>
        </is>
      </c>
      <c r="G458">
        <f>_xlfn.IMAGE("https://www.mountainside-medical.com/cdn/shop/products/disposable_razor-twin_blade__03839_686efd3b-bba5-406d-a869-d146f3a83eb3.jpeg?v=1600384114")</f>
        <v/>
      </c>
      <c r="H458">
        <f>_xlfn.IMAGE("https://m.media-amazon.com/images/I/81l4uziPG1L._AC_UL320_.jpg")</f>
        <v/>
      </c>
      <c r="K458" t="inlineStr">
        <is>
          <t>9.99</t>
        </is>
      </c>
      <c r="L458" t="n">
        <v>49.99</v>
      </c>
      <c r="M458" s="2" t="inlineStr">
        <is>
          <t>400.40%</t>
        </is>
      </c>
      <c r="N458" t="n">
        <v>5</v>
      </c>
      <c r="O458" t="n">
        <v>7</v>
      </c>
      <c r="Q458" t="inlineStr">
        <is>
          <t>InStock</t>
        </is>
      </c>
      <c r="R458" t="inlineStr">
        <is>
          <t>15.95</t>
        </is>
      </c>
      <c r="S458" t="inlineStr">
        <is>
          <t>1593794564</t>
        </is>
      </c>
    </row>
    <row r="459" ht="75" customHeight="1">
      <c r="A459" s="1">
        <f>HYPERLINK("https://www.mountainside-medical.com/collections/veterinary/products/twin-blade-razors-blue-100-box", "https://www.mountainside-medical.com/collections/veterinary/products/twin-blade-razors-blue-100-box")</f>
        <v/>
      </c>
      <c r="B459" s="1">
        <f>HYPERLINK("https://www.mountainside-medical.com/products/twin-blade-razors-blue-100-box", "https://www.mountainside-medical.com/products/twin-blade-razors-blue-100-box")</f>
        <v/>
      </c>
      <c r="C459" t="inlineStr">
        <is>
          <t>Twin-Blade Disposable Razors, Blue 100/Box</t>
        </is>
      </c>
      <c r="D459" t="inlineStr">
        <is>
          <t>60 Box Combo of Blue and Pink Razor Blades Disposable Stainless Steel Hospitality Quality Shavers High End Twin Blade Razors for Men and Women with Aloe Vera Lubrication Strip</t>
        </is>
      </c>
      <c r="E459" s="1">
        <f>HYPERLINK("https://www.amazon.com/Box-Combo-Disposable-Blade-Razors/dp/B0721GH9VJ/ref=sr_1_8?keywords=Twin-Blade+Disposable+Razors%2C+Blue+100%2FBox&amp;qid=1695764513&amp;sr=8-8", "https://www.amazon.com/Box-Combo-Disposable-Blade-Razors/dp/B0721GH9VJ/ref=sr_1_8?keywords=Twin-Blade+Disposable+Razors%2C+Blue+100%2FBox&amp;qid=1695764513&amp;sr=8-8")</f>
        <v/>
      </c>
      <c r="F459" t="inlineStr">
        <is>
          <t>B0721GH9VJ</t>
        </is>
      </c>
      <c r="G459">
        <f>_xlfn.IMAGE("https://www.mountainside-medical.com/cdn/shop/products/disposable_razor-twin_blade__03839_686efd3b-bba5-406d-a869-d146f3a83eb3.jpeg?v=1600384114")</f>
        <v/>
      </c>
      <c r="H459">
        <f>_xlfn.IMAGE("https://m.media-amazon.com/images/I/81GOjv7fNaL._AC_UL320_.jpg")</f>
        <v/>
      </c>
      <c r="K459" t="inlineStr">
        <is>
          <t>9.99</t>
        </is>
      </c>
      <c r="L459" t="n">
        <v>29.99</v>
      </c>
      <c r="M459" s="2" t="inlineStr">
        <is>
          <t>200.20%</t>
        </is>
      </c>
      <c r="N459" t="n">
        <v>5</v>
      </c>
      <c r="O459" t="n">
        <v>1</v>
      </c>
      <c r="Q459" t="inlineStr">
        <is>
          <t>InStock</t>
        </is>
      </c>
      <c r="R459" t="inlineStr">
        <is>
          <t>15.95</t>
        </is>
      </c>
      <c r="S459" t="inlineStr">
        <is>
          <t>1593794564</t>
        </is>
      </c>
    </row>
    <row r="460" ht="75" customHeight="1">
      <c r="A460" s="1">
        <f>HYPERLINK("https://www.mountainside-medical.com/collections/veterinary/products/twin-blade-razors-blue-100-box", "https://www.mountainside-medical.com/collections/veterinary/products/twin-blade-razors-blue-100-box")</f>
        <v/>
      </c>
      <c r="B460" s="1">
        <f>HYPERLINK("https://www.mountainside-medical.com/products/twin-blade-razors-blue-100-box", "https://www.mountainside-medical.com/products/twin-blade-razors-blue-100-box")</f>
        <v/>
      </c>
      <c r="C460" t="inlineStr">
        <is>
          <t>Twin-Blade Disposable Razors, Blue 100/Box</t>
        </is>
      </c>
      <c r="D460" t="inlineStr">
        <is>
          <t>100 Box of Bullet Blades Black Razor Blades Disposable Stainless Steel Hospitality Quality Shavers High End Twin Blade Razors for Men and Women</t>
        </is>
      </c>
      <c r="E460" s="1">
        <f>HYPERLINK("https://www.amazon.com/Bullet-Blades-Hospitality-Quality-Disposable/dp/B07L14KWQC/ref=sr_1_3?keywords=Twin-Blade+Disposable+Razors%2C+Blue+100%2FBox&amp;qid=1695764513&amp;sr=8-3", "https://www.amazon.com/Bullet-Blades-Hospitality-Quality-Disposable/dp/B07L14KWQC/ref=sr_1_3?keywords=Twin-Blade+Disposable+Razors%2C+Blue+100%2FBox&amp;qid=1695764513&amp;sr=8-3")</f>
        <v/>
      </c>
      <c r="F460" t="inlineStr">
        <is>
          <t>B07L14KWQC</t>
        </is>
      </c>
      <c r="G460">
        <f>_xlfn.IMAGE("https://www.mountainside-medical.com/cdn/shop/products/disposable_razor-twin_blade__03839_686efd3b-bba5-406d-a869-d146f3a83eb3.jpeg?v=1600384114")</f>
        <v/>
      </c>
      <c r="H460">
        <f>_xlfn.IMAGE("https://m.media-amazon.com/images/I/81v5KGGxTGL._AC_UL320_.jpg")</f>
        <v/>
      </c>
      <c r="K460" t="inlineStr">
        <is>
          <t>9.99</t>
        </is>
      </c>
      <c r="L460" t="n">
        <v>29.99</v>
      </c>
      <c r="M460" s="2" t="inlineStr">
        <is>
          <t>200.20%</t>
        </is>
      </c>
      <c r="N460" t="n">
        <v>4.4</v>
      </c>
      <c r="O460" t="n">
        <v>208</v>
      </c>
      <c r="Q460" t="inlineStr">
        <is>
          <t>InStock</t>
        </is>
      </c>
      <c r="R460" t="inlineStr">
        <is>
          <t>15.95</t>
        </is>
      </c>
      <c r="S460" t="inlineStr">
        <is>
          <t>1593794564</t>
        </is>
      </c>
    </row>
    <row r="461" ht="75" customHeight="1">
      <c r="A461" s="1">
        <f>HYPERLINK("https://www.mountainside-medical.com/collections/veterinary/products/twin-blade-razors-blue-100-box", "https://www.mountainside-medical.com/collections/veterinary/products/twin-blade-razors-blue-100-box")</f>
        <v/>
      </c>
      <c r="B461" s="1">
        <f>HYPERLINK("https://www.mountainside-medical.com/products/twin-blade-razors-blue-100-box", "https://www.mountainside-medical.com/products/twin-blade-razors-blue-100-box")</f>
        <v/>
      </c>
      <c r="C461" t="inlineStr">
        <is>
          <t>Twin-Blade Disposable Razors, Blue 100/Box</t>
        </is>
      </c>
      <c r="D461" t="inlineStr">
        <is>
          <t>100 Box Combo of Blue and Pink Razor Blades Disposable Stainless Steel Hospitality Quality Shavers High End Twin Blade Razors for Men and Women with Aloe Vera Lubrication Strip</t>
        </is>
      </c>
      <c r="E461" s="1">
        <f>HYPERLINK("https://www.amazon.com/Box-Combo-Wholesale-Disposable-Razors/dp/B071X36Z4B/ref=sr_1_2?keywords=Twin-Blade+Disposable+Razors%2C+Blue+100%2FBox&amp;qid=1695764513&amp;sr=8-2", "https://www.amazon.com/Box-Combo-Wholesale-Disposable-Razors/dp/B071X36Z4B/ref=sr_1_2?keywords=Twin-Blade+Disposable+Razors%2C+Blue+100%2FBox&amp;qid=1695764513&amp;sr=8-2")</f>
        <v/>
      </c>
      <c r="F461" t="inlineStr">
        <is>
          <t>B071X36Z4B</t>
        </is>
      </c>
      <c r="G461">
        <f>_xlfn.IMAGE("https://www.mountainside-medical.com/cdn/shop/products/disposable_razor-twin_blade__03839_686efd3b-bba5-406d-a869-d146f3a83eb3.jpeg?v=1600384114")</f>
        <v/>
      </c>
      <c r="H461">
        <f>_xlfn.IMAGE("https://m.media-amazon.com/images/I/81TcrAiquyL._AC_UL320_.jpg")</f>
        <v/>
      </c>
      <c r="K461" t="inlineStr">
        <is>
          <t>9.99</t>
        </is>
      </c>
      <c r="L461" t="n">
        <v>29.99</v>
      </c>
      <c r="M461" s="2" t="inlineStr">
        <is>
          <t>200.20%</t>
        </is>
      </c>
      <c r="N461" t="n">
        <v>4.6</v>
      </c>
      <c r="O461" t="n">
        <v>34</v>
      </c>
      <c r="Q461" t="inlineStr">
        <is>
          <t>InStock</t>
        </is>
      </c>
      <c r="R461" t="inlineStr">
        <is>
          <t>15.95</t>
        </is>
      </c>
      <c r="S461" t="inlineStr">
        <is>
          <t>1593794564</t>
        </is>
      </c>
    </row>
    <row r="462" ht="75" customHeight="1">
      <c r="A462" s="1">
        <f>HYPERLINK("https://www.mountainside-medical.com/collections/veterinary/products/vinyl-powder-free-gloves", "https://www.mountainside-medical.com/collections/veterinary/products/vinyl-powder-free-gloves")</f>
        <v/>
      </c>
      <c r="B462" s="1">
        <f>HYPERLINK("https://www.mountainside-medical.com/products/vinyl-powder-free-gloves", "https://www.mountainside-medical.com/products/vinyl-powder-free-gloves")</f>
        <v/>
      </c>
      <c r="C462" t="inlineStr">
        <is>
          <t>Vinyl Gloves Powder Free, Medical Grade, 100/Box</t>
        </is>
      </c>
      <c r="D462" t="inlineStr">
        <is>
          <t>SunnyCare 1000 8201 Blue Nitrile Medical Exam Gloves Powder Free Chemo-Rated (Non Vinyl Latex) 100/box;10boxes/case Size: Small</t>
        </is>
      </c>
      <c r="E462" s="1">
        <f>HYPERLINK("https://www.amazon.com/SunnyCare-Nitrile-Medical-Chemo-Rated-10boxes/dp/B08VRPVT6B/ref=sr_1_4?keywords=Vinyl+Gloves+Powder+Free%2C+Medical+Grade%2C+100%2FBox&amp;qid=1695764512&amp;sr=8-4", "https://www.amazon.com/SunnyCare-Nitrile-Medical-Chemo-Rated-10boxes/dp/B08VRPVT6B/ref=sr_1_4?keywords=Vinyl+Gloves+Powder+Free%2C+Medical+Grade%2C+100%2FBox&amp;qid=1695764512&amp;sr=8-4")</f>
        <v/>
      </c>
      <c r="F462" t="inlineStr">
        <is>
          <t>B08VRPVT6B</t>
        </is>
      </c>
      <c r="G462">
        <f>_xlfn.IMAGE("https://www.mountainside-medical.com/cdn/shop/products/vinyl-powder-free-gloves-disposable-medical_1.jpeg?v=1600385269")</f>
        <v/>
      </c>
      <c r="H462">
        <f>_xlfn.IMAGE("https://m.media-amazon.com/images/I/91x-SfWv0LL._AC_UF282,218_.jpg")</f>
        <v/>
      </c>
      <c r="K462" t="inlineStr">
        <is>
          <t>5.1</t>
        </is>
      </c>
      <c r="L462" t="n">
        <v>39.98</v>
      </c>
      <c r="M462" s="2" t="inlineStr">
        <is>
          <t>683.92%</t>
        </is>
      </c>
      <c r="N462" t="n">
        <v>4.4</v>
      </c>
      <c r="O462" t="n">
        <v>42</v>
      </c>
      <c r="Q462" t="inlineStr">
        <is>
          <t>InStock</t>
        </is>
      </c>
      <c r="R462" t="inlineStr">
        <is>
          <t>undefined</t>
        </is>
      </c>
      <c r="S462" t="inlineStr">
        <is>
          <t>1594548484</t>
        </is>
      </c>
    </row>
    <row r="463" ht="75" customHeight="1">
      <c r="A463" s="1">
        <f>HYPERLINK("https://www.musiciansfriend.com/amplifiers-effects/boss-mo-2-multi-overtone-guitar-effects-pedal", "https://www.musiciansfriend.com/amplifiers-effects/boss-mo-2-multi-overtone-guitar-effects-pedal")</f>
        <v/>
      </c>
      <c r="B463" s="1">
        <f>HYPERLINK("https://www.musiciansfriend.com/amplifiers-effects/boss-mo-2-multi-overtone-guitar-effects-pedal", "https://www.musiciansfriend.com/amplifiers-effects/boss-mo-2-multi-overtone-guitar-effects-pedal")</f>
        <v/>
      </c>
      <c r="C463" t="inlineStr">
        <is>
          <t>BOSS MO-2 Multi Overtone Guitar Effects Pedal</t>
        </is>
      </c>
      <c r="D463" t="inlineStr">
        <is>
          <t>BOSS ME-90 Guitar Multi-Effects | All-In-One Guitar Processor | 11 Onboard AIRD Amp Models | 60 Effects derived from the GT-1000 | 8 Multi-Function Footswitches &amp; Redesigned Expression Pedal</t>
        </is>
      </c>
      <c r="E463" s="1">
        <f>HYPERLINK("https://www.amazon.com/BOSS-ME-90-Multi-Effects-Multi-Function-Footswitches/dp/B0CB95FW31/ref=sr_1_3?keywords=BOSS+MO-2+Multi+Overtone+Guitar+Effects+Pedal&amp;qid=1695764578&amp;sr=8-3", "https://www.amazon.com/BOSS-ME-90-Multi-Effects-Multi-Function-Footswitches/dp/B0CB95FW31/ref=sr_1_3?keywords=BOSS+MO-2+Multi+Overtone+Guitar+Effects+Pedal&amp;qid=1695764578&amp;sr=8-3")</f>
        <v/>
      </c>
      <c r="F463" t="inlineStr">
        <is>
          <t>B0CB95FW31</t>
        </is>
      </c>
      <c r="G463">
        <f>_xlfn.IMAGE("https://media.musiciansfriend.com/is/image/MMGS7/MO-2-Multi-Overtone-Guitar-Effects-Pedal/H93102000000000-00-500x500.jpg")</f>
        <v/>
      </c>
      <c r="H463">
        <f>_xlfn.IMAGE("https://m.media-amazon.com/images/I/617SJJIeDWL._AC_UL320_.jpg")</f>
        <v/>
      </c>
      <c r="K463" t="inlineStr">
        <is>
          <t>149.99</t>
        </is>
      </c>
      <c r="L463" t="n">
        <v>349.99</v>
      </c>
      <c r="M463" s="2" t="inlineStr">
        <is>
          <t>133.34%</t>
        </is>
      </c>
      <c r="N463" t="n">
        <v>4.4</v>
      </c>
      <c r="O463" t="n">
        <v>4</v>
      </c>
      <c r="Q463" t="inlineStr">
        <is>
          <t>InStock</t>
        </is>
      </c>
      <c r="R463" t="inlineStr">
        <is>
          <t>undefined</t>
        </is>
      </c>
      <c r="S463" t="inlineStr">
        <is>
          <t>H93102000000000</t>
        </is>
      </c>
    </row>
    <row r="464" ht="75" customHeight="1">
      <c r="A464" s="1">
        <f>HYPERLINK("https://www.musiciansfriend.com/amplifiers-effects/digitech-whammy-ricochet-guitar-effects-pedal", "https://www.musiciansfriend.com/amplifiers-effects/digitech-whammy-ricochet-guitar-effects-pedal")</f>
        <v/>
      </c>
      <c r="B464" s="1">
        <f>HYPERLINK("https://www.musiciansfriend.com/amplifiers-effects/digitech-whammy-ricochet-guitar-effects-pedal", "https://www.musiciansfriend.com/amplifiers-effects/digitech-whammy-ricochet-guitar-effects-pedal")</f>
        <v/>
      </c>
      <c r="C464" t="inlineStr">
        <is>
          <t>DigiTech Whammy Ricochet Guitar Effects Pedal</t>
        </is>
      </c>
      <c r="D464" t="inlineStr">
        <is>
          <t>Digitech Whammy DT Pitch Shift Drop Tune Guitar Effects Pedal and Cables</t>
        </is>
      </c>
      <c r="E464" s="1">
        <f>HYPERLINK("https://www.amazon.com/Digitech-Whammy-Guitar-Effects-Cables/dp/B01N8U3RII/ref=sr_1_4?keywords=DigiTech+Whammy+Ricochet+Guitar+Effects+Pedal&amp;qid=1695764586&amp;sr=8-4", "https://www.amazon.com/Digitech-Whammy-Guitar-Effects-Cables/dp/B01N8U3RII/ref=sr_1_4?keywords=DigiTech+Whammy+Ricochet+Guitar+Effects+Pedal&amp;qid=1695764586&amp;sr=8-4")</f>
        <v/>
      </c>
      <c r="F464" t="inlineStr">
        <is>
          <t>B01N8U3RII</t>
        </is>
      </c>
      <c r="G464">
        <f>_xlfn.IMAGE("https://media.musiciansfriend.com/is/image/MMGS7/Whammy-Ricochet-Guitar-Effects-Pedal/J38959000000000-00-500x500.jpg")</f>
        <v/>
      </c>
      <c r="H464">
        <f>_xlfn.IMAGE("https://m.media-amazon.com/images/I/710N0SN5PiL._AC_UL320_.jpg")</f>
        <v/>
      </c>
      <c r="K464" t="inlineStr">
        <is>
          <t>201.98</t>
        </is>
      </c>
      <c r="L464" t="n">
        <v>429.99</v>
      </c>
      <c r="M464" s="2" t="inlineStr">
        <is>
          <t>112.89%</t>
        </is>
      </c>
      <c r="N464" t="n">
        <v>5</v>
      </c>
      <c r="O464" t="n">
        <v>2</v>
      </c>
      <c r="Q464" t="inlineStr">
        <is>
          <t>InStock</t>
        </is>
      </c>
      <c r="R464" t="inlineStr">
        <is>
          <t>219.99</t>
        </is>
      </c>
      <c r="S464" t="inlineStr">
        <is>
          <t>J38959000000000</t>
        </is>
      </c>
    </row>
    <row r="465" ht="75" customHeight="1">
      <c r="A465" s="1">
        <f>HYPERLINK("https://www.musiciansfriend.com/amplifiers-effects/digitech-whammy-ricochet-guitar-effects-pedal", "https://www.musiciansfriend.com/amplifiers-effects/digitech-whammy-ricochet-guitar-effects-pedal")</f>
        <v/>
      </c>
      <c r="B465" s="1">
        <f>HYPERLINK("https://www.musiciansfriend.com/amplifiers-effects/digitech-whammy-ricochet-guitar-effects-pedal", "https://www.musiciansfriend.com/amplifiers-effects/digitech-whammy-ricochet-guitar-effects-pedal")</f>
        <v/>
      </c>
      <c r="C465" t="inlineStr">
        <is>
          <t>DigiTech Whammy Ricochet Guitar Effects Pedal</t>
        </is>
      </c>
      <c r="D465" t="inlineStr">
        <is>
          <t>Digitech Whammy DT Pitch Shift Drop Tune Guitar Effects Pedal Bundle with 2 Patch Cables and FS3X 3 Button Footswitch</t>
        </is>
      </c>
      <c r="E465" s="1">
        <f>HYPERLINK("https://www.amazon.com/Digitech-Whammy-Guitar-Effects-Footswitch/dp/B07MZB93CD/ref=sr_1_7?keywords=DigiTech+Whammy+Ricochet+Guitar+Effects+Pedal&amp;qid=1695764586&amp;sr=8-7", "https://www.amazon.com/Digitech-Whammy-Guitar-Effects-Footswitch/dp/B07MZB93CD/ref=sr_1_7?keywords=DigiTech+Whammy+Ricochet+Guitar+Effects+Pedal&amp;qid=1695764586&amp;sr=8-7")</f>
        <v/>
      </c>
      <c r="F465" t="inlineStr">
        <is>
          <t>B07MZB93CD</t>
        </is>
      </c>
      <c r="G465">
        <f>_xlfn.IMAGE("https://media.musiciansfriend.com/is/image/MMGS7/Whammy-Ricochet-Guitar-Effects-Pedal/J38959000000000-00-500x500.jpg")</f>
        <v/>
      </c>
      <c r="H465">
        <f>_xlfn.IMAGE("https://m.media-amazon.com/images/I/71kNIgbdRZL._AC_UL320_.jpg")</f>
        <v/>
      </c>
      <c r="K465" t="inlineStr">
        <is>
          <t>201.98</t>
        </is>
      </c>
      <c r="L465" t="n">
        <v>415.99</v>
      </c>
      <c r="M465" s="2" t="inlineStr">
        <is>
          <t>105.96%</t>
        </is>
      </c>
      <c r="N465" t="n">
        <v>4.8</v>
      </c>
      <c r="O465" t="n">
        <v>28</v>
      </c>
      <c r="Q465" t="inlineStr">
        <is>
          <t>InStock</t>
        </is>
      </c>
      <c r="R465" t="inlineStr">
        <is>
          <t>219.99</t>
        </is>
      </c>
      <c r="S465" t="inlineStr">
        <is>
          <t>J38959000000000</t>
        </is>
      </c>
    </row>
    <row r="466" ht="75" customHeight="1">
      <c r="A466" s="1">
        <f>HYPERLINK("https://www.musiciansfriend.com/amplifiers-effects/jackson-audio-golden-boy-mini-overdrive-effects-pedal", "https://www.musiciansfriend.com/amplifiers-effects/jackson-audio-golden-boy-mini-overdrive-effects-pedal")</f>
        <v/>
      </c>
      <c r="B466" s="1">
        <f>HYPERLINK("https://www.musiciansfriend.com/amplifiers-effects/jackson-audio-golden-boy-mini-overdrive-effects-pedal", "https://www.musiciansfriend.com/amplifiers-effects/jackson-audio-golden-boy-mini-overdrive-effects-pedal")</f>
        <v/>
      </c>
      <c r="C466" t="inlineStr">
        <is>
          <t>Jackson Audio Golden Boy Mini Overdrive Effects Pedal Black</t>
        </is>
      </c>
      <c r="D466" t="inlineStr">
        <is>
          <t>Jackson Audio Golden Boy Transparent Overdrive Guitar Effects Pedal (GOLDENBOY)</t>
        </is>
      </c>
      <c r="E466" s="1">
        <f>HYPERLINK("https://www.amazon.com/Jackson-Audio-Transparent-Overdrive-GOLDENBOY/dp/B088S9R449/ref=sr_1_1?keywords=Jackson+Audio+Golden+Boy+Mini+Overdrive+Effects+Pedal+Black&amp;qid=1695764593&amp;sr=8-1", "https://www.amazon.com/Jackson-Audio-Transparent-Overdrive-GOLDENBOY/dp/B088S9R449/ref=sr_1_1?keywords=Jackson+Audio+Golden+Boy+Mini+Overdrive+Effects+Pedal+Black&amp;qid=1695764593&amp;sr=8-1")</f>
        <v/>
      </c>
      <c r="F466" t="inlineStr">
        <is>
          <t>B088S9R449</t>
        </is>
      </c>
      <c r="G466">
        <f>_xlfn.IMAGE("https://media.musiciansfriend.com/is/image/MMGS7/Golden-Boy-Mini-Overdrive-Effects-Pedal-Black/M04277000002000-00-500x500.jpg")</f>
        <v/>
      </c>
      <c r="H466">
        <f>_xlfn.IMAGE("https://m.media-amazon.com/images/I/814bsRNrzcL._AC_UL320_.jpg")</f>
        <v/>
      </c>
      <c r="K466" t="inlineStr">
        <is>
          <t>152.15</t>
        </is>
      </c>
      <c r="L466" t="n">
        <v>254.15</v>
      </c>
      <c r="M466" s="2" t="inlineStr">
        <is>
          <t>67.04%</t>
        </is>
      </c>
      <c r="N466" t="n">
        <v>4.4</v>
      </c>
      <c r="O466" t="n">
        <v>11</v>
      </c>
      <c r="Q466" t="inlineStr">
        <is>
          <t>InStock</t>
        </is>
      </c>
      <c r="R466" t="inlineStr">
        <is>
          <t>179.0</t>
        </is>
      </c>
      <c r="S466" t="inlineStr">
        <is>
          <t>M04277000002000</t>
        </is>
      </c>
    </row>
    <row r="467" ht="75" customHeight="1">
      <c r="A467" s="1">
        <f>HYPERLINK("https://www.musiciansfriend.com/amplifiers-effects/pigtronix-gamma-drive-overdrive-effects-pedal", "https://www.musiciansfriend.com/amplifiers-effects/pigtronix-gamma-drive-overdrive-effects-pedal")</f>
        <v/>
      </c>
      <c r="B467" s="1">
        <f>HYPERLINK("https://www.musiciansfriend.com/amplifiers-effects/pigtronix-gamma-drive-overdrive-effects-pedal", "https://www.musiciansfriend.com/amplifiers-effects/pigtronix-gamma-drive-overdrive-effects-pedal")</f>
        <v/>
      </c>
      <c r="C467" t="inlineStr">
        <is>
          <t>Pigtronix Gamma Drive Overdrive Effects Pedal Blue</t>
        </is>
      </c>
      <c r="D467" t="inlineStr">
        <is>
          <t>Pigtronix Disnortion Fuzz/Overdrive Guitar Effects Pedal</t>
        </is>
      </c>
      <c r="E467" s="1">
        <f>HYPERLINK("https://www.amazon.com/Pigtronix-Disnortion-Overdrive-Guitar-Effects/dp/B003QWC5PC/ref=sr_1_3?keywords=Pigtronix+Gamma+Drive+Overdrive+Effects+Pedal+Blue&amp;qid=1695764576&amp;sr=8-3", "https://www.amazon.com/Pigtronix-Disnortion-Overdrive-Guitar-Effects/dp/B003QWC5PC/ref=sr_1_3?keywords=Pigtronix+Gamma+Drive+Overdrive+Effects+Pedal+Blue&amp;qid=1695764576&amp;sr=8-3")</f>
        <v/>
      </c>
      <c r="F467" t="inlineStr">
        <is>
          <t>B003QWC5PC</t>
        </is>
      </c>
      <c r="G467">
        <f>_xlfn.IMAGE("https://media.musiciansfriend.com/is/image/MMGS7/Gamma-Drive-Overdrive-Effects-Pedal-Blue/L88796000001000-00-500x500.jpg")</f>
        <v/>
      </c>
      <c r="H467">
        <f>_xlfn.IMAGE("https://m.media-amazon.com/images/I/61NYGHEQRHL._AC_UL320_.jpg")</f>
        <v/>
      </c>
      <c r="K467" t="inlineStr">
        <is>
          <t>99.0</t>
        </is>
      </c>
      <c r="L467" t="n">
        <v>299.99</v>
      </c>
      <c r="M467" s="2" t="inlineStr">
        <is>
          <t>203.02%</t>
        </is>
      </c>
      <c r="N467" t="n">
        <v>5</v>
      </c>
      <c r="O467" t="n">
        <v>3</v>
      </c>
      <c r="Q467" t="inlineStr">
        <is>
          <t>InStock</t>
        </is>
      </c>
      <c r="R467" t="inlineStr">
        <is>
          <t>129.0</t>
        </is>
      </c>
      <c r="S467" t="inlineStr">
        <is>
          <t>L88796000001000</t>
        </is>
      </c>
    </row>
    <row r="468" ht="75" customHeight="1">
      <c r="A468" s="1">
        <f>HYPERLINK("https://www.musiciansfriend.com/amplifiers-effects/universal-audio-golden-reverb-effects-pedal", "https://www.musiciansfriend.com/amplifiers-effects/universal-audio-golden-reverb-effects-pedal")</f>
        <v/>
      </c>
      <c r="B468" s="1">
        <f>HYPERLINK("https://www.musiciansfriend.com/amplifiers-effects/universal-audio-golden-reverb-effects-pedal", "https://www.musiciansfriend.com/amplifiers-effects/universal-audio-golden-reverb-effects-pedal")</f>
        <v/>
      </c>
      <c r="C468" t="inlineStr">
        <is>
          <t>Universal Audio UAFX Golden Reverberator Effects Pedal Gold</t>
        </is>
      </c>
      <c r="D468" t="inlineStr">
        <is>
          <t>Universal Audio UAFX Starlight Delay Pedal &amp; UAFX Golden Reverb Pedal</t>
        </is>
      </c>
      <c r="E468" s="1">
        <f>HYPERLINK("https://www.amazon.com/Universal-Audio-Starlight-Golden-Reverb/dp/B0BK7V5HQ4/ref=sr_1_3?keywords=Universal+Audio+UAFX+Golden+Reverberator+Effects+Pedal+Gold&amp;qid=1695764574&amp;sr=8-3", "https://www.amazon.com/Universal-Audio-Starlight-Golden-Reverb/dp/B0BK7V5HQ4/ref=sr_1_3?keywords=Universal+Audio+UAFX+Golden+Reverberator+Effects+Pedal+Gold&amp;qid=1695764574&amp;sr=8-3")</f>
        <v/>
      </c>
      <c r="F468" t="inlineStr">
        <is>
          <t>B0BK7V5HQ4</t>
        </is>
      </c>
      <c r="G468">
        <f>_xlfn.IMAGE("https://media.musiciansfriend.com/is/image/MMGS7/UAFX-Golden-Reverberator-Effects-Pedal-Gold/L82264000001000-00-500x500.jpg")</f>
        <v/>
      </c>
      <c r="H468">
        <f>_xlfn.IMAGE("https://m.media-amazon.com/images/I/51C7kadaU1L._AC_UL320_.jpg")</f>
        <v/>
      </c>
      <c r="K468" t="inlineStr">
        <is>
          <t>319.0</t>
        </is>
      </c>
      <c r="L468" t="n">
        <v>638</v>
      </c>
      <c r="M468" s="2" t="inlineStr">
        <is>
          <t>100.00%</t>
        </is>
      </c>
      <c r="N468" t="n">
        <v>4.5</v>
      </c>
      <c r="O468" t="n">
        <v>24</v>
      </c>
      <c r="Q468" t="inlineStr">
        <is>
          <t>InStock</t>
        </is>
      </c>
      <c r="R468" t="inlineStr">
        <is>
          <t>399.0</t>
        </is>
      </c>
      <c r="S468" t="inlineStr">
        <is>
          <t>L82264000001000</t>
        </is>
      </c>
    </row>
    <row r="469" ht="75" customHeight="1">
      <c r="A469" s="1">
        <f>HYPERLINK("https://www.musiciansfriend.com/amplifiers-effects/used-rocktron-reaction-compressor-effect-pedal/119056705", "https://www.musiciansfriend.com/amplifiers-effects/used-rocktron-reaction-compressor-effect-pedal/119056705")</f>
        <v/>
      </c>
      <c r="B469" s="1">
        <f>HYPERLINK("https://www.musiciansfriend.com/pdp/productDetail.jsp?productId=site1prod119056705", "https://www.musiciansfriend.com/pdp/productDetail.jsp?productId=site1prod119056705")</f>
        <v/>
      </c>
      <c r="C469" t="inlineStr">
        <is>
          <t>Used Rocktron Reaction Compressor Effect Pedal</t>
        </is>
      </c>
      <c r="D469" t="inlineStr">
        <is>
          <t>Rocktron Reaction Compressor Guitar Effects Pedal</t>
        </is>
      </c>
      <c r="E469" s="1">
        <f>HYPERLINK("https://www.amazon.com/Rocktron-Reaction-Compressor-Guitar-Effects/dp/B002XWT0VS/ref=sr_1_1?keywords=Used+Rocktron+Reaction+Compressor+Effect+Pedal&amp;qid=1695764599&amp;sr=8-1", "https://www.amazon.com/Rocktron-Reaction-Compressor-Guitar-Effects/dp/B002XWT0VS/ref=sr_1_1?keywords=Used+Rocktron+Reaction+Compressor+Effect+Pedal&amp;qid=1695764599&amp;sr=8-1")</f>
        <v/>
      </c>
      <c r="F469" t="inlineStr">
        <is>
          <t>B002XWT0VS</t>
        </is>
      </c>
      <c r="G469">
        <f>_xlfn.IMAGE("https://media.musiciansfriend.com/is/image/MMGS7/Reaction-Compressor-Effect-Pedal/000000119056705-00-500x500.jpg")</f>
        <v/>
      </c>
      <c r="H469">
        <f>_xlfn.IMAGE("https://m.media-amazon.com/images/I/71emTNiHfzL._AC_UL320_.jpg")</f>
        <v/>
      </c>
      <c r="K469" t="inlineStr">
        <is>
          <t>29.99</t>
        </is>
      </c>
      <c r="L469" t="n">
        <v>99</v>
      </c>
      <c r="M469" s="2" t="inlineStr">
        <is>
          <t>230.11%</t>
        </is>
      </c>
      <c r="N469" t="n">
        <v>5</v>
      </c>
      <c r="O469" t="n">
        <v>1</v>
      </c>
      <c r="Q469" t="inlineStr">
        <is>
          <t>InStock</t>
        </is>
      </c>
      <c r="R469" t="inlineStr">
        <is>
          <t>39.99</t>
        </is>
      </c>
      <c r="S469" t="inlineStr">
        <is>
          <t>119056705</t>
        </is>
      </c>
    </row>
    <row r="470" ht="75" customHeight="1">
      <c r="A470" s="1">
        <f>HYPERLINK("https://www.musiciansfriend.com/amplifiers-effects/used-walrus-audio-fathom-reverb-effect-pedal/119075805", "https://www.musiciansfriend.com/amplifiers-effects/used-walrus-audio-fathom-reverb-effect-pedal/119075805")</f>
        <v/>
      </c>
      <c r="B470" s="1">
        <f>HYPERLINK("https://www.musiciansfriend.com/pdp/productDetail.jsp?productId=site1prod119075805", "https://www.musiciansfriend.com/pdp/productDetail.jsp?productId=site1prod119075805")</f>
        <v/>
      </c>
      <c r="C470" t="inlineStr">
        <is>
          <t>Used Walrus Audio Fathom Reverb Effect Pedal</t>
        </is>
      </c>
      <c r="D470" t="inlineStr">
        <is>
          <t>Walrus Audio Descent Reverb/Octave Machine Guitar Effects Pedal</t>
        </is>
      </c>
      <c r="E470" s="1">
        <f>HYPERLINK("https://www.amazon.com/Walrus-Audio-Descent-Reverb-Machine/dp/B00L9ET1RO/ref=sr_1_8?keywords=Used+Walrus+Audio+Fathom+Reverb+Effect+Pedal&amp;qid=1695764593&amp;sr=8-8", "https://www.amazon.com/Walrus-Audio-Descent-Reverb-Machine/dp/B00L9ET1RO/ref=sr_1_8?keywords=Used+Walrus+Audio+Fathom+Reverb+Effect+Pedal&amp;qid=1695764593&amp;sr=8-8")</f>
        <v/>
      </c>
      <c r="F470" t="inlineStr">
        <is>
          <t>B00L9ET1RO</t>
        </is>
      </c>
      <c r="G470">
        <f>_xlfn.IMAGE("https://media.musiciansfriend.com/is/image/MMGS7/Fathom-Reverb-Effect-Pedal/000000119075805-00-500x500.jpg")</f>
        <v/>
      </c>
      <c r="H470">
        <f>_xlfn.IMAGE("https://m.media-amazon.com/images/I/91useq4H2-L._AC_UL320_.jpg")</f>
        <v/>
      </c>
      <c r="K470" t="inlineStr">
        <is>
          <t>109.99</t>
        </is>
      </c>
      <c r="L470" t="n">
        <v>299</v>
      </c>
      <c r="M470" s="2" t="inlineStr">
        <is>
          <t>171.84%</t>
        </is>
      </c>
      <c r="N470" t="n">
        <v>4.2</v>
      </c>
      <c r="O470" t="n">
        <v>27</v>
      </c>
      <c r="Q470" t="inlineStr">
        <is>
          <t>InStock</t>
        </is>
      </c>
      <c r="R470" t="inlineStr">
        <is>
          <t>144.99</t>
        </is>
      </c>
      <c r="S470" t="inlineStr">
        <is>
          <t>119075805</t>
        </is>
      </c>
    </row>
    <row r="471" ht="75" customHeight="1">
      <c r="A471" s="1">
        <f>HYPERLINK("https://www.musiciansfriend.com/amplifiers-effects/used-walrus-audio-fathom-reverb-effect-pedal/119075805", "https://www.musiciansfriend.com/amplifiers-effects/used-walrus-audio-fathom-reverb-effect-pedal/119075805")</f>
        <v/>
      </c>
      <c r="B471" s="1">
        <f>HYPERLINK("https://www.musiciansfriend.com/pdp/productDetail.jsp?productId=site1prod119075805", "https://www.musiciansfriend.com/pdp/productDetail.jsp?productId=site1prod119075805")</f>
        <v/>
      </c>
      <c r="C471" t="inlineStr">
        <is>
          <t>Used Walrus Audio Fathom Reverb Effect Pedal</t>
        </is>
      </c>
      <c r="D471" t="inlineStr">
        <is>
          <t>Walrus Audio Slö Multi Texture Reverb Guitar Effects Pedal, Standard (900-1047) &amp; D'Addario Accessories PW-CT-9V DC Power Adapter – Minimize Need to Change Batteries on Pedalboard</t>
        </is>
      </c>
      <c r="E471" s="1">
        <f>HYPERLINK("https://www.amazon.com/Walrus-Audio-Standard-900-1047-Accessories/dp/B08SRGLXPT/ref=sr_1_7?keywords=Used+Walrus+Audio+Fathom+Reverb+Effect+Pedal&amp;qid=1695764593&amp;sr=8-7", "https://www.amazon.com/Walrus-Audio-Standard-900-1047-Accessories/dp/B08SRGLXPT/ref=sr_1_7?keywords=Used+Walrus+Audio+Fathom+Reverb+Effect+Pedal&amp;qid=1695764593&amp;sr=8-7")</f>
        <v/>
      </c>
      <c r="F471" t="inlineStr">
        <is>
          <t>B08SRGLXPT</t>
        </is>
      </c>
      <c r="G471">
        <f>_xlfn.IMAGE("https://media.musiciansfriend.com/is/image/MMGS7/Fathom-Reverb-Effect-Pedal/000000119075805-00-500x500.jpg")</f>
        <v/>
      </c>
      <c r="H471">
        <f>_xlfn.IMAGE("https://m.media-amazon.com/images/I/51toqv6SASL._AC_UL320_.jpg")</f>
        <v/>
      </c>
      <c r="K471" t="inlineStr">
        <is>
          <t>109.99</t>
        </is>
      </c>
      <c r="L471" t="n">
        <v>230.98</v>
      </c>
      <c r="M471" s="2" t="inlineStr">
        <is>
          <t>110.00%</t>
        </is>
      </c>
      <c r="N471" t="n">
        <v>5</v>
      </c>
      <c r="O471" t="n">
        <v>2</v>
      </c>
      <c r="Q471" t="inlineStr">
        <is>
          <t>InStock</t>
        </is>
      </c>
      <c r="R471" t="inlineStr">
        <is>
          <t>144.99</t>
        </is>
      </c>
      <c r="S471" t="inlineStr">
        <is>
          <t>119075805</t>
        </is>
      </c>
    </row>
    <row r="472" ht="75" customHeight="1">
      <c r="A472" s="1">
        <f>HYPERLINK("https://www.musiciansfriend.com/amplifiers-effects/used-walrus-audio-fathom-reverb-effect-pedal/119075805", "https://www.musiciansfriend.com/amplifiers-effects/used-walrus-audio-fathom-reverb-effect-pedal/119075805")</f>
        <v/>
      </c>
      <c r="B472" s="1">
        <f>HYPERLINK("https://www.musiciansfriend.com/pdp/productDetail.jsp?productId=site1prod119075805", "https://www.musiciansfriend.com/pdp/productDetail.jsp?productId=site1prod119075805")</f>
        <v/>
      </c>
      <c r="C472" t="inlineStr">
        <is>
          <t>Used Walrus Audio Fathom Reverb Effect Pedal</t>
        </is>
      </c>
      <c r="D472" t="inlineStr">
        <is>
          <t>Walrus Audio Slö Multi Texture Reverb Guitar Effects Pedal, Standard (900-1047)</t>
        </is>
      </c>
      <c r="E472" s="1">
        <f>HYPERLINK("https://www.amazon.com/Walrus-Audio-Texture-Reverb-Effects/dp/B07QPQ2MYX/ref=sr_1_4?keywords=Used+Walrus+Audio+Fathom+Reverb+Effect+Pedal&amp;qid=1695764593&amp;sr=8-4", "https://www.amazon.com/Walrus-Audio-Texture-Reverb-Effects/dp/B07QPQ2MYX/ref=sr_1_4?keywords=Used+Walrus+Audio+Fathom+Reverb+Effect+Pedal&amp;qid=1695764593&amp;sr=8-4")</f>
        <v/>
      </c>
      <c r="F472" t="inlineStr">
        <is>
          <t>B07QPQ2MYX</t>
        </is>
      </c>
      <c r="G472">
        <f>_xlfn.IMAGE("https://media.musiciansfriend.com/is/image/MMGS7/Fathom-Reverb-Effect-Pedal/000000119075805-00-500x500.jpg")</f>
        <v/>
      </c>
      <c r="H472">
        <f>_xlfn.IMAGE("https://m.media-amazon.com/images/I/71I07IX7kXL._AC_UL320_.jpg")</f>
        <v/>
      </c>
      <c r="K472" t="inlineStr">
        <is>
          <t>109.99</t>
        </is>
      </c>
      <c r="L472" t="n">
        <v>215.99</v>
      </c>
      <c r="M472" s="2" t="inlineStr">
        <is>
          <t>96.37%</t>
        </is>
      </c>
      <c r="N472" t="n">
        <v>4.7</v>
      </c>
      <c r="O472" t="n">
        <v>500</v>
      </c>
      <c r="Q472" t="inlineStr">
        <is>
          <t>InStock</t>
        </is>
      </c>
      <c r="R472" t="inlineStr">
        <is>
          <t>144.99</t>
        </is>
      </c>
      <c r="S472" t="inlineStr">
        <is>
          <t>119075805</t>
        </is>
      </c>
    </row>
    <row r="473" ht="75" customHeight="1">
      <c r="A473" s="1">
        <f>HYPERLINK("https://www.musiciansfriend.com/amplifiers-effects/used-walrus-audio-fundamental-drive-effect-pedal/118983813", "https://www.musiciansfriend.com/amplifiers-effects/used-walrus-audio-fundamental-drive-effect-pedal/118983813")</f>
        <v/>
      </c>
      <c r="B473" s="1">
        <f>HYPERLINK("https://www.musiciansfriend.com/amplifiers-effects/used-walrus-audio-fundamental-drive-effect-pedal", "https://www.musiciansfriend.com/amplifiers-effects/used-walrus-audio-fundamental-drive-effect-pedal")</f>
        <v/>
      </c>
      <c r="C473" t="inlineStr">
        <is>
          <t>Used Walrus Audio FUNDAMENTAL DRIVE Effect Pedal</t>
        </is>
      </c>
      <c r="D473" t="inlineStr">
        <is>
          <t>Walrus Audio 385 Overdrive Guitar Effects Pedal</t>
        </is>
      </c>
      <c r="E473" s="1">
        <f>HYPERLINK("https://www.amazon.com/Walrus-Audio-385-Overdrive-Pedal/dp/B01KUBQRHI/ref=sr_1_7?keywords=Used+Walrus+Audio+FUNDAMENTAL+DRIVE+Effect+Pedal&amp;qid=1695764601&amp;sr=8-7", "https://www.amazon.com/Walrus-Audio-385-Overdrive-Pedal/dp/B01KUBQRHI/ref=sr_1_7?keywords=Used+Walrus+Audio+FUNDAMENTAL+DRIVE+Effect+Pedal&amp;qid=1695764601&amp;sr=8-7")</f>
        <v/>
      </c>
      <c r="F473" t="inlineStr">
        <is>
          <t>B01KUBQRHI</t>
        </is>
      </c>
      <c r="G473">
        <f>_xlfn.IMAGE("https://media.musiciansfriend.com/is/image/MMGS7/FUNDAMENTAL-DRIVE-Effect-Pedal/000000118983813-00-500x500.jpg")</f>
        <v/>
      </c>
      <c r="H473">
        <f>_xlfn.IMAGE("https://m.media-amazon.com/images/I/81A0XbVWaoL._AC_UL320_.jpg")</f>
        <v/>
      </c>
      <c r="K473" t="inlineStr">
        <is>
          <t>69.99</t>
        </is>
      </c>
      <c r="L473" t="n">
        <v>199</v>
      </c>
      <c r="M473" s="2" t="inlineStr">
        <is>
          <t>184.33%</t>
        </is>
      </c>
      <c r="N473" t="n">
        <v>4.4</v>
      </c>
      <c r="O473" t="n">
        <v>27</v>
      </c>
      <c r="Q473" t="inlineStr">
        <is>
          <t>InStock</t>
        </is>
      </c>
      <c r="R473" t="inlineStr">
        <is>
          <t>79.99</t>
        </is>
      </c>
      <c r="S473" t="inlineStr">
        <is>
          <t>118983813</t>
        </is>
      </c>
    </row>
    <row r="474" ht="75" customHeight="1">
      <c r="A474" s="1">
        <f>HYPERLINK("https://www.musiciansfriend.com/amplifiers-effects/voodoo-lab-dingbat-large-pedalboard", "https://www.musiciansfriend.com/amplifiers-effects/voodoo-lab-dingbat-large-pedalboard")</f>
        <v/>
      </c>
      <c r="B474" s="1">
        <f>HYPERLINK("https://www.musiciansfriend.com/amplifiers-effects/voodoo-lab-dingbat-large-pedalboard", "https://www.musiciansfriend.com/amplifiers-effects/voodoo-lab-dingbat-large-pedalboard")</f>
        <v/>
      </c>
      <c r="C474" t="inlineStr">
        <is>
          <t>Voodoo Lab Dingbat Large Pedalboard</t>
        </is>
      </c>
      <c r="D474" t="inlineStr">
        <is>
          <t>Voodoo Lab Dingbat Pedalboard with PX-8 PLUS Pedal Switcher</t>
        </is>
      </c>
      <c r="E474" s="1">
        <f>HYPERLINK("https://www.amazon.com/Voodoo-Lab-Dingbat-Pedalboard-Switcher/dp/B071L3C2CC/ref=sr_1_7?keywords=Voodoo+Lab+Dingbat+Large+Pedalboard&amp;qid=1695764582&amp;sr=8-7", "https://www.amazon.com/Voodoo-Lab-Dingbat-Pedalboard-Switcher/dp/B071L3C2CC/ref=sr_1_7?keywords=Voodoo+Lab+Dingbat+Large+Pedalboard&amp;qid=1695764582&amp;sr=8-7")</f>
        <v/>
      </c>
      <c r="F474" t="inlineStr">
        <is>
          <t>B071L3C2CC</t>
        </is>
      </c>
      <c r="G474">
        <f>_xlfn.IMAGE("https://media.musiciansfriend.com/is/image/MMGS7/Dingbat-Large-Pedalboard/J49242000000000-00-500x500.jpg")</f>
        <v/>
      </c>
      <c r="H474">
        <f>_xlfn.IMAGE("https://m.media-amazon.com/images/I/A1oXv4jmsfL._AC_UL320_.jpg")</f>
        <v/>
      </c>
      <c r="K474" t="inlineStr">
        <is>
          <t>269.99</t>
        </is>
      </c>
      <c r="L474" t="n">
        <v>599.99</v>
      </c>
      <c r="M474" s="2" t="inlineStr">
        <is>
          <t>122.23%</t>
        </is>
      </c>
      <c r="N474" t="n">
        <v>5</v>
      </c>
      <c r="O474" t="n">
        <v>3</v>
      </c>
      <c r="Q474" t="inlineStr">
        <is>
          <t>InStock</t>
        </is>
      </c>
      <c r="R474" t="inlineStr">
        <is>
          <t>undefined</t>
        </is>
      </c>
      <c r="S474" t="inlineStr">
        <is>
          <t>J49242000000000</t>
        </is>
      </c>
    </row>
    <row r="475" ht="75" customHeight="1">
      <c r="A475" s="1">
        <f>HYPERLINK("https://www.musiciansfriend.com/amplifiers-effects/voodoo-lab-dingbat-large-pedalboard", "https://www.musiciansfriend.com/amplifiers-effects/voodoo-lab-dingbat-large-pedalboard")</f>
        <v/>
      </c>
      <c r="B475" s="1">
        <f>HYPERLINK("https://www.musiciansfriend.com/amplifiers-effects/voodoo-lab-dingbat-large-pedalboard", "https://www.musiciansfriend.com/amplifiers-effects/voodoo-lab-dingbat-large-pedalboard")</f>
        <v/>
      </c>
      <c r="C475" t="inlineStr">
        <is>
          <t>Voodoo Lab Dingbat Large Pedalboard</t>
        </is>
      </c>
      <c r="D475" t="inlineStr">
        <is>
          <t>Voodoo Lab Dingbat PX Pedalboard with PX-8 PLUS Pedal Switcher</t>
        </is>
      </c>
      <c r="E475" s="1">
        <f>HYPERLINK("https://www.amazon.com/Voodoo-Lab-Dingbat-Pedalboard-Switcher/dp/B06WW7QDW5/ref=sr_1_10?keywords=Voodoo+Lab+Dingbat+Large+Pedalboard&amp;qid=1695764582&amp;sr=8-10", "https://www.amazon.com/Voodoo-Lab-Dingbat-Pedalboard-Switcher/dp/B06WW7QDW5/ref=sr_1_10?keywords=Voodoo+Lab+Dingbat+Large+Pedalboard&amp;qid=1695764582&amp;sr=8-10")</f>
        <v/>
      </c>
      <c r="F475" t="inlineStr">
        <is>
          <t>B06WW7QDW5</t>
        </is>
      </c>
      <c r="G475">
        <f>_xlfn.IMAGE("https://media.musiciansfriend.com/is/image/MMGS7/Dingbat-Large-Pedalboard/J49242000000000-00-500x500.jpg")</f>
        <v/>
      </c>
      <c r="H475">
        <f>_xlfn.IMAGE("https://m.media-amazon.com/images/I/51u4g4dvD4L._AC_UL320_.jpg")</f>
        <v/>
      </c>
      <c r="K475" t="inlineStr">
        <is>
          <t>269.99</t>
        </is>
      </c>
      <c r="L475" t="n">
        <v>599.99</v>
      </c>
      <c r="M475" s="2" t="inlineStr">
        <is>
          <t>122.23%</t>
        </is>
      </c>
      <c r="N475" t="n">
        <v>5</v>
      </c>
      <c r="O475" t="n">
        <v>1</v>
      </c>
      <c r="Q475" t="inlineStr">
        <is>
          <t>InStock</t>
        </is>
      </c>
      <c r="R475" t="inlineStr">
        <is>
          <t>undefined</t>
        </is>
      </c>
      <c r="S475" t="inlineStr">
        <is>
          <t>J49242000000000</t>
        </is>
      </c>
    </row>
    <row r="476" ht="75" customHeight="1">
      <c r="A476" s="1">
        <f>HYPERLINK("https://www.musiciansfriend.com/amplifiers-effects/voodoo-lab-dingbat-large-pedalboard", "https://www.musiciansfriend.com/amplifiers-effects/voodoo-lab-dingbat-large-pedalboard")</f>
        <v/>
      </c>
      <c r="B476" s="1">
        <f>HYPERLINK("https://www.musiciansfriend.com/amplifiers-effects/voodoo-lab-dingbat-large-pedalboard", "https://www.musiciansfriend.com/amplifiers-effects/voodoo-lab-dingbat-large-pedalboard")</f>
        <v/>
      </c>
      <c r="C476" t="inlineStr">
        <is>
          <t>Voodoo Lab Dingbat Large Pedalboard</t>
        </is>
      </c>
      <c r="D476" t="inlineStr">
        <is>
          <t>Voodoo Lab Dingbat Large Pedalboard with PP3 Plus (DBLP3P)</t>
        </is>
      </c>
      <c r="E476" s="1">
        <f>HYPERLINK("https://www.amazon.com/Dingbat-LARGE-Pedalboard-Pedal-Power/dp/B0853ZYF77/ref=sr_1_1?keywords=Voodoo+Lab+Dingbat+Large+Pedalboard&amp;qid=1695764582&amp;sr=8-1", "https://www.amazon.com/Dingbat-LARGE-Pedalboard-Pedal-Power/dp/B0853ZYF77/ref=sr_1_1?keywords=Voodoo+Lab+Dingbat+Large+Pedalboard&amp;qid=1695764582&amp;sr=8-1")</f>
        <v/>
      </c>
      <c r="F476" t="inlineStr">
        <is>
          <t>B0853ZYF77</t>
        </is>
      </c>
      <c r="G476">
        <f>_xlfn.IMAGE("https://media.musiciansfriend.com/is/image/MMGS7/Dingbat-Large-Pedalboard/J49242000000000-00-500x500.jpg")</f>
        <v/>
      </c>
      <c r="H476">
        <f>_xlfn.IMAGE("https://m.media-amazon.com/images/I/914pzrJz7-L._AC_UL320_.jpg")</f>
        <v/>
      </c>
      <c r="K476" t="inlineStr">
        <is>
          <t>269.99</t>
        </is>
      </c>
      <c r="L476" t="n">
        <v>479.99</v>
      </c>
      <c r="M476" s="2" t="inlineStr">
        <is>
          <t>77.78%</t>
        </is>
      </c>
      <c r="N476" t="n">
        <v>4.8</v>
      </c>
      <c r="O476" t="n">
        <v>23</v>
      </c>
      <c r="Q476" t="inlineStr">
        <is>
          <t>InStock</t>
        </is>
      </c>
      <c r="R476" t="inlineStr">
        <is>
          <t>undefined</t>
        </is>
      </c>
      <c r="S476" t="inlineStr">
        <is>
          <t>J49242000000000</t>
        </is>
      </c>
    </row>
    <row r="477" ht="75" customHeight="1">
      <c r="A477" s="1">
        <f>HYPERLINK("https://www.musiciansfriend.com/amplifiers-effects/voodoo-lab-dingbat-medium-pedalboard", "https://www.musiciansfriend.com/amplifiers-effects/voodoo-lab-dingbat-medium-pedalboard")</f>
        <v/>
      </c>
      <c r="B477" s="1">
        <f>HYPERLINK("https://www.musiciansfriend.com/amplifiers-effects/voodoo-lab-dingbat-medium-pedalboard", "https://www.musiciansfriend.com/amplifiers-effects/voodoo-lab-dingbat-medium-pedalboard")</f>
        <v/>
      </c>
      <c r="C477" t="inlineStr">
        <is>
          <t>Voodoo Lab Dingbat Medium Pedalboard</t>
        </is>
      </c>
      <c r="D477" t="inlineStr">
        <is>
          <t>Voodoo Lab Dingbat Pedalboard with PX-8 PLUS Pedal Switcher</t>
        </is>
      </c>
      <c r="E477" s="1">
        <f>HYPERLINK("https://www.amazon.com/Voodoo-Lab-Dingbat-Pedalboard-Switcher/dp/B071L3C2CC/ref=sr_1_8?keywords=Voodoo+Lab+Dingbat+Medium+Pedalboard&amp;qid=1695764594&amp;sr=8-8", "https://www.amazon.com/Voodoo-Lab-Dingbat-Pedalboard-Switcher/dp/B071L3C2CC/ref=sr_1_8?keywords=Voodoo+Lab+Dingbat+Medium+Pedalboard&amp;qid=1695764594&amp;sr=8-8")</f>
        <v/>
      </c>
      <c r="F477" t="inlineStr">
        <is>
          <t>B071L3C2CC</t>
        </is>
      </c>
      <c r="G477">
        <f>_xlfn.IMAGE("https://media.musiciansfriend.com/is/image/MMGS7/Dingbat-Medium-Pedalboard/J49258000000000-00-500x500.jpg")</f>
        <v/>
      </c>
      <c r="H477">
        <f>_xlfn.IMAGE("https://m.media-amazon.com/images/I/A1oXv4jmsfL._AC_UL320_.jpg")</f>
        <v/>
      </c>
      <c r="K477" t="inlineStr">
        <is>
          <t>229.99</t>
        </is>
      </c>
      <c r="L477" t="n">
        <v>599.99</v>
      </c>
      <c r="M477" s="2" t="inlineStr">
        <is>
          <t>160.88%</t>
        </is>
      </c>
      <c r="N477" t="n">
        <v>5</v>
      </c>
      <c r="O477" t="n">
        <v>3</v>
      </c>
      <c r="Q477" t="inlineStr">
        <is>
          <t>InStock</t>
        </is>
      </c>
      <c r="R477" t="inlineStr">
        <is>
          <t>undefined</t>
        </is>
      </c>
      <c r="S477" t="inlineStr">
        <is>
          <t>J49258000000000</t>
        </is>
      </c>
    </row>
    <row r="478" ht="75" customHeight="1">
      <c r="A478" s="1">
        <f>HYPERLINK("https://www.musiciansfriend.com/amplifiers-effects/voodoo-lab-dingbat-medium-pedalboard", "https://www.musiciansfriend.com/amplifiers-effects/voodoo-lab-dingbat-medium-pedalboard")</f>
        <v/>
      </c>
      <c r="B478" s="1">
        <f>HYPERLINK("https://www.musiciansfriend.com/amplifiers-effects/voodoo-lab-dingbat-medium-pedalboard", "https://www.musiciansfriend.com/amplifiers-effects/voodoo-lab-dingbat-medium-pedalboard")</f>
        <v/>
      </c>
      <c r="C478" t="inlineStr">
        <is>
          <t>Voodoo Lab Dingbat Medium Pedalboard</t>
        </is>
      </c>
      <c r="D478" t="inlineStr">
        <is>
          <t>Voodoo Lab Dingbat Large Pedalboard with PP3 Plus (DBLP3P)</t>
        </is>
      </c>
      <c r="E478" s="1">
        <f>HYPERLINK("https://www.amazon.com/Dingbat-LARGE-Pedalboard-Pedal-Power/dp/B0853ZYF77/ref=sr_1_2?keywords=Voodoo+Lab+Dingbat+Medium+Pedalboard&amp;qid=1695764594&amp;sr=8-2", "https://www.amazon.com/Dingbat-LARGE-Pedalboard-Pedal-Power/dp/B0853ZYF77/ref=sr_1_2?keywords=Voodoo+Lab+Dingbat+Medium+Pedalboard&amp;qid=1695764594&amp;sr=8-2")</f>
        <v/>
      </c>
      <c r="F478" t="inlineStr">
        <is>
          <t>B0853ZYF77</t>
        </is>
      </c>
      <c r="G478">
        <f>_xlfn.IMAGE("https://media.musiciansfriend.com/is/image/MMGS7/Dingbat-Medium-Pedalboard/J49258000000000-00-500x500.jpg")</f>
        <v/>
      </c>
      <c r="H478">
        <f>_xlfn.IMAGE("https://m.media-amazon.com/images/I/914pzrJz7-L._AC_UL320_.jpg")</f>
        <v/>
      </c>
      <c r="K478" t="inlineStr">
        <is>
          <t>229.99</t>
        </is>
      </c>
      <c r="L478" t="n">
        <v>479.99</v>
      </c>
      <c r="M478" s="2" t="inlineStr">
        <is>
          <t>108.70%</t>
        </is>
      </c>
      <c r="N478" t="n">
        <v>4.8</v>
      </c>
      <c r="O478" t="n">
        <v>23</v>
      </c>
      <c r="Q478" t="inlineStr">
        <is>
          <t>InStock</t>
        </is>
      </c>
      <c r="R478" t="inlineStr">
        <is>
          <t>undefined</t>
        </is>
      </c>
      <c r="S478" t="inlineStr">
        <is>
          <t>J49258000000000</t>
        </is>
      </c>
    </row>
    <row r="479" ht="75" customHeight="1">
      <c r="A479" s="1">
        <f>HYPERLINK("https://www.musiciansfriend.com/amplifiers-effects/walrus-audio-ages-overdrive-effects-pedal", "https://www.musiciansfriend.com/amplifiers-effects/walrus-audio-ages-overdrive-effects-pedal")</f>
        <v/>
      </c>
      <c r="B479" s="1">
        <f>HYPERLINK("https://www.musiciansfriend.com/amplifiers-effects/walrus-audio-ages-overdrive-effects-pedal", "https://www.musiciansfriend.com/amplifiers-effects/walrus-audio-ages-overdrive-effects-pedal")</f>
        <v/>
      </c>
      <c r="C479" t="inlineStr">
        <is>
          <t>Walrus Audio Ages Overdrive Effects Pedal Platinum</t>
        </is>
      </c>
      <c r="D479" t="inlineStr">
        <is>
          <t>Walrus Audio 385 Overdrive Guitar Effects Pedal</t>
        </is>
      </c>
      <c r="E479" s="1">
        <f>HYPERLINK("https://www.amazon.com/Walrus-Audio-385-Overdrive-Pedal/dp/B01KUBQRHI/ref=sr_1_4?keywords=Walrus+Audio+Ages+Overdrive+Effects+Pedal+Platinum&amp;qid=1695764599&amp;sr=8-4", "https://www.amazon.com/Walrus-Audio-385-Overdrive-Pedal/dp/B01KUBQRHI/ref=sr_1_4?keywords=Walrus+Audio+Ages+Overdrive+Effects+Pedal+Platinum&amp;qid=1695764599&amp;sr=8-4")</f>
        <v/>
      </c>
      <c r="F479" t="inlineStr">
        <is>
          <t>B01KUBQRHI</t>
        </is>
      </c>
      <c r="G479">
        <f>_xlfn.IMAGE("https://media.musiciansfriend.com/is/image/MMGS7/Ages-Overdrive-Effects-Pedal-Platinum/L85981000001000-00-500x500.jpg")</f>
        <v/>
      </c>
      <c r="H479">
        <f>_xlfn.IMAGE("https://m.media-amazon.com/images/I/81A0XbVWaoL._AC_UL320_.jpg")</f>
        <v/>
      </c>
      <c r="K479" t="inlineStr">
        <is>
          <t>119.97</t>
        </is>
      </c>
      <c r="L479" t="n">
        <v>198.5</v>
      </c>
      <c r="M479" s="2" t="inlineStr">
        <is>
          <t>65.46%</t>
        </is>
      </c>
      <c r="N479" t="n">
        <v>4.4</v>
      </c>
      <c r="O479" t="n">
        <v>27</v>
      </c>
      <c r="Q479" t="inlineStr">
        <is>
          <t>InStock</t>
        </is>
      </c>
      <c r="R479" t="inlineStr">
        <is>
          <t>199.0</t>
        </is>
      </c>
      <c r="S479" t="inlineStr">
        <is>
          <t>L85981000001000</t>
        </is>
      </c>
    </row>
    <row r="480" ht="75" customHeight="1">
      <c r="A480" s="1">
        <f>HYPERLINK("https://www.musiciansfriend.com/amplifiers-effects/walrus-audio-slo-multi-texture-reverb-effects-pedal", "https://www.musiciansfriend.com/amplifiers-effects/walrus-audio-slo-multi-texture-reverb-effects-pedal")</f>
        <v/>
      </c>
      <c r="B480" s="1">
        <f>HYPERLINK("https://www.musiciansfriend.com/amplifiers-effects/walrus-audio-slo-multi-texture-reverb-effects-pedal", "https://www.musiciansfriend.com/amplifiers-effects/walrus-audio-slo-multi-texture-reverb-effects-pedal")</f>
        <v/>
      </c>
      <c r="C480" t="inlineStr">
        <is>
          <t>Walrus Audio Slo Multi-Texture Reverb Effects Pedal</t>
        </is>
      </c>
      <c r="D480" t="inlineStr">
        <is>
          <t>Walrus Audio Ages Five-State Overdrive (900-1052) &amp; Slö Multi Texture Reverb Guitar Effects Pedal, Standard (900-1047)</t>
        </is>
      </c>
      <c r="E480" s="1">
        <f>HYPERLINK("https://www.amazon.com/Walrus-Audio-Five-State-Overdrive-900-1052/dp/B0C5TK6RYR/ref=sr_1_4?keywords=Walrus+Audio+Slo+Multi-Texture+Reverb+Effects+Pedal&amp;qid=1695764585&amp;sr=8-4", "https://www.amazon.com/Walrus-Audio-Five-State-Overdrive-900-1052/dp/B0C5TK6RYR/ref=sr_1_4?keywords=Walrus+Audio+Slo+Multi-Texture+Reverb+Effects+Pedal&amp;qid=1695764585&amp;sr=8-4")</f>
        <v/>
      </c>
      <c r="F480" t="inlineStr">
        <is>
          <t>B0C5TK6RYR</t>
        </is>
      </c>
      <c r="G480">
        <f>_xlfn.IMAGE("https://media.musiciansfriend.com/is/image/MMGS7/Slo-Multi-Texture-Reverb-Effects-Pedal/L53756000000000-00-500x500.jpg")</f>
        <v/>
      </c>
      <c r="H480">
        <f>_xlfn.IMAGE("https://m.media-amazon.com/images/I/511jqEywsPL._AC_UL320_.jpg")</f>
        <v/>
      </c>
      <c r="K480" t="inlineStr">
        <is>
          <t>169.15</t>
        </is>
      </c>
      <c r="L480" t="n">
        <v>469.98</v>
      </c>
      <c r="M480" s="2" t="inlineStr">
        <is>
          <t>177.85%</t>
        </is>
      </c>
      <c r="N480" t="n">
        <v>4.5</v>
      </c>
      <c r="O480" t="n">
        <v>71</v>
      </c>
      <c r="Q480" t="inlineStr">
        <is>
          <t>InStock</t>
        </is>
      </c>
      <c r="R480" t="inlineStr">
        <is>
          <t>219.99</t>
        </is>
      </c>
      <c r="S480" t="inlineStr">
        <is>
          <t>L53756000000000</t>
        </is>
      </c>
    </row>
    <row r="481" ht="75" customHeight="1">
      <c r="A481" s="1">
        <f>HYPERLINK("https://www.musiciansfriend.com/amplifiers-effects/walrus-audio-slotva-multi-texture-reverb-effects-pedal", "https://www.musiciansfriend.com/amplifiers-effects/walrus-audio-slotva-multi-texture-reverb-effects-pedal")</f>
        <v/>
      </c>
      <c r="B481" s="1">
        <f>HYPERLINK("https://www.musiciansfriend.com/amplifiers-effects/walrus-audio-slotva-multi-texture-reverb-effects-pedal", "https://www.musiciansfriend.com/amplifiers-effects/walrus-audio-slotva-multi-texture-reverb-effects-pedal")</f>
        <v/>
      </c>
      <c r="C481" t="inlineStr">
        <is>
          <t>Walrus Audio Slotva Multi-Texture Reverb Effects Pedal Blue</t>
        </is>
      </c>
      <c r="D481" t="inlineStr">
        <is>
          <t>Walrus Audio Ages Five-State Overdrive (900-1052) &amp; Slö Multi Texture Reverb Guitar Effects Pedal, Standard (900-1047)</t>
        </is>
      </c>
      <c r="E481" s="1">
        <f>HYPERLINK("https://www.amazon.com/Walrus-Audio-Five-State-Overdrive-900-1052/dp/B0C5TK6RYR/ref=sr_1_5?keywords=Walrus+Audio+Slotva+Multi-Texture+Reverb+Effects+Pedal+Blue&amp;qid=1695764590&amp;sr=8-5", "https://www.amazon.com/Walrus-Audio-Five-State-Overdrive-900-1052/dp/B0C5TK6RYR/ref=sr_1_5?keywords=Walrus+Audio+Slotva+Multi-Texture+Reverb+Effects+Pedal+Blue&amp;qid=1695764590&amp;sr=8-5")</f>
        <v/>
      </c>
      <c r="F481" t="inlineStr">
        <is>
          <t>B0C5TK6RYR</t>
        </is>
      </c>
      <c r="G481">
        <f>_xlfn.IMAGE("https://media.musiciansfriend.com/is/image/MMGS7/Slotva-Multi-Texture-Reverb-Effects-Pedal-Blue/L92025000001000-00-500x500.jpg")</f>
        <v/>
      </c>
      <c r="H481">
        <f>_xlfn.IMAGE("https://m.media-amazon.com/images/I/511jqEywsPL._AC_UL320_.jpg")</f>
        <v/>
      </c>
      <c r="K481" t="inlineStr">
        <is>
          <t>129.99</t>
        </is>
      </c>
      <c r="L481" t="n">
        <v>469.98</v>
      </c>
      <c r="M481" s="2" t="inlineStr">
        <is>
          <t>261.55%</t>
        </is>
      </c>
      <c r="N481" t="n">
        <v>4.5</v>
      </c>
      <c r="O481" t="n">
        <v>71</v>
      </c>
      <c r="Q481" t="inlineStr">
        <is>
          <t>InStock</t>
        </is>
      </c>
      <c r="R481" t="inlineStr">
        <is>
          <t>194.65</t>
        </is>
      </c>
      <c r="S481" t="inlineStr">
        <is>
          <t>L92025000001000</t>
        </is>
      </c>
    </row>
    <row r="482" ht="75" customHeight="1">
      <c r="A482" s="1">
        <f>HYPERLINK("https://www.musiciansfriend.com/amplifiers-effects/walrus-audio-slotva-multi-texture-reverb-effects-pedal", "https://www.musiciansfriend.com/amplifiers-effects/walrus-audio-slotva-multi-texture-reverb-effects-pedal")</f>
        <v/>
      </c>
      <c r="B482" s="1">
        <f>HYPERLINK("https://www.musiciansfriend.com/amplifiers-effects/walrus-audio-slotva-multi-texture-reverb-effects-pedal", "https://www.musiciansfriend.com/amplifiers-effects/walrus-audio-slotva-multi-texture-reverb-effects-pedal")</f>
        <v/>
      </c>
      <c r="C482" t="inlineStr">
        <is>
          <t>Walrus Audio Slotva Multi-Texture Reverb Effects Pedal Blue</t>
        </is>
      </c>
      <c r="D482" t="inlineStr">
        <is>
          <t>Walrus Audio Slö Multi Texture Reverb Guitar Effects Pedal, Standard (900-1047) &amp; D'Addario Accessories PW-CT-9V DC Power Adapter – Minimize Need to Change Batteries on Pedalboard</t>
        </is>
      </c>
      <c r="E482" s="1">
        <f>HYPERLINK("https://www.amazon.com/Walrus-Audio-Standard-900-1047-Accessories/dp/B08SRGLXPT/ref=sr_1_2?keywords=Walrus+Audio+Slotva+Multi-Texture+Reverb+Effects+Pedal+Blue&amp;qid=1695764590&amp;sr=8-2", "https://www.amazon.com/Walrus-Audio-Standard-900-1047-Accessories/dp/B08SRGLXPT/ref=sr_1_2?keywords=Walrus+Audio+Slotva+Multi-Texture+Reverb+Effects+Pedal+Blue&amp;qid=1695764590&amp;sr=8-2")</f>
        <v/>
      </c>
      <c r="F482" t="inlineStr">
        <is>
          <t>B08SRGLXPT</t>
        </is>
      </c>
      <c r="G482">
        <f>_xlfn.IMAGE("https://media.musiciansfriend.com/is/image/MMGS7/Slotva-Multi-Texture-Reverb-Effects-Pedal-Blue/L92025000001000-00-500x500.jpg")</f>
        <v/>
      </c>
      <c r="H482">
        <f>_xlfn.IMAGE("https://m.media-amazon.com/images/I/51toqv6SASL._AC_UL320_.jpg")</f>
        <v/>
      </c>
      <c r="K482" t="inlineStr">
        <is>
          <t>129.99</t>
        </is>
      </c>
      <c r="L482" t="n">
        <v>230.98</v>
      </c>
      <c r="M482" s="2" t="inlineStr">
        <is>
          <t>77.69%</t>
        </is>
      </c>
      <c r="N482" t="n">
        <v>5</v>
      </c>
      <c r="O482" t="n">
        <v>2</v>
      </c>
      <c r="Q482" t="inlineStr">
        <is>
          <t>InStock</t>
        </is>
      </c>
      <c r="R482" t="inlineStr">
        <is>
          <t>194.65</t>
        </is>
      </c>
      <c r="S482" t="inlineStr">
        <is>
          <t>L92025000001000</t>
        </is>
      </c>
    </row>
    <row r="483" ht="75" customHeight="1">
      <c r="A483" s="1">
        <f>HYPERLINK("https://www.musiciansfriend.com/amplifiers-effects/walrus-audio-slotva-multi-texture-reverb-effects-pedal", "https://www.musiciansfriend.com/amplifiers-effects/walrus-audio-slotva-multi-texture-reverb-effects-pedal")</f>
        <v/>
      </c>
      <c r="B483" s="1">
        <f>HYPERLINK("https://www.musiciansfriend.com/amplifiers-effects/walrus-audio-slotva-multi-texture-reverb-effects-pedal", "https://www.musiciansfriend.com/amplifiers-effects/walrus-audio-slotva-multi-texture-reverb-effects-pedal")</f>
        <v/>
      </c>
      <c r="C483" t="inlineStr">
        <is>
          <t>Walrus Audio Slotva Multi-Texture Reverb Effects Pedal Blue</t>
        </is>
      </c>
      <c r="D483" t="inlineStr">
        <is>
          <t>Walrus Audio Slö Multi Texture Reverb Guitar Effects Pedal, Standard (900-1047)</t>
        </is>
      </c>
      <c r="E483" s="1">
        <f>HYPERLINK("https://www.amazon.com/Walrus-Audio-Texture-Reverb-Effects/dp/B07QPQ2MYX/ref=sr_1_3?keywords=Walrus+Audio+Slotva+Multi-Texture+Reverb+Effects+Pedal+Blue&amp;qid=1695764590&amp;sr=8-3", "https://www.amazon.com/Walrus-Audio-Texture-Reverb-Effects/dp/B07QPQ2MYX/ref=sr_1_3?keywords=Walrus+Audio+Slotva+Multi-Texture+Reverb+Effects+Pedal+Blue&amp;qid=1695764590&amp;sr=8-3")</f>
        <v/>
      </c>
      <c r="F483" t="inlineStr">
        <is>
          <t>B07QPQ2MYX</t>
        </is>
      </c>
      <c r="G483">
        <f>_xlfn.IMAGE("https://media.musiciansfriend.com/is/image/MMGS7/Slotva-Multi-Texture-Reverb-Effects-Pedal-Blue/L92025000001000-00-500x500.jpg")</f>
        <v/>
      </c>
      <c r="H483">
        <f>_xlfn.IMAGE("https://m.media-amazon.com/images/I/71I07IX7kXL._AC_UL320_.jpg")</f>
        <v/>
      </c>
      <c r="K483" t="inlineStr">
        <is>
          <t>129.99</t>
        </is>
      </c>
      <c r="L483" t="n">
        <v>215.99</v>
      </c>
      <c r="M483" s="2" t="inlineStr">
        <is>
          <t>66.16%</t>
        </is>
      </c>
      <c r="N483" t="n">
        <v>4.7</v>
      </c>
      <c r="O483" t="n">
        <v>500</v>
      </c>
      <c r="Q483" t="inlineStr">
        <is>
          <t>InStock</t>
        </is>
      </c>
      <c r="R483" t="inlineStr">
        <is>
          <t>194.65</t>
        </is>
      </c>
      <c r="S483" t="inlineStr">
        <is>
          <t>L92025000001000</t>
        </is>
      </c>
    </row>
    <row r="484" ht="75" customHeight="1">
      <c r="A484" s="1">
        <f>HYPERLINK("https://www.tigerchef.com/es6-touch-free-hand-sanitizer-dispenser-1200-ml-525-x-856-x-1213-white.html", "https://www.tigerchef.com/es6-touch-free-hand-sanitizer-dispenser-1200-ml-525-x-856-x-1213-white.html")</f>
        <v/>
      </c>
      <c r="B484" s="1">
        <f>HYPERLINK("https://www.tigerchef.com/es6-touch-free-hand-sanitizer-dispenser-1200-ml-525-x-856-x-1213-white.html", "https://www.tigerchef.com/es6-touch-free-hand-sanitizer-dispenser-1200-ml-525-x-856-x-1213-white.html")</f>
        <v/>
      </c>
      <c r="C484" t="inlineStr">
        <is>
          <t>Purell ES6 Touch Free Hand Sanitizer Dispenser, White, 1200 mL</t>
        </is>
      </c>
      <c r="D484" t="inlineStr">
        <is>
          <t>Purell 642001 ES6 Touch Free Hand Sanitizer Dispenser, Plastic, 1200 mL, White</t>
        </is>
      </c>
      <c r="E484" s="1">
        <f>HYPERLINK("https://www.amazon.com/Purell-642001-Sanitizer-Dispenser-Plastic/dp/B07DGGHR4M/ref=sr_1_1?keywords=Purell+ES6+Touch+Free+Hand+Sanitizer+Dispenser%2C+White%2C+1200+mL&amp;qid=1695764618&amp;sr=8-1", "https://www.amazon.com/Purell-642001-Sanitizer-Dispenser-Plastic/dp/B07DGGHR4M/ref=sr_1_1?keywords=Purell+ES6+Touch+Free+Hand+Sanitizer+Dispenser%2C+White%2C+1200+mL&amp;qid=1695764618&amp;sr=8-1")</f>
        <v/>
      </c>
      <c r="F484" t="inlineStr">
        <is>
          <t>B07DGGHR4M</t>
        </is>
      </c>
      <c r="G484">
        <f>_xlfn.IMAGE("https://z2a5d5m7.stackpathcdn.com/itempics/ES6-Touch-Free-Hand-Sanitizer-Dispenser--1200-mL--5-25--x-8-56--x-12-13---White-323798_medium.jpg")</f>
        <v/>
      </c>
      <c r="H484">
        <f>_xlfn.IMAGE("https://m.media-amazon.com/images/I/71Q3YvzcckL._AC_UY218_.jpg")</f>
        <v/>
      </c>
      <c r="K484" t="inlineStr">
        <is>
          <t>9.99</t>
        </is>
      </c>
      <c r="L484" t="n">
        <v>19.93</v>
      </c>
      <c r="M484" s="2" t="inlineStr">
        <is>
          <t>99.50%</t>
        </is>
      </c>
      <c r="N484" t="n">
        <v>4.1</v>
      </c>
      <c r="O484" t="n">
        <v>70</v>
      </c>
      <c r="Q484" t="inlineStr">
        <is>
          <t>InStock</t>
        </is>
      </c>
      <c r="R484" t="inlineStr">
        <is>
          <t>103.9</t>
        </is>
      </c>
      <c r="S484" t="inlineStr">
        <is>
          <t>323798</t>
        </is>
      </c>
    </row>
    <row r="485" ht="75" customHeight="1">
      <c r="A485" s="1">
        <f>HYPERLINK("https://www.tigerchef.com/es8-touch-free-hand-sanitizer-dispenser-1200-ml-525-x-856-x-1213-white.html", "https://www.tigerchef.com/es8-touch-free-hand-sanitizer-dispenser-1200-ml-525-x-856-x-1213-white.html")</f>
        <v/>
      </c>
      <c r="B485" s="1">
        <f>HYPERLINK("https://www.tigerchef.com/es8-touch-free-hand-sanitizer-dispenser-1200-ml-525-x-856-x-1213-white.html", "https://www.tigerchef.com/es8-touch-free-hand-sanitizer-dispenser-1200-ml-525-x-856-x-1213-white.html")</f>
        <v/>
      </c>
      <c r="C485" t="inlineStr">
        <is>
          <t>Purell ES8 Touch Free Hand Sanitizer Dispenser, White, 1200 mL</t>
        </is>
      </c>
      <c r="D485" t="inlineStr">
        <is>
          <t>Purell 642001 ES6 Touch Free Hand Sanitizer Dispenser, Plastic, 1200 mL, White</t>
        </is>
      </c>
      <c r="E485" s="1">
        <f>HYPERLINK("https://www.amazon.com/Purell-642001-Sanitizer-Dispenser-Plastic/dp/B07DGGHR4M/ref=sr_1_2?keywords=Purell+ES8+Touch+Free+Hand+Sanitizer+Dispenser%2C+White%2C+1200+mL&amp;qid=1695764621&amp;sr=8-2", "https://www.amazon.com/Purell-642001-Sanitizer-Dispenser-Plastic/dp/B07DGGHR4M/ref=sr_1_2?keywords=Purell+ES8+Touch+Free+Hand+Sanitizer+Dispenser%2C+White%2C+1200+mL&amp;qid=1695764621&amp;sr=8-2")</f>
        <v/>
      </c>
      <c r="F485" t="inlineStr">
        <is>
          <t>B07DGGHR4M</t>
        </is>
      </c>
      <c r="G485">
        <f>_xlfn.IMAGE("https://z2a5d5m7.stackpathcdn.com/itempics/ES8-Touch-Free-Hand-Sanitizer-Dispenser--1200-mL--5-25--x-8-56--x-12-13---White-323803_medium.jpg")</f>
        <v/>
      </c>
      <c r="H485">
        <f>_xlfn.IMAGE("https://m.media-amazon.com/images/I/71Q3YvzcckL._AC_UY218_.jpg")</f>
        <v/>
      </c>
      <c r="K485" t="inlineStr">
        <is>
          <t>9.99</t>
        </is>
      </c>
      <c r="L485" t="n">
        <v>19.93</v>
      </c>
      <c r="M485" s="2" t="inlineStr">
        <is>
          <t>99.50%</t>
        </is>
      </c>
      <c r="N485" t="n">
        <v>4.1</v>
      </c>
      <c r="O485" t="n">
        <v>70</v>
      </c>
      <c r="Q485" t="inlineStr">
        <is>
          <t>InStock</t>
        </is>
      </c>
      <c r="R485" t="inlineStr">
        <is>
          <t>116.74</t>
        </is>
      </c>
      <c r="S485" t="inlineStr">
        <is>
          <t>323803</t>
        </is>
      </c>
    </row>
    <row r="486" ht="75" customHeight="1">
      <c r="A486" s="1">
        <f>HYPERLINK("https://www.tigerchef.com/introducing-the-tigerchef-clear-acrylic-plastic-charger-plate-with-gold-beaded-rim---an-elegant-addition-to-elevate-your-dining-experience-with-a-generous-12-diameter-this-charger-plate-is-perfect.html", "https://www.tigerchef.com/introducing-the-tigerchef-clear-acrylic-plastic-charger-plate-with-gold-beaded-rim---an-elegant-addition-to-elevate-your-dining-experience-with-a-generous-12-diameter-this-charger-plate-is-perfect.html")</f>
        <v/>
      </c>
      <c r="B486" s="1">
        <f>HYPERLINK("https://www.tigerchef.com/introducing-the-tigerchef-clear-acrylic-plastic-charger-plate-with-gold-beaded-rim---an-elegant-addition-to-elevate-your-dining-experience-with-a-generous-12-diameter-this-charger-plate-is-perfect.html", "https://www.tigerchef.com/introducing-the-tigerchef-clear-acrylic-plastic-charger-plate-with-gold-beaded-rim---an-elegant-addition-to-elevate-your-dining-experience-with-a-generous-12-diameter-this-charger-plate-is-perfect.html")</f>
        <v/>
      </c>
      <c r="C486" t="inlineStr">
        <is>
          <t>TigerChef Clear Acrylic Plastic Charger Plate with Silver Beaded Rim 12"</t>
        </is>
      </c>
      <c r="D486" t="inlineStr">
        <is>
          <t>18 PCS Clear Charger Plates with Beaded Rim 13 Inch Plastic Acrylic Round Dinner Plate Chargers Decorative Plates for Home Kitchen Party Wedding Tabletop Decor (Clear)</t>
        </is>
      </c>
      <c r="E486" s="1">
        <f>HYPERLINK("https://www.amazon.com/Zopeal-Embossed-Chargers-Decorative-Tabletop/dp/B0BHNWNH5D/ref=sr_1_4?keywords=TigerChef+Clear+Acrylic+Plastic+Charger+Plate+with+Silver+Beaded+Rim+12%22&amp;qid=1695764620&amp;sr=8-4", "https://www.amazon.com/Zopeal-Embossed-Chargers-Decorative-Tabletop/dp/B0BHNWNH5D/ref=sr_1_4?keywords=TigerChef+Clear+Acrylic+Plastic+Charger+Plate+with+Silver+Beaded+Rim+12%22&amp;qid=1695764620&amp;sr=8-4")</f>
        <v/>
      </c>
      <c r="F486" t="inlineStr">
        <is>
          <t>B0BHNWNH5D</t>
        </is>
      </c>
      <c r="G486">
        <f>_xlfn.IMAGE("https://z2a5d5m7.stackpathcdn.com/itempics/-TigerChef-Clear-Acrylic-Plastic-Charger-Plate-with-Silver-Beaded-Rim-12--335666_medium.jpg")</f>
        <v/>
      </c>
      <c r="H486">
        <f>_xlfn.IMAGE("https://m.media-amazon.com/images/I/71axGgy+RNL._AC_UL320_.jpg")</f>
        <v/>
      </c>
      <c r="K486" t="inlineStr">
        <is>
          <t>2.09</t>
        </is>
      </c>
      <c r="L486" t="n">
        <v>49.99</v>
      </c>
      <c r="M486" s="2" t="inlineStr">
        <is>
          <t>2291.87%</t>
        </is>
      </c>
      <c r="N486" t="n">
        <v>4.2</v>
      </c>
      <c r="O486" t="n">
        <v>38</v>
      </c>
      <c r="Q486" t="inlineStr">
        <is>
          <t>InStock</t>
        </is>
      </c>
      <c r="R486" t="inlineStr">
        <is>
          <t>undefined</t>
        </is>
      </c>
      <c r="S486" t="inlineStr">
        <is>
          <t>335666</t>
        </is>
      </c>
    </row>
    <row r="487" ht="75" customHeight="1">
      <c r="A487" s="1">
        <f>HYPERLINK("https://www.tigerchef.com/rose-gold-glass-13-charger-plat.html", "https://www.tigerchef.com/rose-gold-glass-13-charger-plat.html")</f>
        <v/>
      </c>
      <c r="B487" s="1">
        <f>HYPERLINK("https://www.tigerchef.com/rose-gold-glass-13-charger-plat.html", "https://www.tigerchef.com/rose-gold-glass-13-charger-plat.html")</f>
        <v/>
      </c>
      <c r="C487" t="inlineStr">
        <is>
          <t>TigerChef Round Rose Gold Beaded Rim Glass Charger Plate 13"</t>
        </is>
      </c>
      <c r="D487" t="inlineStr">
        <is>
          <t>13" Beaded Glass Charger Plate Rose Gold Set of 12</t>
        </is>
      </c>
      <c r="E487" s="1">
        <f>HYPERLINK("https://www.amazon.com/Beaded-Glass-Charger-Plate-Rose/dp/B07F1GWN35/ref=sr_1_1?keywords=TigerChef+Round+Rose+Gold+Beaded+Rim+Glass+Charger+Plate+13%22&amp;qid=1695764618&amp;sr=8-1", "https://www.amazon.com/Beaded-Glass-Charger-Plate-Rose/dp/B07F1GWN35/ref=sr_1_1?keywords=TigerChef+Round+Rose+Gold+Beaded+Rim+Glass+Charger+Plate+13%22&amp;qid=1695764618&amp;sr=8-1")</f>
        <v/>
      </c>
      <c r="F487" t="inlineStr">
        <is>
          <t>B07F1GWN35</t>
        </is>
      </c>
      <c r="G487">
        <f>_xlfn.IMAGE("https://z2a5d5m7.stackpathcdn.com/itempics/Rose-Gold-Glass-13--Charger-Plat-335630_medium.jpg")</f>
        <v/>
      </c>
      <c r="H487">
        <f>_xlfn.IMAGE("https://m.media-amazon.com/images/I/51LH+zcgrOL._AC_UL320_.jpg")</f>
        <v/>
      </c>
      <c r="K487" t="inlineStr">
        <is>
          <t>7.49</t>
        </is>
      </c>
      <c r="L487" t="n">
        <v>125.99</v>
      </c>
      <c r="M487" s="2" t="inlineStr">
        <is>
          <t>1582.11%</t>
        </is>
      </c>
      <c r="N487" t="n">
        <v>4.4</v>
      </c>
      <c r="O487" t="n">
        <v>70</v>
      </c>
      <c r="Q487" t="inlineStr">
        <is>
          <t>InStock</t>
        </is>
      </c>
      <c r="R487" t="inlineStr">
        <is>
          <t>undefined</t>
        </is>
      </c>
      <c r="S487" t="inlineStr">
        <is>
          <t>335630</t>
        </is>
      </c>
    </row>
    <row r="488" ht="75" customHeight="1">
      <c r="A488" s="1">
        <f>HYPERLINK("https://www.tigerchef.com/rose-gold-glass-13-charger-plat.html", "https://www.tigerchef.com/rose-gold-glass-13-charger-plat.html")</f>
        <v/>
      </c>
      <c r="B488" s="1">
        <f>HYPERLINK("https://www.tigerchef.com/rose-gold-glass-13-charger-plat.html", "https://www.tigerchef.com/rose-gold-glass-13-charger-plat.html")</f>
        <v/>
      </c>
      <c r="C488" t="inlineStr">
        <is>
          <t>TigerChef Round Rose Gold Beaded Rim Glass Charger Plate 13"</t>
        </is>
      </c>
      <c r="D488" t="inlineStr">
        <is>
          <t>18 PCS Clear Charger Plates with Beaded Rim 13 Inch Plastic Round Charger Plates Bulk Acrylic Round Dinner Plate Chargers Decorative Plates for Home Kitchen Party Wedding Tabletop Decor(Rose Gold)</t>
        </is>
      </c>
      <c r="E488" s="1">
        <f>HYPERLINK("https://www.amazon.com/Charger-Plastic-Chargers-Decorative-Tabletop/dp/B0BQ665JHQ/ref=sr_1_3?keywords=TigerChef+Round+Rose+Gold+Beaded+Rim+Glass+Charger+Plate+13%22&amp;qid=1695764618&amp;sr=8-3", "https://www.amazon.com/Charger-Plastic-Chargers-Decorative-Tabletop/dp/B0BQ665JHQ/ref=sr_1_3?keywords=TigerChef+Round+Rose+Gold+Beaded+Rim+Glass+Charger+Plate+13%22&amp;qid=1695764618&amp;sr=8-3")</f>
        <v/>
      </c>
      <c r="F488" t="inlineStr">
        <is>
          <t>B0BQ665JHQ</t>
        </is>
      </c>
      <c r="G488">
        <f>_xlfn.IMAGE("https://z2a5d5m7.stackpathcdn.com/itempics/Rose-Gold-Glass-13--Charger-Plat-335630_medium.jpg")</f>
        <v/>
      </c>
      <c r="H488">
        <f>_xlfn.IMAGE("https://m.media-amazon.com/images/I/81ok-Eh5NPL._AC_UL320_.jpg")</f>
        <v/>
      </c>
      <c r="K488" t="inlineStr">
        <is>
          <t>7.49</t>
        </is>
      </c>
      <c r="L488" t="n">
        <v>49.99</v>
      </c>
      <c r="M488" s="2" t="inlineStr">
        <is>
          <t>567.42%</t>
        </is>
      </c>
      <c r="N488" t="n">
        <v>4.2</v>
      </c>
      <c r="O488" t="n">
        <v>38</v>
      </c>
      <c r="Q488" t="inlineStr">
        <is>
          <t>InStock</t>
        </is>
      </c>
      <c r="R488" t="inlineStr">
        <is>
          <t>undefined</t>
        </is>
      </c>
      <c r="S488" t="inlineStr">
        <is>
          <t>335630</t>
        </is>
      </c>
    </row>
    <row r="489" ht="75" customHeight="1">
      <c r="A489" s="1">
        <f>HYPERLINK("https://www.tigerchef.com/rose-gold-glass-13-charger-plat.html", "https://www.tigerchef.com/rose-gold-glass-13-charger-plat.html")</f>
        <v/>
      </c>
      <c r="B489" s="1">
        <f>HYPERLINK("https://www.tigerchef.com/rose-gold-glass-13-charger-plat.html", "https://www.tigerchef.com/rose-gold-glass-13-charger-plat.html")</f>
        <v/>
      </c>
      <c r="C489" t="inlineStr">
        <is>
          <t>TigerChef Round Rose Gold Beaded Rim Glass Charger Plate 13"</t>
        </is>
      </c>
      <c r="D489" t="inlineStr">
        <is>
          <t>Ms Lovely Cross-stitch Pattern Glass Charger 12.6 Inch Dinner Plate With Beaded Rim - Set of 4 - Rose Gold Color</t>
        </is>
      </c>
      <c r="E489" s="1">
        <f>HYPERLINK("https://www.amazon.com/Cross-stitch-Pattern-Charger-Dinner-Beaded/dp/B08K3RMVH6/ref=sr_1_9?keywords=TigerChef+Round+Rose+Gold+Beaded+Rim+Glass+Charger+Plate+13%22&amp;qid=1695764618&amp;sr=8-9", "https://www.amazon.com/Cross-stitch-Pattern-Charger-Dinner-Beaded/dp/B08K3RMVH6/ref=sr_1_9?keywords=TigerChef+Round+Rose+Gold+Beaded+Rim+Glass+Charger+Plate+13%22&amp;qid=1695764618&amp;sr=8-9")</f>
        <v/>
      </c>
      <c r="F489" t="inlineStr">
        <is>
          <t>B08K3RMVH6</t>
        </is>
      </c>
      <c r="G489">
        <f>_xlfn.IMAGE("https://z2a5d5m7.stackpathcdn.com/itempics/Rose-Gold-Glass-13--Charger-Plat-335630_medium.jpg")</f>
        <v/>
      </c>
      <c r="H489">
        <f>_xlfn.IMAGE("https://m.media-amazon.com/images/I/A1yz3g+EUIL._AC_UL320_.jpg")</f>
        <v/>
      </c>
      <c r="K489" t="inlineStr">
        <is>
          <t>7.49</t>
        </is>
      </c>
      <c r="L489" t="n">
        <v>49.99</v>
      </c>
      <c r="M489" s="2" t="inlineStr">
        <is>
          <t>567.42%</t>
        </is>
      </c>
      <c r="N489" t="n">
        <v>4.6</v>
      </c>
      <c r="O489" t="n">
        <v>303</v>
      </c>
      <c r="Q489" t="inlineStr">
        <is>
          <t>InStock</t>
        </is>
      </c>
      <c r="R489" t="inlineStr">
        <is>
          <t>undefined</t>
        </is>
      </c>
      <c r="S489" t="inlineStr">
        <is>
          <t>335630</t>
        </is>
      </c>
    </row>
    <row r="490" ht="75" customHeight="1">
      <c r="A490" s="1">
        <f>HYPERLINK("https://www.tigerchef.com/rose-gold-glass-13-charger-plat.html", "https://www.tigerchef.com/rose-gold-glass-13-charger-plat.html")</f>
        <v/>
      </c>
      <c r="B490" s="1">
        <f>HYPERLINK("https://www.tigerchef.com/rose-gold-glass-13-charger-plat.html", "https://www.tigerchef.com/rose-gold-glass-13-charger-plat.html")</f>
        <v/>
      </c>
      <c r="C490" t="inlineStr">
        <is>
          <t>TigerChef Round Rose Gold Beaded Rim Glass Charger Plate 13"</t>
        </is>
      </c>
      <c r="D490" t="inlineStr">
        <is>
          <t>Maiangel Acrylic Rose Gold Beaded Clear Charger Plates 13" In Bulk Wedding Set of 12, Round Plastic Charger Plates,Decorative Dinner Plates For Table Setting Events</t>
        </is>
      </c>
      <c r="E490" s="1">
        <f>HYPERLINK("https://www.amazon.com/Maiangel-Acrylic-Charger-Wedding-Decorative/dp/B0BB9L6HRT/ref=sr_1_10?keywords=TigerChef+Round+Rose+Gold+Beaded+Rim+Glass+Charger+Plate+13%22&amp;qid=1695764618&amp;sr=8-10", "https://www.amazon.com/Maiangel-Acrylic-Charger-Wedding-Decorative/dp/B0BB9L6HRT/ref=sr_1_10?keywords=TigerChef+Round+Rose+Gold+Beaded+Rim+Glass+Charger+Plate+13%22&amp;qid=1695764618&amp;sr=8-10")</f>
        <v/>
      </c>
      <c r="F490" t="inlineStr">
        <is>
          <t>B0BB9L6HRT</t>
        </is>
      </c>
      <c r="G490">
        <f>_xlfn.IMAGE("https://z2a5d5m7.stackpathcdn.com/itempics/Rose-Gold-Glass-13--Charger-Plat-335630_medium.jpg")</f>
        <v/>
      </c>
      <c r="H490">
        <f>_xlfn.IMAGE("https://m.media-amazon.com/images/I/81-HR-VzmDL._AC_UL320_.jpg")</f>
        <v/>
      </c>
      <c r="K490" t="inlineStr">
        <is>
          <t>7.49</t>
        </is>
      </c>
      <c r="L490" t="n">
        <v>44.99</v>
      </c>
      <c r="M490" s="2" t="inlineStr">
        <is>
          <t>500.67%</t>
        </is>
      </c>
      <c r="N490" t="n">
        <v>4.3</v>
      </c>
      <c r="O490" t="n">
        <v>68</v>
      </c>
      <c r="Q490" t="inlineStr">
        <is>
          <t>InStock</t>
        </is>
      </c>
      <c r="R490" t="inlineStr">
        <is>
          <t>undefined</t>
        </is>
      </c>
      <c r="S490" t="inlineStr">
        <is>
          <t>335630</t>
        </is>
      </c>
    </row>
    <row r="491" ht="75" customHeight="1">
      <c r="A491" s="1">
        <f>HYPERLINK("https://www.tigerchef.com/thunder-group--sej50000t-nonstick-30-cup-rice-cooker---warmer.html", "https://www.tigerchef.com/thunder-group--sej50000t-nonstick-30-cup-rice-cooker---warmer.html")</f>
        <v/>
      </c>
      <c r="B491" s="1">
        <f>HYPERLINK("https://www.tigerchef.com/thunder-group--sej50000t-nonstick-30-cup-rice-cooker---warmer.html", "https://www.tigerchef.com/thunder-group--sej50000t-nonstick-30-cup-rice-cooker---warmer.html")</f>
        <v/>
      </c>
      <c r="C491" t="inlineStr">
        <is>
          <t>Thunder Group SEJ50000T Nonstick Rice Cooker / Warmer 30 Cup</t>
        </is>
      </c>
      <c r="D491" t="inlineStr">
        <is>
          <t>Thunder Group SEJ3201, Stainless Steel 30-Cup Rice Warmer, NSF/ETL CERTIFIED</t>
        </is>
      </c>
      <c r="E491" s="1">
        <f>HYPERLINK("https://www.amazon.com/Thunder-Group-SEJ3201-Stainless-CERTIFIED/dp/B01HOIY2QI/ref=sr_1_6?keywords=Thunder+Group+SEJ50000T+Nonstick+Rice+Cooker+%2F+Warmer+30+Cup&amp;qid=1695764618&amp;sr=8-6", "https://www.amazon.com/Thunder-Group-SEJ3201-Stainless-CERTIFIED/dp/B01HOIY2QI/ref=sr_1_6?keywords=Thunder+Group+SEJ50000T+Nonstick+Rice+Cooker+%2F+Warmer+30+Cup&amp;qid=1695764618&amp;sr=8-6")</f>
        <v/>
      </c>
      <c r="F491" t="inlineStr">
        <is>
          <t>B01HOIY2QI</t>
        </is>
      </c>
      <c r="G491">
        <f>_xlfn.IMAGE("https://z2a5d5m7.stackpathcdn.com/itempics/Thunder-Group-SEJ50000T-Nonstick-Rice-Cooker---Warmer-30-Cup-59897_medium.jpg")</f>
        <v/>
      </c>
      <c r="H491">
        <f>_xlfn.IMAGE("https://m.media-amazon.com/images/I/41nwWJfytcL._AC_UY218_.jpg")</f>
        <v/>
      </c>
      <c r="K491" t="inlineStr">
        <is>
          <t>149.99</t>
        </is>
      </c>
      <c r="L491" t="n">
        <v>259.91</v>
      </c>
      <c r="M491" s="2" t="inlineStr">
        <is>
          <t>73.28%</t>
        </is>
      </c>
      <c r="N491" t="n">
        <v>4.5</v>
      </c>
      <c r="O491" t="n">
        <v>8</v>
      </c>
      <c r="Q491" t="inlineStr">
        <is>
          <t>InStock</t>
        </is>
      </c>
      <c r="R491" t="inlineStr">
        <is>
          <t>543.7</t>
        </is>
      </c>
      <c r="S491" t="inlineStr">
        <is>
          <t>59897</t>
        </is>
      </c>
    </row>
    <row r="492" ht="75" customHeight="1">
      <c r="A492" s="1">
        <f>HYPERLINK("https://www.tigerchef.com/thunder-group-slrcf0833gh-8-qt.html", "https://www.tigerchef.com/thunder-group-slrcf0833gh-8-qt.html")</f>
        <v/>
      </c>
      <c r="B492" s="1">
        <f>HYPERLINK("https://www.tigerchef.com/thunder-group-slrcf0833gh-8-qt.html", "https://www.tigerchef.com/thunder-group-slrcf0833gh-8-qt.html")</f>
        <v/>
      </c>
      <c r="C492" t="inlineStr">
        <is>
          <t>Thunder Group SLRCF0833GH Stainless Steel Oblong Chafer with Gold Accents 8 Qt.</t>
        </is>
      </c>
      <c r="D492" t="inlineStr">
        <is>
          <t>Thunder Group SLRCF0833GH Chafer, 8 quart, full-size, oblong, dripless water pan, lift-off lid, fuel holder and plate, gold handles and support beams, stainless steel</t>
        </is>
      </c>
      <c r="E492" s="1">
        <f>HYPERLINK("https://www.amazon.com/Thunder-Group-SLRCF0833GH-full-size-stainless/dp/B002NQH3Q8/ref=sr_1_1?keywords=Thunder+Group+SLRCF0833GH+Stainless+Steel+Oblong+Chafer+with+Gold+Accents+8+Qt.&amp;qid=1695764621&amp;sr=8-1", "https://www.amazon.com/Thunder-Group-SLRCF0833GH-full-size-stainless/dp/B002NQH3Q8/ref=sr_1_1?keywords=Thunder+Group+SLRCF0833GH+Stainless+Steel+Oblong+Chafer+with+Gold+Accents+8+Qt.&amp;qid=1695764621&amp;sr=8-1")</f>
        <v/>
      </c>
      <c r="F492" t="inlineStr">
        <is>
          <t>B002NQH3Q8</t>
        </is>
      </c>
      <c r="G492">
        <f>_xlfn.IMAGE("https://z2a5d5m7.stackpathcdn.com/itempics/Thunder-Group-SLRCF0833GH-8-Qt--Oblong-Chafer-22669_medium.jpg")</f>
        <v/>
      </c>
      <c r="H492">
        <f>_xlfn.IMAGE("https://m.media-amazon.com/images/I/71a2MHnxxXL._AC_UL320_.jpg")</f>
        <v/>
      </c>
      <c r="K492" t="inlineStr">
        <is>
          <t>39.99</t>
        </is>
      </c>
      <c r="L492" t="n">
        <v>107.24</v>
      </c>
      <c r="M492" s="2" t="inlineStr">
        <is>
          <t>168.17%</t>
        </is>
      </c>
      <c r="N492" t="n">
        <v>4</v>
      </c>
      <c r="O492" t="n">
        <v>20</v>
      </c>
      <c r="Q492" t="inlineStr">
        <is>
          <t>InStock</t>
        </is>
      </c>
      <c r="R492" t="inlineStr">
        <is>
          <t>196.92</t>
        </is>
      </c>
      <c r="S492" t="inlineStr">
        <is>
          <t>22669</t>
        </is>
      </c>
    </row>
    <row r="493" ht="75" customHeight="1">
      <c r="A493" s="1">
        <f>HYPERLINK("https://www.tigerchef.com/tiger-chef-antique-antique-charger-plates.html", "https://www.tigerchef.com/tiger-chef-antique-antique-charger-plates.html")</f>
        <v/>
      </c>
      <c r="B493" s="1">
        <f>HYPERLINK("https://www.tigerchef.com/tiger-chef-antique-antique-charger-plates.html", "https://www.tigerchef.com/tiger-chef-antique-antique-charger-plates.html")</f>
        <v/>
      </c>
      <c r="C493" t="inlineStr">
        <is>
          <t>TigerChef Round Antique Black Charger Plate 13"</t>
        </is>
      </c>
      <c r="D493" t="inlineStr">
        <is>
          <t>MAONAME 13" Black Charger Plates Set of 6, Scallop Plate Chargers with Gold Rim, Round Chargers for Dinner Plates, Plastic Chargers for Table Setting, Wedding Decor</t>
        </is>
      </c>
      <c r="E493" s="1">
        <f>HYPERLINK("https://www.amazon.com/MAONAME-Scalloped-Charger-Chargers-Decorative/dp/B0BHP2J3P7/ref=sr_1_6?keywords=TigerChef+Round+Antique+Black+Charger+Plate+13%22&amp;qid=1695764619&amp;sr=8-6", "https://www.amazon.com/MAONAME-Scalloped-Charger-Chargers-Decorative/dp/B0BHP2J3P7/ref=sr_1_6?keywords=TigerChef+Round+Antique+Black+Charger+Plate+13%22&amp;qid=1695764619&amp;sr=8-6")</f>
        <v/>
      </c>
      <c r="F493" t="inlineStr">
        <is>
          <t>B0BHP2J3P7</t>
        </is>
      </c>
      <c r="G493">
        <f>_xlfn.IMAGE("https://z2a5d5m7.stackpathcdn.com/itempics/Tiger-Chef-Antique-Antique-Charger-Plates-335444_medium.jpg")</f>
        <v/>
      </c>
      <c r="H493">
        <f>_xlfn.IMAGE("https://m.media-amazon.com/images/I/616rvusvspL._AC_UL320_.jpg")</f>
        <v/>
      </c>
      <c r="K493" t="inlineStr">
        <is>
          <t>1.59</t>
        </is>
      </c>
      <c r="L493" t="n">
        <v>32.95</v>
      </c>
      <c r="M493" s="2" t="inlineStr">
        <is>
          <t>1972.33%</t>
        </is>
      </c>
      <c r="N493" t="n">
        <v>4</v>
      </c>
      <c r="O493" t="n">
        <v>10</v>
      </c>
      <c r="Q493" t="inlineStr">
        <is>
          <t>InStock</t>
        </is>
      </c>
      <c r="R493" t="inlineStr">
        <is>
          <t>5.39</t>
        </is>
      </c>
      <c r="S493" t="inlineStr">
        <is>
          <t>335444</t>
        </is>
      </c>
    </row>
    <row r="494" ht="75" customHeight="1">
      <c r="A494" s="1">
        <f>HYPERLINK("https://www.tigerchef.com/tigerchef-round-gold-antique-charger-plate-13.html", "https://www.tigerchef.com/tigerchef-round-gold-antique-charger-plate-13.html")</f>
        <v/>
      </c>
      <c r="B494" s="1">
        <f>HYPERLINK("https://www.tigerchef.com/tigerchef-round-gold-antique-charger-plate-13.html", "https://www.tigerchef.com/tigerchef-round-gold-antique-charger-plate-13.html")</f>
        <v/>
      </c>
      <c r="C494" t="inlineStr">
        <is>
          <t>TigerChef Round Antique Gold Charger Plate 13"</t>
        </is>
      </c>
      <c r="D494" t="inlineStr">
        <is>
          <t>Tiger Chef 13-inch Royal Antiqued White Round Vintage Charger Plates, Set of 2,4,6, 12 or 24 Dinner Chargers (24, Antique White Gold)</t>
        </is>
      </c>
      <c r="E494" s="1">
        <f>HYPERLINK("https://www.amazon.com/Tiger-Chef-13-inch-Antiqued-Chargers/dp/B0CJ173P5L/ref=sr_1_4?keywords=TigerChef+Round+Antique+Gold+Charger+Plate+13%22&amp;qid=1695764617&amp;sr=8-4", "https://www.amazon.com/Tiger-Chef-13-inch-Antiqued-Chargers/dp/B0CJ173P5L/ref=sr_1_4?keywords=TigerChef+Round+Antique+Gold+Charger+Plate+13%22&amp;qid=1695764617&amp;sr=8-4")</f>
        <v/>
      </c>
      <c r="F494" t="inlineStr">
        <is>
          <t>B0CJ173P5L</t>
        </is>
      </c>
      <c r="G494">
        <f>_xlfn.IMAGE("https://z2a5d5m7.stackpathcdn.com/itempics/TigerChef-Round-Gold-Antique-Charger-Plate-13--302266_medium.jpg")</f>
        <v/>
      </c>
      <c r="H494">
        <f>_xlfn.IMAGE("https://m.media-amazon.com/images/I/3161KWK4daL._AC_UL320_.jpg")</f>
        <v/>
      </c>
      <c r="K494" t="inlineStr">
        <is>
          <t>1.69</t>
        </is>
      </c>
      <c r="L494" t="n">
        <v>59.99</v>
      </c>
      <c r="M494" s="2" t="inlineStr">
        <is>
          <t>3449.70%</t>
        </is>
      </c>
      <c r="N494" t="n">
        <v>4.5</v>
      </c>
      <c r="O494" t="n">
        <v>1411</v>
      </c>
      <c r="Q494" t="inlineStr">
        <is>
          <t>InStock</t>
        </is>
      </c>
      <c r="R494" t="inlineStr">
        <is>
          <t>5.39</t>
        </is>
      </c>
      <c r="S494" t="inlineStr">
        <is>
          <t>302266</t>
        </is>
      </c>
    </row>
    <row r="495" ht="75" customHeight="1">
      <c r="A495" s="1">
        <f>HYPERLINK("https://www.tigerchef.com/tigerchef-round-gold-antique-charger-plate-13.html", "https://www.tigerchef.com/tigerchef-round-gold-antique-charger-plate-13.html")</f>
        <v/>
      </c>
      <c r="B495" s="1">
        <f>HYPERLINK("https://www.tigerchef.com/tigerchef-round-gold-antique-charger-plate-13.html", "https://www.tigerchef.com/tigerchef-round-gold-antique-charger-plate-13.html")</f>
        <v/>
      </c>
      <c r="C495" t="inlineStr">
        <is>
          <t>TigerChef Round Antique Gold Charger Plate 13"</t>
        </is>
      </c>
      <c r="D495" t="inlineStr">
        <is>
          <t>Badash Gold Border Glass Charger Plate - 13" Round Glass Charger with Elegant Gold Leaf Accent- Beautiful Food-Safe European Handcrafted Classic Dinnerware</t>
        </is>
      </c>
      <c r="E495" s="1">
        <f>HYPERLINK("https://www.amazon.com/Badash-Crystal-Round-Charger-Border/dp/B07YSVH2KD/ref=sr_1_1?keywords=TigerChef+Round+Antique+Gold+Charger+Plate+13%22&amp;qid=1695764617&amp;sr=8-1", "https://www.amazon.com/Badash-Crystal-Round-Charger-Border/dp/B07YSVH2KD/ref=sr_1_1?keywords=TigerChef+Round+Antique+Gold+Charger+Plate+13%22&amp;qid=1695764617&amp;sr=8-1")</f>
        <v/>
      </c>
      <c r="F495" t="inlineStr">
        <is>
          <t>B07YSVH2KD</t>
        </is>
      </c>
      <c r="G495">
        <f>_xlfn.IMAGE("https://z2a5d5m7.stackpathcdn.com/itempics/TigerChef-Round-Gold-Antique-Charger-Plate-13--302266_medium.jpg")</f>
        <v/>
      </c>
      <c r="H495">
        <f>_xlfn.IMAGE("https://m.media-amazon.com/images/I/917OL1zY9rL._AC_UL320_.jpg")</f>
        <v/>
      </c>
      <c r="K495" t="inlineStr">
        <is>
          <t>1.69</t>
        </is>
      </c>
      <c r="L495" t="n">
        <v>48.99</v>
      </c>
      <c r="M495" s="2" t="inlineStr">
        <is>
          <t>2798.82%</t>
        </is>
      </c>
      <c r="N495" t="n">
        <v>5</v>
      </c>
      <c r="O495" t="n">
        <v>3</v>
      </c>
      <c r="Q495" t="inlineStr">
        <is>
          <t>InStock</t>
        </is>
      </c>
      <c r="R495" t="inlineStr">
        <is>
          <t>5.39</t>
        </is>
      </c>
      <c r="S495" t="inlineStr">
        <is>
          <t>302266</t>
        </is>
      </c>
    </row>
    <row r="496" ht="75" customHeight="1">
      <c r="A496" s="1">
        <f>HYPERLINK("https://www.tigerchef.com/tigerchef-round-gold-antique-charger-plate-13.html", "https://www.tigerchef.com/tigerchef-round-gold-antique-charger-plate-13.html")</f>
        <v/>
      </c>
      <c r="B496" s="1">
        <f>HYPERLINK("https://www.tigerchef.com/tigerchef-round-gold-antique-charger-plate-13.html", "https://www.tigerchef.com/tigerchef-round-gold-antique-charger-plate-13.html")</f>
        <v/>
      </c>
      <c r="C496" t="inlineStr">
        <is>
          <t>TigerChef Round Antique Gold Charger Plate 13"</t>
        </is>
      </c>
      <c r="D496" t="inlineStr">
        <is>
          <t>MAONAME White Charger Plates with Gold Rim, Round Antique Plate Chargers for Dinner Plates, 13" Plastic Charger for Wedding Table Setting, Set of 6</t>
        </is>
      </c>
      <c r="E496" s="1">
        <f>HYPERLINK("https://www.amazon.com/MAONAME-Charger-Antique-Chargers-Plastic/dp/B09FJNBGCZ/ref=sr_1_10?keywords=TigerChef+Round+Antique+Gold+Charger+Plate+13%22&amp;qid=1695764617&amp;sr=8-10", "https://www.amazon.com/MAONAME-Charger-Antique-Chargers-Plastic/dp/B09FJNBGCZ/ref=sr_1_10?keywords=TigerChef+Round+Antique+Gold+Charger+Plate+13%22&amp;qid=1695764617&amp;sr=8-10")</f>
        <v/>
      </c>
      <c r="F496" t="inlineStr">
        <is>
          <t>B09FJNBGCZ</t>
        </is>
      </c>
      <c r="G496">
        <f>_xlfn.IMAGE("https://z2a5d5m7.stackpathcdn.com/itempics/TigerChef-Round-Gold-Antique-Charger-Plate-13--302266_medium.jpg")</f>
        <v/>
      </c>
      <c r="H496">
        <f>_xlfn.IMAGE("https://m.media-amazon.com/images/I/61omk4pFaxL._AC_UL320_.jpg")</f>
        <v/>
      </c>
      <c r="K496" t="inlineStr">
        <is>
          <t>1.69</t>
        </is>
      </c>
      <c r="L496" t="n">
        <v>32.98</v>
      </c>
      <c r="M496" s="2" t="inlineStr">
        <is>
          <t>1851.48%</t>
        </is>
      </c>
      <c r="N496" t="n">
        <v>4.6</v>
      </c>
      <c r="O496" t="n">
        <v>358</v>
      </c>
      <c r="Q496" t="inlineStr">
        <is>
          <t>InStock</t>
        </is>
      </c>
      <c r="R496" t="inlineStr">
        <is>
          <t>5.39</t>
        </is>
      </c>
      <c r="S496" t="inlineStr">
        <is>
          <t>302266</t>
        </is>
      </c>
    </row>
    <row r="497" ht="75" customHeight="1">
      <c r="A497" s="1">
        <f>HYPERLINK("https://www.tigerchef.com/winco-kfp-100-10-chef-knife.html", "https://www.tigerchef.com/winco-kfp-100-10-chef-knife.html")</f>
        <v/>
      </c>
      <c r="B497" s="1">
        <f>HYPERLINK("https://www.tigerchef.com/winco-kfp-100-10-chef-knife.html", "https://www.tigerchef.com/winco-kfp-100-10-chef-knife.html")</f>
        <v/>
      </c>
      <c r="C497" t="inlineStr">
        <is>
          <t>Winco KFP-100 One-Piece Full Tang Chef Knife 10"</t>
        </is>
      </c>
      <c r="D497" t="inlineStr">
        <is>
          <t>Winco KFP-103, 10″ Acero Chef’s Knife with Hollow Ground, Cook's Knife with Black Handle, Triple Riveted One Piece Full Tang Professional Chefs Knife</t>
        </is>
      </c>
      <c r="E497" s="1">
        <f>HYPERLINK("https://www.amazon.com/Winco-KFP-103-Hollow-Riveted-Professional/dp/B07C8432YD/ref=sr_1_4?keywords=Winco+KFP-100+One-Piece+Full+Tang+Chef+Knife+10%22&amp;qid=1695764626&amp;sr=8-4", "https://www.amazon.com/Winco-KFP-103-Hollow-Riveted-Professional/dp/B07C8432YD/ref=sr_1_4?keywords=Winco+KFP-100+One-Piece+Full+Tang+Chef+Knife+10%22&amp;qid=1695764626&amp;sr=8-4")</f>
        <v/>
      </c>
      <c r="F497" t="inlineStr">
        <is>
          <t>B07C8432YD</t>
        </is>
      </c>
      <c r="G497">
        <f>_xlfn.IMAGE("https://z2a5d5m7.stackpathcdn.com/itempics/Winco-KFP-100-One-Piece-Full-Tang-Chef-Knife-10-quot--41915_medium.jpg")</f>
        <v/>
      </c>
      <c r="H497">
        <f>_xlfn.IMAGE("https://m.media-amazon.com/images/I/31yLKOJfukL._AC_UL320_.jpg")</f>
        <v/>
      </c>
      <c r="K497" t="inlineStr">
        <is>
          <t>17.99</t>
        </is>
      </c>
      <c r="L497" t="n">
        <v>39.95</v>
      </c>
      <c r="M497" s="2" t="inlineStr">
        <is>
          <t>122.07%</t>
        </is>
      </c>
      <c r="N497" t="n">
        <v>3.8</v>
      </c>
      <c r="O497" t="n">
        <v>2</v>
      </c>
      <c r="Q497" t="inlineStr">
        <is>
          <t>InStock</t>
        </is>
      </c>
      <c r="R497" t="inlineStr">
        <is>
          <t>46.2</t>
        </is>
      </c>
      <c r="S497" t="inlineStr">
        <is>
          <t>41915</t>
        </is>
      </c>
    </row>
    <row r="498" ht="75" customHeight="1">
      <c r="A498" s="1">
        <f>HYPERLINK("https://www.tigerchef.com/winco-kfp-100-10-chef-knife.html", "https://www.tigerchef.com/winco-kfp-100-10-chef-knife.html")</f>
        <v/>
      </c>
      <c r="B498" s="1">
        <f>HYPERLINK("https://www.tigerchef.com/winco-kfp-100-10-chef-knife.html", "https://www.tigerchef.com/winco-kfp-100-10-chef-knife.html")</f>
        <v/>
      </c>
      <c r="C498" t="inlineStr">
        <is>
          <t>Winco KFP-100 One-Piece Full Tang Chef Knife 10"</t>
        </is>
      </c>
      <c r="D498" t="inlineStr">
        <is>
          <t>Winco KFP-104, 10″ Acero Chef’s Knife with Short Bolster, Cook's Knife with Black Handle, Triple Riveted One Piece Full Tang Professional Chefs Knife</t>
        </is>
      </c>
      <c r="E498" s="1">
        <f>HYPERLINK("https://www.amazon.com/Winco-KFP-104-Bolster-Riveted-Professional/dp/B07C83TBGL/ref=sr_1_2?keywords=Winco+KFP-100+One-Piece+Full+Tang+Chef+Knife+10%22&amp;qid=1695764626&amp;sr=8-2", "https://www.amazon.com/Winco-KFP-104-Bolster-Riveted-Professional/dp/B07C83TBGL/ref=sr_1_2?keywords=Winco+KFP-100+One-Piece+Full+Tang+Chef+Knife+10%22&amp;qid=1695764626&amp;sr=8-2")</f>
        <v/>
      </c>
      <c r="F498" t="inlineStr">
        <is>
          <t>B07C83TBGL</t>
        </is>
      </c>
      <c r="G498">
        <f>_xlfn.IMAGE("https://z2a5d5m7.stackpathcdn.com/itempics/Winco-KFP-100-One-Piece-Full-Tang-Chef-Knife-10-quot--41915_medium.jpg")</f>
        <v/>
      </c>
      <c r="H498">
        <f>_xlfn.IMAGE("https://m.media-amazon.com/images/I/31hsuAlTARL._AC_UL320_.jpg")</f>
        <v/>
      </c>
      <c r="K498" t="inlineStr">
        <is>
          <t>17.99</t>
        </is>
      </c>
      <c r="L498" t="n">
        <v>33.89</v>
      </c>
      <c r="M498" s="2" t="inlineStr">
        <is>
          <t>88.38%</t>
        </is>
      </c>
      <c r="N498" t="n">
        <v>5</v>
      </c>
      <c r="O498" t="n">
        <v>4</v>
      </c>
      <c r="Q498" t="inlineStr">
        <is>
          <t>InStock</t>
        </is>
      </c>
      <c r="R498" t="inlineStr">
        <is>
          <t>46.2</t>
        </is>
      </c>
      <c r="S498" t="inlineStr">
        <is>
          <t>41915</t>
        </is>
      </c>
    </row>
    <row r="499" ht="75" customHeight="1">
      <c r="A499" s="1">
        <f>HYPERLINK("https://www.tigerchef.com/winco-kfp-100-10-chef-knife.html", "https://www.tigerchef.com/winco-kfp-100-10-chef-knife.html")</f>
        <v/>
      </c>
      <c r="B499" s="1">
        <f>HYPERLINK("https://www.tigerchef.com/winco-kfp-100-10-chef-knife.html", "https://www.tigerchef.com/winco-kfp-100-10-chef-knife.html")</f>
        <v/>
      </c>
      <c r="C499" t="inlineStr">
        <is>
          <t>Winco KFP-100 One-Piece Full Tang Chef Knife 10"</t>
        </is>
      </c>
      <c r="D499" t="inlineStr">
        <is>
          <t>Winco KFP-84, 8″ Acero Chef’s Knife with Hollow Ground, Cook's Knife with Black Handle, Triple Riveted One Piece Full Tang Professional Chefs Knife</t>
        </is>
      </c>
      <c r="E499" s="1">
        <f>HYPERLINK("https://www.amazon.com/Winco-KFP-84-Hollow-Riveted-Professional/dp/B07CGNL45K/ref=sr_1_3?keywords=Winco+KFP-100+One-Piece+Full+Tang+Chef+Knife+10%22&amp;qid=1695764626&amp;sr=8-3", "https://www.amazon.com/Winco-KFP-84-Hollow-Riveted-Professional/dp/B07CGNL45K/ref=sr_1_3?keywords=Winco+KFP-100+One-Piece+Full+Tang+Chef+Knife+10%22&amp;qid=1695764626&amp;sr=8-3")</f>
        <v/>
      </c>
      <c r="F499" t="inlineStr">
        <is>
          <t>B07CGNL45K</t>
        </is>
      </c>
      <c r="G499">
        <f>_xlfn.IMAGE("https://z2a5d5m7.stackpathcdn.com/itempics/Winco-KFP-100-One-Piece-Full-Tang-Chef-Knife-10-quot--41915_medium.jpg")</f>
        <v/>
      </c>
      <c r="H499">
        <f>_xlfn.IMAGE("https://m.media-amazon.com/images/I/51Xstx6syEL._AC_UL320_.jpg")</f>
        <v/>
      </c>
      <c r="K499" t="inlineStr">
        <is>
          <t>17.99</t>
        </is>
      </c>
      <c r="L499" t="n">
        <v>33.12</v>
      </c>
      <c r="M499" s="2" t="inlineStr">
        <is>
          <t>84.10%</t>
        </is>
      </c>
      <c r="N499" t="n">
        <v>5</v>
      </c>
      <c r="O499" t="n">
        <v>4</v>
      </c>
      <c r="Q499" t="inlineStr">
        <is>
          <t>InStock</t>
        </is>
      </c>
      <c r="R499" t="inlineStr">
        <is>
          <t>46.2</t>
        </is>
      </c>
      <c r="S499" t="inlineStr">
        <is>
          <t>41915</t>
        </is>
      </c>
    </row>
  </sheetData>
  <autoFilter ref="A1:W499">
    <sortState ref="A2:W499">
      <sortCondition ref="A1:A49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2023-09-28T00:58:38Z</dcterms:created>
  <dcterms:modified xsi:type="dcterms:W3CDTF">2023-09-29T19:58:42Z</dcterms:modified>
  <cp:lastModifiedBy>John Connolly</cp:lastModifiedBy>
</cp:coreProperties>
</file>