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amHardening Paper Schroeter\Messungen Plättchen\"/>
    </mc:Choice>
  </mc:AlternateContent>
  <bookViews>
    <workbookView xWindow="600" yWindow="45" windowWidth="27315" windowHeight="14880" firstSheet="8" activeTab="8"/>
  </bookViews>
  <sheets>
    <sheet name="Kalibrierung" sheetId="7" state="hidden" r:id="rId1"/>
    <sheet name="Packungsdichten" sheetId="8" state="hidden" r:id="rId2"/>
    <sheet name="Auswertung" sheetId="2" state="hidden" r:id="rId3"/>
    <sheet name="Suche nach I_0" sheetId="9" state="hidden" r:id="rId4"/>
    <sheet name="Packungsdichten_alt" sheetId="6" state="hidden" r:id="rId5"/>
    <sheet name="Path length packaging" sheetId="4" state="hidden" r:id="rId6"/>
    <sheet name="Suchen25" sheetId="5" state="hidden" r:id="rId7"/>
    <sheet name="Kalibirierung_alt" sheetId="3" state="hidden" r:id="rId8"/>
    <sheet name="Tabelle1" sheetId="11" r:id="rId9"/>
    <sheet name="Diagramm1" sheetId="13" r:id="rId10"/>
    <sheet name="Tabelle2" sheetId="12" r:id="rId11"/>
  </sheets>
  <calcPr calcId="162913" concurrentCalc="0"/>
</workbook>
</file>

<file path=xl/calcChain.xml><?xml version="1.0" encoding="utf-8"?>
<calcChain xmlns="http://schemas.openxmlformats.org/spreadsheetml/2006/main">
  <c r="H5" i="12" l="1"/>
  <c r="H6" i="12"/>
  <c r="H7" i="12"/>
  <c r="H8" i="12"/>
  <c r="H9" i="12"/>
  <c r="H10" i="12"/>
  <c r="H11" i="12"/>
  <c r="H12" i="12"/>
  <c r="H13" i="12"/>
  <c r="H14" i="12"/>
  <c r="H122" i="11"/>
  <c r="J122" i="11"/>
  <c r="L122" i="11"/>
  <c r="H15" i="12"/>
  <c r="H16" i="12"/>
  <c r="H17" i="12"/>
  <c r="H18" i="12"/>
  <c r="H19" i="12"/>
  <c r="H20" i="12"/>
  <c r="H21" i="12"/>
  <c r="H22" i="12"/>
  <c r="H23" i="12"/>
  <c r="H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H47" i="11"/>
  <c r="J47" i="11"/>
  <c r="L47" i="11"/>
  <c r="E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4" i="12"/>
  <c r="B21" i="12"/>
  <c r="B22" i="12"/>
  <c r="B23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4" i="12"/>
  <c r="L130" i="11"/>
  <c r="L129" i="11"/>
  <c r="L128" i="11"/>
  <c r="L127" i="11"/>
  <c r="L126" i="11"/>
  <c r="L125" i="11"/>
  <c r="L124" i="11"/>
  <c r="L123" i="11"/>
  <c r="L121" i="11"/>
  <c r="L120" i="11"/>
  <c r="L119" i="11"/>
  <c r="L118" i="11"/>
  <c r="L117" i="11"/>
  <c r="L116" i="11"/>
  <c r="L115" i="11"/>
  <c r="L114" i="11"/>
  <c r="L113" i="11"/>
  <c r="L112" i="11"/>
  <c r="L111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4" i="11"/>
  <c r="J130" i="11"/>
  <c r="J129" i="11"/>
  <c r="J128" i="11"/>
  <c r="J127" i="11"/>
  <c r="J126" i="11"/>
  <c r="J125" i="11"/>
  <c r="J124" i="11"/>
  <c r="J123" i="11"/>
  <c r="J121" i="11"/>
  <c r="J120" i="11"/>
  <c r="J119" i="11"/>
  <c r="J118" i="11"/>
  <c r="J117" i="11"/>
  <c r="J116" i="11"/>
  <c r="J115" i="11"/>
  <c r="J114" i="11"/>
  <c r="J113" i="11"/>
  <c r="J112" i="11"/>
  <c r="J111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1" i="11"/>
  <c r="H112" i="11"/>
  <c r="H113" i="11"/>
  <c r="H114" i="11"/>
  <c r="H115" i="11"/>
  <c r="H116" i="11"/>
  <c r="H117" i="11"/>
  <c r="H118" i="11"/>
  <c r="H119" i="11"/>
  <c r="H120" i="11"/>
  <c r="H121" i="11"/>
  <c r="H123" i="11"/>
  <c r="H124" i="11"/>
  <c r="H125" i="11"/>
  <c r="H126" i="11"/>
  <c r="H127" i="11"/>
  <c r="H128" i="11"/>
  <c r="H129" i="11"/>
  <c r="H130" i="11"/>
  <c r="H133" i="11"/>
  <c r="H134" i="11"/>
  <c r="H135" i="11"/>
  <c r="H137" i="11"/>
  <c r="H138" i="11"/>
  <c r="H139" i="11"/>
  <c r="H4" i="11"/>
  <c r="G138" i="11"/>
  <c r="G139" i="11"/>
  <c r="G134" i="11"/>
  <c r="G135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26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5" i="11"/>
  <c r="B22" i="2"/>
  <c r="F5" i="7"/>
  <c r="O5" i="7"/>
  <c r="I5" i="7"/>
  <c r="K5" i="7"/>
  <c r="L5" i="7"/>
  <c r="N5" i="7"/>
  <c r="M6" i="7"/>
  <c r="B23" i="2"/>
  <c r="F6" i="7"/>
  <c r="O6" i="7"/>
  <c r="M7" i="7"/>
  <c r="B25" i="2"/>
  <c r="F7" i="7"/>
  <c r="O7" i="7"/>
  <c r="G44" i="2"/>
  <c r="H44" i="2"/>
  <c r="F58" i="8"/>
  <c r="K8" i="7"/>
  <c r="L8" i="7"/>
  <c r="M8" i="7"/>
  <c r="N8" i="7"/>
  <c r="G58" i="8"/>
  <c r="C58" i="8"/>
  <c r="G45" i="2"/>
  <c r="H45" i="2"/>
  <c r="F59" i="8"/>
  <c r="G59" i="8"/>
  <c r="C59" i="8"/>
  <c r="G46" i="2"/>
  <c r="H46" i="2"/>
  <c r="F60" i="8"/>
  <c r="G60" i="8"/>
  <c r="C60" i="8"/>
  <c r="G43" i="2"/>
  <c r="H43" i="2"/>
  <c r="F57" i="8"/>
  <c r="G57" i="8"/>
  <c r="C57" i="8"/>
  <c r="K44" i="2"/>
  <c r="M44" i="2"/>
  <c r="N44" i="2"/>
  <c r="E58" i="8"/>
  <c r="B58" i="8"/>
  <c r="K45" i="2"/>
  <c r="M45" i="2"/>
  <c r="N45" i="2"/>
  <c r="E59" i="8"/>
  <c r="B59" i="8"/>
  <c r="K46" i="2"/>
  <c r="M46" i="2"/>
  <c r="N46" i="2"/>
  <c r="E60" i="8"/>
  <c r="B60" i="8"/>
  <c r="K43" i="2"/>
  <c r="M43" i="2"/>
  <c r="N43" i="2"/>
  <c r="E57" i="8"/>
  <c r="B57" i="8"/>
  <c r="M7" i="2"/>
  <c r="N7" i="2"/>
  <c r="E48" i="8"/>
  <c r="G48" i="8"/>
  <c r="B48" i="8"/>
  <c r="M8" i="2"/>
  <c r="N8" i="2"/>
  <c r="E49" i="8"/>
  <c r="G49" i="8"/>
  <c r="B49" i="8"/>
  <c r="M9" i="2"/>
  <c r="N9" i="2"/>
  <c r="E50" i="8"/>
  <c r="G50" i="8"/>
  <c r="B50" i="8"/>
  <c r="M10" i="2"/>
  <c r="N10" i="2"/>
  <c r="E51" i="8"/>
  <c r="G51" i="8"/>
  <c r="B51" i="8"/>
  <c r="M11" i="2"/>
  <c r="N11" i="2"/>
  <c r="E52" i="8"/>
  <c r="G52" i="8"/>
  <c r="B52" i="8"/>
  <c r="M12" i="2"/>
  <c r="N12" i="2"/>
  <c r="E53" i="8"/>
  <c r="G53" i="8"/>
  <c r="B53" i="8"/>
  <c r="M13" i="2"/>
  <c r="N13" i="2"/>
  <c r="E54" i="8"/>
  <c r="G54" i="8"/>
  <c r="B54" i="8"/>
  <c r="M6" i="2"/>
  <c r="N6" i="2"/>
  <c r="E47" i="8"/>
  <c r="G47" i="8"/>
  <c r="B47" i="8"/>
  <c r="H7" i="2"/>
  <c r="I7" i="2"/>
  <c r="F48" i="8"/>
  <c r="C48" i="8"/>
  <c r="H8" i="2"/>
  <c r="I8" i="2"/>
  <c r="F49" i="8"/>
  <c r="C49" i="8"/>
  <c r="H9" i="2"/>
  <c r="I9" i="2"/>
  <c r="F50" i="8"/>
  <c r="C50" i="8"/>
  <c r="H10" i="2"/>
  <c r="I10" i="2"/>
  <c r="F51" i="8"/>
  <c r="C51" i="8"/>
  <c r="H11" i="2"/>
  <c r="I11" i="2"/>
  <c r="F52" i="8"/>
  <c r="C52" i="8"/>
  <c r="H12" i="2"/>
  <c r="I12" i="2"/>
  <c r="F53" i="8"/>
  <c r="C53" i="8"/>
  <c r="H13" i="2"/>
  <c r="I13" i="2"/>
  <c r="F54" i="8"/>
  <c r="C54" i="8"/>
  <c r="H6" i="2"/>
  <c r="I6" i="2"/>
  <c r="F47" i="8"/>
  <c r="C47" i="8"/>
  <c r="G28" i="8"/>
  <c r="G26" i="8"/>
  <c r="I60" i="8"/>
  <c r="I59" i="8"/>
  <c r="I58" i="8"/>
  <c r="I57" i="8"/>
  <c r="I54" i="8"/>
  <c r="I53" i="8"/>
  <c r="I52" i="8"/>
  <c r="I51" i="8"/>
  <c r="I50" i="8"/>
  <c r="I49" i="8"/>
  <c r="I48" i="8"/>
  <c r="I47" i="8"/>
  <c r="J15" i="7"/>
  <c r="M15" i="7"/>
  <c r="G27" i="8"/>
  <c r="J18" i="7"/>
  <c r="L18" i="7"/>
  <c r="E26" i="8"/>
  <c r="B26" i="8"/>
  <c r="F27" i="8"/>
  <c r="E27" i="8"/>
  <c r="B27" i="8"/>
  <c r="C27" i="8"/>
  <c r="D27" i="8"/>
  <c r="I27" i="8"/>
  <c r="I26" i="8"/>
  <c r="F26" i="8"/>
  <c r="C26" i="8"/>
  <c r="D26" i="8"/>
  <c r="F28" i="8"/>
  <c r="E8" i="9"/>
  <c r="F5" i="9"/>
  <c r="D6" i="9"/>
  <c r="D7" i="9"/>
  <c r="D5" i="9"/>
  <c r="G39" i="8"/>
  <c r="G40" i="8"/>
  <c r="G41" i="8"/>
  <c r="G38" i="8"/>
  <c r="G29" i="8"/>
  <c r="G30" i="8"/>
  <c r="G31" i="8"/>
  <c r="G32" i="8"/>
  <c r="G33" i="8"/>
  <c r="G34" i="8"/>
  <c r="G35" i="8"/>
  <c r="C28" i="8"/>
  <c r="E28" i="8"/>
  <c r="B28" i="8"/>
  <c r="D28" i="8"/>
  <c r="F29" i="8"/>
  <c r="C29" i="8"/>
  <c r="E29" i="8"/>
  <c r="B29" i="8"/>
  <c r="D29" i="8"/>
  <c r="F30" i="8"/>
  <c r="C30" i="8"/>
  <c r="E30" i="8"/>
  <c r="B30" i="8"/>
  <c r="D30" i="8"/>
  <c r="F31" i="8"/>
  <c r="C31" i="8"/>
  <c r="E31" i="8"/>
  <c r="B31" i="8"/>
  <c r="D31" i="8"/>
  <c r="F32" i="8"/>
  <c r="C32" i="8"/>
  <c r="E32" i="8"/>
  <c r="B32" i="8"/>
  <c r="D32" i="8"/>
  <c r="E39" i="8"/>
  <c r="B39" i="8"/>
  <c r="F39" i="8"/>
  <c r="C39" i="8"/>
  <c r="E40" i="8"/>
  <c r="B40" i="8"/>
  <c r="F40" i="8"/>
  <c r="C40" i="8"/>
  <c r="E41" i="8"/>
  <c r="B41" i="8"/>
  <c r="F41" i="8"/>
  <c r="C41" i="8"/>
  <c r="F38" i="8"/>
  <c r="C38" i="8"/>
  <c r="E38" i="8"/>
  <c r="B38" i="8"/>
  <c r="E33" i="8"/>
  <c r="B33" i="8"/>
  <c r="E34" i="8"/>
  <c r="B34" i="8"/>
  <c r="E35" i="8"/>
  <c r="B35" i="8"/>
  <c r="F33" i="8"/>
  <c r="C33" i="8"/>
  <c r="F34" i="8"/>
  <c r="C34" i="8"/>
  <c r="F35" i="8"/>
  <c r="C35" i="8"/>
  <c r="G26" i="7"/>
  <c r="I39" i="8"/>
  <c r="I40" i="8"/>
  <c r="I41" i="8"/>
  <c r="I38" i="8"/>
  <c r="I29" i="8"/>
  <c r="I30" i="8"/>
  <c r="I31" i="8"/>
  <c r="I32" i="8"/>
  <c r="I33" i="8"/>
  <c r="I34" i="8"/>
  <c r="I35" i="8"/>
  <c r="I28" i="8"/>
  <c r="D60" i="8"/>
  <c r="A60" i="8"/>
  <c r="D59" i="8"/>
  <c r="A59" i="8"/>
  <c r="D58" i="8"/>
  <c r="A58" i="8"/>
  <c r="D57" i="8"/>
  <c r="A57" i="8"/>
  <c r="D54" i="8"/>
  <c r="A54" i="8"/>
  <c r="D53" i="8"/>
  <c r="A53" i="8"/>
  <c r="D52" i="8"/>
  <c r="A52" i="8"/>
  <c r="D51" i="8"/>
  <c r="A51" i="8"/>
  <c r="D50" i="8"/>
  <c r="A50" i="8"/>
  <c r="D49" i="8"/>
  <c r="A49" i="8"/>
  <c r="D48" i="8"/>
  <c r="A48" i="8"/>
  <c r="D47" i="8"/>
  <c r="A47" i="8"/>
  <c r="D41" i="8"/>
  <c r="A41" i="8"/>
  <c r="D40" i="8"/>
  <c r="A40" i="8"/>
  <c r="D39" i="8"/>
  <c r="A39" i="8"/>
  <c r="D38" i="8"/>
  <c r="A38" i="8"/>
  <c r="D35" i="8"/>
  <c r="A35" i="8"/>
  <c r="D34" i="8"/>
  <c r="A34" i="8"/>
  <c r="D33" i="8"/>
  <c r="A33" i="8"/>
  <c r="A32" i="8"/>
  <c r="A31" i="8"/>
  <c r="A30" i="8"/>
  <c r="A29" i="8"/>
  <c r="A28" i="8"/>
  <c r="G20" i="8"/>
  <c r="F20" i="8"/>
  <c r="E20" i="8"/>
  <c r="C20" i="8"/>
  <c r="B20" i="8"/>
  <c r="D20" i="8"/>
  <c r="A20" i="8"/>
  <c r="G19" i="8"/>
  <c r="F19" i="8"/>
  <c r="E19" i="8"/>
  <c r="C19" i="8"/>
  <c r="B19" i="8"/>
  <c r="D19" i="8"/>
  <c r="A19" i="8"/>
  <c r="G18" i="8"/>
  <c r="F18" i="8"/>
  <c r="E18" i="8"/>
  <c r="C18" i="8"/>
  <c r="B18" i="8"/>
  <c r="D18" i="8"/>
  <c r="A18" i="8"/>
  <c r="G17" i="8"/>
  <c r="F17" i="8"/>
  <c r="E17" i="8"/>
  <c r="C17" i="8"/>
  <c r="B17" i="8"/>
  <c r="D17" i="8"/>
  <c r="A17" i="8"/>
  <c r="F7" i="8"/>
  <c r="G7" i="8"/>
  <c r="C7" i="8"/>
  <c r="F8" i="8"/>
  <c r="G8" i="8"/>
  <c r="C8" i="8"/>
  <c r="F9" i="8"/>
  <c r="G9" i="8"/>
  <c r="C9" i="8"/>
  <c r="F10" i="8"/>
  <c r="G10" i="8"/>
  <c r="C10" i="8"/>
  <c r="F11" i="8"/>
  <c r="G11" i="8"/>
  <c r="C11" i="8"/>
  <c r="F12" i="8"/>
  <c r="G12" i="8"/>
  <c r="C12" i="8"/>
  <c r="F13" i="8"/>
  <c r="G13" i="8"/>
  <c r="C13" i="8"/>
  <c r="F14" i="8"/>
  <c r="G14" i="8"/>
  <c r="C14" i="8"/>
  <c r="C15" i="8"/>
  <c r="E7" i="8"/>
  <c r="B7" i="8"/>
  <c r="E8" i="8"/>
  <c r="B8" i="8"/>
  <c r="E9" i="8"/>
  <c r="B9" i="8"/>
  <c r="E10" i="8"/>
  <c r="B10" i="8"/>
  <c r="E11" i="8"/>
  <c r="B11" i="8"/>
  <c r="E12" i="8"/>
  <c r="B12" i="8"/>
  <c r="E13" i="8"/>
  <c r="B13" i="8"/>
  <c r="E14" i="8"/>
  <c r="B14" i="8"/>
  <c r="B15" i="8"/>
  <c r="D14" i="8"/>
  <c r="A14" i="8"/>
  <c r="D13" i="8"/>
  <c r="A13" i="8"/>
  <c r="D12" i="8"/>
  <c r="A12" i="8"/>
  <c r="D11" i="8"/>
  <c r="A11" i="8"/>
  <c r="D10" i="8"/>
  <c r="A10" i="8"/>
  <c r="D9" i="8"/>
  <c r="A9" i="8"/>
  <c r="D8" i="8"/>
  <c r="A8" i="8"/>
  <c r="D7" i="8"/>
  <c r="A7" i="8"/>
  <c r="M18" i="7"/>
  <c r="C8" i="7"/>
  <c r="I30" i="7"/>
  <c r="J30" i="7"/>
  <c r="C6" i="7"/>
  <c r="I28" i="7"/>
  <c r="J28" i="7"/>
  <c r="C7" i="7"/>
  <c r="I29" i="7"/>
  <c r="J29" i="7"/>
  <c r="C5" i="7"/>
  <c r="I27" i="7"/>
  <c r="J27" i="7"/>
  <c r="J16" i="7"/>
  <c r="M16" i="7"/>
  <c r="J17" i="7"/>
  <c r="M17" i="7"/>
  <c r="I16" i="7"/>
  <c r="I17" i="7"/>
  <c r="I18" i="7"/>
  <c r="I15" i="7"/>
  <c r="L15" i="7"/>
  <c r="K15" i="7"/>
  <c r="N15" i="7"/>
  <c r="L16" i="7"/>
  <c r="I6" i="7"/>
  <c r="K6" i="7"/>
  <c r="K16" i="7"/>
  <c r="L6" i="7"/>
  <c r="N6" i="7"/>
  <c r="N16" i="7"/>
  <c r="L17" i="7"/>
  <c r="I7" i="7"/>
  <c r="K7" i="7"/>
  <c r="K17" i="7"/>
  <c r="L7" i="7"/>
  <c r="N7" i="7"/>
  <c r="N17" i="7"/>
  <c r="K18" i="7"/>
  <c r="N18" i="7"/>
  <c r="C9" i="7"/>
  <c r="F56" i="6"/>
  <c r="C56" i="6"/>
  <c r="F57" i="6"/>
  <c r="C57" i="6"/>
  <c r="F58" i="6"/>
  <c r="C58" i="6"/>
  <c r="F55" i="6"/>
  <c r="C55" i="6"/>
  <c r="E56" i="6"/>
  <c r="B56" i="6"/>
  <c r="E57" i="6"/>
  <c r="B57" i="6"/>
  <c r="E58" i="6"/>
  <c r="B58" i="6"/>
  <c r="E55" i="6"/>
  <c r="B55" i="6"/>
  <c r="F46" i="6"/>
  <c r="C46" i="6"/>
  <c r="F47" i="6"/>
  <c r="C47" i="6"/>
  <c r="F48" i="6"/>
  <c r="C48" i="6"/>
  <c r="F49" i="6"/>
  <c r="C49" i="6"/>
  <c r="F50" i="6"/>
  <c r="C50" i="6"/>
  <c r="F51" i="6"/>
  <c r="C51" i="6"/>
  <c r="F52" i="6"/>
  <c r="C52" i="6"/>
  <c r="F45" i="6"/>
  <c r="C45" i="6"/>
  <c r="E46" i="6"/>
  <c r="B46" i="6"/>
  <c r="E47" i="6"/>
  <c r="B47" i="6"/>
  <c r="E48" i="6"/>
  <c r="B48" i="6"/>
  <c r="E49" i="6"/>
  <c r="B49" i="6"/>
  <c r="E50" i="6"/>
  <c r="B50" i="6"/>
  <c r="E51" i="6"/>
  <c r="B51" i="6"/>
  <c r="E52" i="6"/>
  <c r="B52" i="6"/>
  <c r="E45" i="6"/>
  <c r="B45" i="6"/>
  <c r="G58" i="6"/>
  <c r="D58" i="6"/>
  <c r="A58" i="6"/>
  <c r="G57" i="6"/>
  <c r="D57" i="6"/>
  <c r="A57" i="6"/>
  <c r="G56" i="6"/>
  <c r="D56" i="6"/>
  <c r="A56" i="6"/>
  <c r="G55" i="6"/>
  <c r="D55" i="6"/>
  <c r="A55" i="6"/>
  <c r="G52" i="6"/>
  <c r="D52" i="6"/>
  <c r="A52" i="6"/>
  <c r="G51" i="6"/>
  <c r="D51" i="6"/>
  <c r="A51" i="6"/>
  <c r="G50" i="6"/>
  <c r="D50" i="6"/>
  <c r="A50" i="6"/>
  <c r="G49" i="6"/>
  <c r="D49" i="6"/>
  <c r="A49" i="6"/>
  <c r="G48" i="6"/>
  <c r="D48" i="6"/>
  <c r="A48" i="6"/>
  <c r="G47" i="6"/>
  <c r="D47" i="6"/>
  <c r="A47" i="6"/>
  <c r="G46" i="6"/>
  <c r="D46" i="6"/>
  <c r="A46" i="6"/>
  <c r="G45" i="6"/>
  <c r="D45" i="6"/>
  <c r="A45" i="6"/>
  <c r="F37" i="6"/>
  <c r="C37" i="6"/>
  <c r="F38" i="6"/>
  <c r="C38" i="6"/>
  <c r="F39" i="6"/>
  <c r="C39" i="6"/>
  <c r="F36" i="6"/>
  <c r="C36" i="6"/>
  <c r="E37" i="6"/>
  <c r="B37" i="6"/>
  <c r="E38" i="6"/>
  <c r="B38" i="6"/>
  <c r="E39" i="6"/>
  <c r="B39" i="6"/>
  <c r="E36" i="6"/>
  <c r="B36" i="6"/>
  <c r="E27" i="6"/>
  <c r="B27" i="6"/>
  <c r="E28" i="6"/>
  <c r="B28" i="6"/>
  <c r="E29" i="6"/>
  <c r="B29" i="6"/>
  <c r="E30" i="6"/>
  <c r="B30" i="6"/>
  <c r="E31" i="6"/>
  <c r="B31" i="6"/>
  <c r="E32" i="6"/>
  <c r="B32" i="6"/>
  <c r="E33" i="6"/>
  <c r="B33" i="6"/>
  <c r="E26" i="6"/>
  <c r="B26" i="6"/>
  <c r="F27" i="6"/>
  <c r="C27" i="6"/>
  <c r="F28" i="6"/>
  <c r="C28" i="6"/>
  <c r="F29" i="6"/>
  <c r="C29" i="6"/>
  <c r="F30" i="6"/>
  <c r="C30" i="6"/>
  <c r="F31" i="6"/>
  <c r="C31" i="6"/>
  <c r="F32" i="6"/>
  <c r="C32" i="6"/>
  <c r="F33" i="6"/>
  <c r="C33" i="6"/>
  <c r="F26" i="6"/>
  <c r="C26" i="6"/>
  <c r="G39" i="6"/>
  <c r="D39" i="6"/>
  <c r="A39" i="6"/>
  <c r="G38" i="6"/>
  <c r="D38" i="6"/>
  <c r="A38" i="6"/>
  <c r="G37" i="6"/>
  <c r="D37" i="6"/>
  <c r="A37" i="6"/>
  <c r="G36" i="6"/>
  <c r="D36" i="6"/>
  <c r="A36" i="6"/>
  <c r="G26" i="6"/>
  <c r="G27" i="6"/>
  <c r="G28" i="6"/>
  <c r="G29" i="6"/>
  <c r="G30" i="6"/>
  <c r="G31" i="6"/>
  <c r="G32" i="6"/>
  <c r="G33" i="6"/>
  <c r="D33" i="6"/>
  <c r="A33" i="6"/>
  <c r="D32" i="6"/>
  <c r="A32" i="6"/>
  <c r="D31" i="6"/>
  <c r="A31" i="6"/>
  <c r="D30" i="6"/>
  <c r="A30" i="6"/>
  <c r="D29" i="6"/>
  <c r="A29" i="6"/>
  <c r="D28" i="6"/>
  <c r="A28" i="6"/>
  <c r="D27" i="6"/>
  <c r="A27" i="6"/>
  <c r="D26" i="6"/>
  <c r="A26" i="6"/>
  <c r="F20" i="6"/>
  <c r="F19" i="6"/>
  <c r="F18" i="6"/>
  <c r="F17" i="6"/>
  <c r="F14" i="6"/>
  <c r="F13" i="6"/>
  <c r="F12" i="6"/>
  <c r="F11" i="6"/>
  <c r="F10" i="6"/>
  <c r="F9" i="6"/>
  <c r="F8" i="6"/>
  <c r="F7" i="6"/>
  <c r="E20" i="6"/>
  <c r="E19" i="6"/>
  <c r="E18" i="6"/>
  <c r="E17" i="6"/>
  <c r="E14" i="6"/>
  <c r="E13" i="6"/>
  <c r="E12" i="6"/>
  <c r="E11" i="6"/>
  <c r="E10" i="6"/>
  <c r="E9" i="6"/>
  <c r="E8" i="6"/>
  <c r="E7" i="6"/>
  <c r="A20" i="6"/>
  <c r="A19" i="6"/>
  <c r="A18" i="6"/>
  <c r="A17" i="6"/>
  <c r="A14" i="6"/>
  <c r="A13" i="6"/>
  <c r="A12" i="6"/>
  <c r="A11" i="6"/>
  <c r="A10" i="6"/>
  <c r="A9" i="6"/>
  <c r="A8" i="6"/>
  <c r="A7" i="6"/>
  <c r="G18" i="6"/>
  <c r="G19" i="6"/>
  <c r="G20" i="6"/>
  <c r="G17" i="6"/>
  <c r="G8" i="6"/>
  <c r="G9" i="6"/>
  <c r="G10" i="6"/>
  <c r="G11" i="6"/>
  <c r="G12" i="6"/>
  <c r="G13" i="6"/>
  <c r="G14" i="6"/>
  <c r="G7" i="6"/>
  <c r="N9" i="7"/>
  <c r="L9" i="7"/>
  <c r="L28" i="7"/>
  <c r="L29" i="7"/>
  <c r="L30" i="7"/>
  <c r="L27" i="7"/>
  <c r="K28" i="7"/>
  <c r="K29" i="7"/>
  <c r="K27" i="7"/>
  <c r="K42" i="3"/>
  <c r="H47" i="3"/>
  <c r="I47" i="3"/>
  <c r="C7" i="6"/>
  <c r="C8" i="6"/>
  <c r="C9" i="6"/>
  <c r="C10" i="6"/>
  <c r="C11" i="6"/>
  <c r="C12" i="6"/>
  <c r="C13" i="6"/>
  <c r="C14" i="6"/>
  <c r="C15" i="6"/>
  <c r="B7" i="6"/>
  <c r="B8" i="6"/>
  <c r="B9" i="6"/>
  <c r="B10" i="6"/>
  <c r="B11" i="6"/>
  <c r="B12" i="6"/>
  <c r="B13" i="6"/>
  <c r="B14" i="6"/>
  <c r="B15" i="6"/>
  <c r="B19" i="6"/>
  <c r="C19" i="6"/>
  <c r="D19" i="6"/>
  <c r="B20" i="6"/>
  <c r="C20" i="6"/>
  <c r="D20" i="6"/>
  <c r="C17" i="6"/>
  <c r="B17" i="6"/>
  <c r="D17" i="6"/>
  <c r="C18" i="6"/>
  <c r="B18" i="6"/>
  <c r="D18" i="6"/>
  <c r="D8" i="6"/>
  <c r="D9" i="6"/>
  <c r="D10" i="6"/>
  <c r="D11" i="6"/>
  <c r="D12" i="6"/>
  <c r="D13" i="6"/>
  <c r="D14" i="6"/>
  <c r="D7" i="6"/>
  <c r="E5" i="3"/>
  <c r="H5" i="3"/>
  <c r="E8" i="3"/>
  <c r="H8" i="3"/>
  <c r="E6" i="3"/>
  <c r="H6" i="3"/>
  <c r="B24" i="2"/>
  <c r="B26" i="2"/>
  <c r="B27" i="2"/>
  <c r="B28" i="2"/>
  <c r="B29" i="2"/>
  <c r="L6" i="3"/>
  <c r="L8" i="3"/>
  <c r="L10" i="3"/>
  <c r="J8" i="3"/>
  <c r="K8" i="3"/>
  <c r="J10" i="3"/>
  <c r="K10" i="3"/>
  <c r="M10" i="3"/>
  <c r="K49" i="3"/>
  <c r="J9" i="3"/>
  <c r="K9" i="3"/>
  <c r="L7" i="3"/>
  <c r="L9" i="3"/>
  <c r="M9" i="3"/>
  <c r="K43" i="3"/>
  <c r="K44" i="3"/>
  <c r="K45" i="3"/>
  <c r="K46" i="3"/>
  <c r="K47" i="3"/>
  <c r="H46" i="3"/>
  <c r="J11" i="3"/>
  <c r="K11" i="3"/>
  <c r="L11" i="3"/>
  <c r="M11" i="3"/>
  <c r="H43" i="3"/>
  <c r="H44" i="3"/>
  <c r="H45" i="3"/>
  <c r="H42" i="3"/>
  <c r="H20" i="5"/>
  <c r="H8" i="5"/>
  <c r="H9" i="5"/>
  <c r="H10" i="5"/>
  <c r="H11" i="5"/>
  <c r="H12" i="5"/>
  <c r="H13" i="5"/>
  <c r="H14" i="5"/>
  <c r="H15" i="5"/>
  <c r="H16" i="5"/>
  <c r="H17" i="5"/>
  <c r="H18" i="5"/>
  <c r="H7" i="5"/>
  <c r="H6" i="5"/>
  <c r="H5" i="5"/>
  <c r="H2" i="5"/>
  <c r="J5" i="3"/>
  <c r="K5" i="3"/>
  <c r="M5" i="3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1" i="4"/>
  <c r="N21" i="4"/>
  <c r="O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1" i="4"/>
  <c r="I21" i="4"/>
  <c r="J21" i="4"/>
  <c r="H43" i="4"/>
  <c r="I43" i="4"/>
  <c r="J7" i="3"/>
  <c r="K7" i="3"/>
  <c r="M7" i="3"/>
  <c r="J43" i="4"/>
  <c r="M43" i="4"/>
  <c r="N43" i="4"/>
  <c r="O43" i="4"/>
  <c r="P43" i="4"/>
  <c r="H42" i="4"/>
  <c r="I42" i="4"/>
  <c r="J42" i="4"/>
  <c r="M42" i="4"/>
  <c r="N42" i="4"/>
  <c r="O42" i="4"/>
  <c r="P42" i="4"/>
  <c r="H41" i="4"/>
  <c r="I41" i="4"/>
  <c r="J41" i="4"/>
  <c r="M41" i="4"/>
  <c r="N41" i="4"/>
  <c r="O41" i="4"/>
  <c r="P41" i="4"/>
  <c r="H40" i="4"/>
  <c r="I40" i="4"/>
  <c r="J40" i="4"/>
  <c r="M40" i="4"/>
  <c r="N40" i="4"/>
  <c r="O40" i="4"/>
  <c r="P40" i="4"/>
  <c r="H39" i="4"/>
  <c r="I39" i="4"/>
  <c r="J39" i="4"/>
  <c r="M39" i="4"/>
  <c r="N39" i="4"/>
  <c r="O39" i="4"/>
  <c r="P39" i="4"/>
  <c r="H38" i="4"/>
  <c r="I38" i="4"/>
  <c r="J38" i="4"/>
  <c r="M38" i="4"/>
  <c r="N38" i="4"/>
  <c r="O38" i="4"/>
  <c r="P38" i="4"/>
  <c r="H37" i="4"/>
  <c r="I37" i="4"/>
  <c r="J37" i="4"/>
  <c r="M37" i="4"/>
  <c r="N37" i="4"/>
  <c r="O37" i="4"/>
  <c r="P37" i="4"/>
  <c r="H36" i="4"/>
  <c r="I36" i="4"/>
  <c r="J36" i="4"/>
  <c r="M36" i="4"/>
  <c r="N36" i="4"/>
  <c r="O36" i="4"/>
  <c r="P36" i="4"/>
  <c r="P32" i="4"/>
  <c r="E31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J14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O14" i="4"/>
  <c r="L14" i="4"/>
  <c r="E16" i="4"/>
  <c r="P28" i="4"/>
  <c r="P27" i="4"/>
  <c r="P26" i="4"/>
  <c r="P25" i="4"/>
  <c r="P24" i="4"/>
  <c r="P23" i="4"/>
  <c r="P22" i="4"/>
  <c r="P21" i="4"/>
  <c r="P17" i="4"/>
  <c r="P13" i="4"/>
  <c r="P12" i="4"/>
  <c r="P11" i="4"/>
  <c r="P10" i="4"/>
  <c r="P9" i="4"/>
  <c r="P8" i="4"/>
  <c r="P7" i="4"/>
  <c r="P6" i="4"/>
  <c r="P2" i="4"/>
  <c r="P10" i="2"/>
  <c r="P6" i="2"/>
  <c r="P7" i="2"/>
  <c r="P8" i="2"/>
  <c r="P9" i="2"/>
  <c r="P11" i="2"/>
  <c r="P12" i="2"/>
  <c r="P13" i="2"/>
  <c r="P2" i="2"/>
  <c r="J6" i="3"/>
  <c r="K6" i="3"/>
  <c r="M6" i="3"/>
  <c r="M8" i="3"/>
</calcChain>
</file>

<file path=xl/sharedStrings.xml><?xml version="1.0" encoding="utf-8"?>
<sst xmlns="http://schemas.openxmlformats.org/spreadsheetml/2006/main" count="545" uniqueCount="294">
  <si>
    <t>Dateiname</t>
  </si>
  <si>
    <t>I</t>
  </si>
  <si>
    <t>I_0</t>
  </si>
  <si>
    <t>I/I_0</t>
  </si>
  <si>
    <t>TP_27Hz-160kV_6p2mA-5ms-1mmFOC_471</t>
  </si>
  <si>
    <t>stdev</t>
  </si>
  <si>
    <t>- ln(I/I_0)</t>
  </si>
  <si>
    <t>scheerband gut sichtbar</t>
  </si>
  <si>
    <t>Kommentar</t>
  </si>
  <si>
    <t>-ln(I/I_0)</t>
  </si>
  <si>
    <t>e_max*mu(Sand,l)</t>
  </si>
  <si>
    <t>Länge in cm</t>
  </si>
  <si>
    <t>Kalibriert</t>
  </si>
  <si>
    <t>e_max</t>
  </si>
  <si>
    <t>mu(Sand,l)</t>
  </si>
  <si>
    <t>max. Packungsdichte</t>
  </si>
  <si>
    <t>e(l)</t>
  </si>
  <si>
    <t>Nicht Scheerband</t>
  </si>
  <si>
    <t>Scheerband</t>
  </si>
  <si>
    <t>Drop</t>
  </si>
  <si>
    <t>TP_27Hz-160kV_6p2mA-5ms-1mmFOC_474</t>
  </si>
  <si>
    <t>TP_27Hz-160kV_6p2mA-5ms-1mmFOC_550</t>
  </si>
  <si>
    <t>TP_27Hz-160kV_6p2mA-5ms-1mmFOC_551</t>
  </si>
  <si>
    <t>TP_27Hz-160kV_6p2mA-5ms-1mmFOC_472</t>
  </si>
  <si>
    <t>TP_27Hz-160kV_6p2mA-5ms-1mmFOC_473</t>
  </si>
  <si>
    <t>TP_27Hz-160kV_6p2mA-5ms-1mmFOC_552</t>
  </si>
  <si>
    <t>TP_27Hz-160kV_6p2mA-5ms-1mmFOC_553</t>
  </si>
  <si>
    <t>Measurements Free-running (_1)</t>
  </si>
  <si>
    <t>mean</t>
  </si>
  <si>
    <t>e(l) Scheerband</t>
  </si>
  <si>
    <t>Sanddurchstrahlungslänge [cm]</t>
  </si>
  <si>
    <t>Vergleich mit realistischem Wert??</t>
  </si>
  <si>
    <t>Kalibrierung</t>
  </si>
  <si>
    <t>StdDev</t>
  </si>
  <si>
    <t>Kalibriert aus Messbox 4,2 cm</t>
  </si>
  <si>
    <t>TP-27Hz-160kV-6p2mA-5ms-1mmFOC_52..xsc</t>
  </si>
  <si>
    <t>freerunning</t>
  </si>
  <si>
    <t>freerunning 2</t>
  </si>
  <si>
    <t>TP-27Hz-160kV-6p2mA-5ms-1mmFOC_30..xsc</t>
  </si>
  <si>
    <t>TP-27Hz-160kV-6p2mA-5ms-1mmFOC_46..xsc</t>
  </si>
  <si>
    <t>freerunning 3</t>
  </si>
  <si>
    <t>TP-30Hz-160kV-6p2mA-5ms-1mmFOC_20..xsc</t>
  </si>
  <si>
    <t>TP-33Hz-160kV-6p2mA-5ms-1mmFOC_3847.</t>
  </si>
  <si>
    <t>freerunning 4</t>
  </si>
  <si>
    <t>TPTracers-18Hz-160kV-6p2mA-5ms-1mmFOC_24.</t>
  </si>
  <si>
    <t>freerunning 8</t>
  </si>
  <si>
    <t>freerunning 11</t>
  </si>
  <si>
    <t>SpheresTracers-18Hz-160kV-6p2mA-5ms-1mmFOC_3181.</t>
  </si>
  <si>
    <t>freerunning 14</t>
  </si>
  <si>
    <t>SpheresTracers-18Hz-160kV-6p2mA-5ms-1mmFOC_67.</t>
  </si>
  <si>
    <t>Trigger 3</t>
  </si>
  <si>
    <t>TP-25Hz-160kV-6p2mA-5ms-1mmFOC-20msPhaseShift_1679.</t>
  </si>
  <si>
    <t>Trigger 5</t>
  </si>
  <si>
    <t>TP-18Hz-160kV-6p2mA-5ms-1mmFOC-28msPhaseShift_14.</t>
  </si>
  <si>
    <t>Shperes-18Hz-160kV-6p2mA-5ms-1mmFOC_1281.</t>
  </si>
  <si>
    <t>Trigger 7</t>
  </si>
  <si>
    <t>SiC-25Hz-160kV-6p2mA-5ms-1mmFOC_20.</t>
  </si>
  <si>
    <t>Trigger 10</t>
  </si>
  <si>
    <t>TPrau-18Hz-160kV-6p2mA-5ms-1mmFOC_92.</t>
  </si>
  <si>
    <t>Trigger 11</t>
  </si>
  <si>
    <t>TPrau-25Hz-160kV-6p2mA-5ms-1mmFOC_24.</t>
  </si>
  <si>
    <t>Trigger 13</t>
  </si>
  <si>
    <t>Messbox real</t>
  </si>
  <si>
    <t>fit gnuplot</t>
  </si>
  <si>
    <t>f(a,b,c,x)=a*exp(b*x)+c</t>
  </si>
  <si>
    <t>a</t>
  </si>
  <si>
    <t>b</t>
  </si>
  <si>
    <t>c</t>
  </si>
  <si>
    <t>chisqare</t>
  </si>
  <si>
    <t>2.32244 e-5</t>
  </si>
  <si>
    <t>Packungsdichte für 5 cm</t>
  </si>
  <si>
    <t>l</t>
  </si>
  <si>
    <t>mu(l)</t>
  </si>
  <si>
    <t>I_0 box</t>
  </si>
  <si>
    <t>I_0 duch Box</t>
  </si>
  <si>
    <t>I_0 Box</t>
  </si>
  <si>
    <t>e_shear</t>
  </si>
  <si>
    <t>5 cm</t>
  </si>
  <si>
    <t>name</t>
  </si>
  <si>
    <t>"-ln(I/I0) kalib"</t>
  </si>
  <si>
    <t>e_sand</t>
  </si>
  <si>
    <t>"-ln(I/I_0)_sand</t>
  </si>
  <si>
    <t>"-ln(I/I0)_shear"</t>
  </si>
  <si>
    <t>TP-18Hz-160kV-6p2mA-5ms-1mmFOC-28msPhaseShift_1093.</t>
  </si>
  <si>
    <t>I_0Box</t>
  </si>
  <si>
    <t>nicht scheerband</t>
  </si>
  <si>
    <t>TP-18Hz-160kV-6p2mA-5ms-1mmFOC-28msPhaseShift_1100.</t>
  </si>
  <si>
    <t>TP-25Hz-160kV-6p2mA-5ms-1mmFOC-20msPhaseShift_250.</t>
  </si>
  <si>
    <t>TP-25Hz-160kV-6p2mA-5ms-1mmFOC-20msPhaseShift_400.</t>
  </si>
  <si>
    <t>Fit für I/I_0</t>
  </si>
  <si>
    <t>Fitfunktion mit Fitparametern</t>
  </si>
  <si>
    <t>Gefittete I/I_0</t>
  </si>
  <si>
    <t>mu berechnet auf I/I_0 fit</t>
  </si>
  <si>
    <t xml:space="preserve">Fit für mu </t>
  </si>
  <si>
    <t>Fitfunktion mit Fitparamentern</t>
  </si>
  <si>
    <t>chisquare</t>
  </si>
  <si>
    <t>diff mess - fit</t>
  </si>
  <si>
    <t>diff mess-fit</t>
  </si>
  <si>
    <t>gefittete mu(l)</t>
  </si>
  <si>
    <t>diff fit mu- fit I/I0</t>
  </si>
  <si>
    <t>fit I/I_0</t>
  </si>
  <si>
    <t>fit mu(l)</t>
  </si>
  <si>
    <t>d</t>
  </si>
  <si>
    <t>fit gnuplot g(c,d,x)=c*exp(d*x)</t>
  </si>
  <si>
    <t>cm</t>
  </si>
  <si>
    <t>Auswertung über den mu(5cm) aus dem Fit über die mu aus den I/I0 werten</t>
  </si>
  <si>
    <t>Auswertung über I zu I0 gefittet auf 5 cm ohne Ausrechnung von mu, wird ja nicht gebraucht…</t>
  </si>
  <si>
    <t>Auswertung über den mu(5cm) aus I/I0 gefittet für I/I0 bei 5 cm</t>
  </si>
  <si>
    <t>mu(Sand,l_real_calib)</t>
  </si>
  <si>
    <t>l_real_calib ([cm]</t>
  </si>
  <si>
    <t>Boxlänge l in cm</t>
  </si>
  <si>
    <t>Boxlänge l ungleich l_real_calib</t>
  </si>
  <si>
    <t>mu(l_real_calib)</t>
  </si>
  <si>
    <t>l_box</t>
  </si>
  <si>
    <t>l_real_calib [cm]</t>
  </si>
  <si>
    <t>phi_max*mu(Sand,l_real_calib)</t>
  </si>
  <si>
    <t>phi_max</t>
  </si>
  <si>
    <t>l_box * phi_max</t>
  </si>
  <si>
    <t>f(a,b,x)=a*exp(b*x)</t>
  </si>
  <si>
    <t>3.42396 e-5</t>
  </si>
  <si>
    <t>ist aber falsch da µ_eff(l_real_calib)!= µ_eff(l_real_exp) ist da l_real_calib != l_real_exp</t>
  </si>
  <si>
    <t>Auswertung über die gefittete Funktion µ_eff(l) aus den µ aus den I/I0 werten</t>
  </si>
  <si>
    <t>cm Boxlänge</t>
  </si>
  <si>
    <t>l_real_experiment</t>
  </si>
  <si>
    <t>µ_eff(l_real_exp)</t>
  </si>
  <si>
    <t>phi_shear</t>
  </si>
  <si>
    <t>phi_sand</t>
  </si>
  <si>
    <t>phi(l)</t>
  </si>
  <si>
    <t>Weglänge Material</t>
  </si>
  <si>
    <t>-LN(I/I_0)</t>
  </si>
  <si>
    <t>Startwerte</t>
  </si>
  <si>
    <t>-&gt; 3cm l_real_exp</t>
  </si>
  <si>
    <t>1.3058e-5</t>
  </si>
  <si>
    <t>calib 2cm</t>
  </si>
  <si>
    <t>calib 3cm</t>
  </si>
  <si>
    <t>calib 4cm</t>
  </si>
  <si>
    <t>I_Box Rand</t>
  </si>
  <si>
    <t>l Rand</t>
  </si>
  <si>
    <t>Frage: I_0 bei 0,8cm Plastikdurchstrahlung ???</t>
  </si>
  <si>
    <t>h(e,f,x)=e*exp(f*x)</t>
  </si>
  <si>
    <t>e</t>
  </si>
  <si>
    <t>f</t>
  </si>
  <si>
    <t>fit</t>
  </si>
  <si>
    <t>in relativ guter Übereinstimmung mit den errechneten Werten durch den Drop</t>
  </si>
  <si>
    <t>Calibcheck µ aus I/I_0 fit und rückgerechnet</t>
  </si>
  <si>
    <t>Calibcheck µ aus µ fit und rückgerechnet</t>
  </si>
  <si>
    <t>Auswertung über µ berechnet aus I/I0 aus dem fit über I/I0 aus der Kalibrierung</t>
  </si>
  <si>
    <t>delta µ (phi,l) fix</t>
  </si>
  <si>
    <t>Material</t>
  </si>
  <si>
    <t>Al</t>
  </si>
  <si>
    <t>Al_140kV_4mA_01</t>
  </si>
  <si>
    <t>I0</t>
  </si>
  <si>
    <t>Al_140kV_4mA_02</t>
  </si>
  <si>
    <t>Al_140kV_4mA_03</t>
  </si>
  <si>
    <t>Al_140kV_4mA_04</t>
  </si>
  <si>
    <t>Al_140kV_4mA_05</t>
  </si>
  <si>
    <t>Al_140kV_4mA_06</t>
  </si>
  <si>
    <t>Al_140kV_4mA_07</t>
  </si>
  <si>
    <t>Al_140kV_4mA_08</t>
  </si>
  <si>
    <t>Al_140kV_4mA_09</t>
  </si>
  <si>
    <t>Al_140kV_4mA_10</t>
  </si>
  <si>
    <t>Al_140kV_4mA_11</t>
  </si>
  <si>
    <t>Al_140kV_4mA_12</t>
  </si>
  <si>
    <t>Al_140kV_4mA_13</t>
  </si>
  <si>
    <t>Al_140kV_4mA_14</t>
  </si>
  <si>
    <t>Al_140kV_4mA_15</t>
  </si>
  <si>
    <t>Al_140kV_4mA_16</t>
  </si>
  <si>
    <t>Al_140kV_4mA_17</t>
  </si>
  <si>
    <t>Al_140kV_4mA_18</t>
  </si>
  <si>
    <t>Al_140kV_4mA_19</t>
  </si>
  <si>
    <t>Al_140kV_4mA_20</t>
  </si>
  <si>
    <t>Al_160kV-4mA_01</t>
  </si>
  <si>
    <t>Al_160kV-4mA_02</t>
  </si>
  <si>
    <t>Al_160kV-4mA_03</t>
  </si>
  <si>
    <t>Al_160kV-4mA_04</t>
  </si>
  <si>
    <t>Al_160kV-4mA_05</t>
  </si>
  <si>
    <t>Al_160kV-4mA_06</t>
  </si>
  <si>
    <t>Al_160kV-4mA_07</t>
  </si>
  <si>
    <t>Al_160kV-4mA_08</t>
  </si>
  <si>
    <t>Al_160kV-4mA_09</t>
  </si>
  <si>
    <t>Al_160kV-4mA_10</t>
  </si>
  <si>
    <t>Al_160kV-4mA_11</t>
  </si>
  <si>
    <t>Al_160kV-4mA_12</t>
  </si>
  <si>
    <t>Al_160kV-4mA_13</t>
  </si>
  <si>
    <t>Al_160kV-4mA_14</t>
  </si>
  <si>
    <t>Al_160kV-4mA_15</t>
  </si>
  <si>
    <t>Al_160kV-4mA_16</t>
  </si>
  <si>
    <t>Al_160kV-4mA_17</t>
  </si>
  <si>
    <t>Al_160kV-4mA_18</t>
  </si>
  <si>
    <t>Al_160kV-4mA_19</t>
  </si>
  <si>
    <t>Al_160kV-4mA_20</t>
  </si>
  <si>
    <t>Natriumsilikat_140kV_4mA_01</t>
  </si>
  <si>
    <t>Natriumsilikat</t>
  </si>
  <si>
    <t>Natriumsilikat_140kV_4mA_02</t>
  </si>
  <si>
    <t>Natriumsilikat_140kV_4mA_03</t>
  </si>
  <si>
    <t>Natriumsilikat_140kV_4mA_04</t>
  </si>
  <si>
    <t>Natriumsilikat_140kV_4mA_05</t>
  </si>
  <si>
    <t>Natriumsilikat_140kV_4mA_06</t>
  </si>
  <si>
    <t>Natriumsilikat_140kV_4mA_07</t>
  </si>
  <si>
    <t>Natriumsilikat_140kV_4mA_08</t>
  </si>
  <si>
    <t>Natriumsilikat_140kV_4mA_09</t>
  </si>
  <si>
    <t>Natriumsilikat_140kV_4mA_10</t>
  </si>
  <si>
    <t>Natriumsilikat_140kV_4mA_11</t>
  </si>
  <si>
    <t>Natriumsilikat_140kV_4mA_12</t>
  </si>
  <si>
    <t>Natriumsilikat_140kV_4mA_13</t>
  </si>
  <si>
    <t>Natriumsilikat_140kV_4mA_14</t>
  </si>
  <si>
    <t>Natriumsilikat_140kV_4mA_15</t>
  </si>
  <si>
    <t>Natriumsilikat_140kV_4mA_16</t>
  </si>
  <si>
    <t>Natriumsilikat_140kV_4mA_17</t>
  </si>
  <si>
    <t>Natriumsilikat_140kV_4mA_18</t>
  </si>
  <si>
    <t>Natriumsilikat_140kV_4mA_19</t>
  </si>
  <si>
    <t>Natriumsilikat_140kV_4mA_20</t>
  </si>
  <si>
    <t>Natriumsilikat_160kV_4mA_01</t>
  </si>
  <si>
    <t>Natriumsilikat_160kV_4mA_02</t>
  </si>
  <si>
    <t>Natriumsilikat_160kV_4mA_03</t>
  </si>
  <si>
    <t>Natriumsilikat_160kV_4mA_04</t>
  </si>
  <si>
    <t>Natriumsilikat_160kV_4mA_05</t>
  </si>
  <si>
    <t>Natriumsilikat_160kV_4mA_06</t>
  </si>
  <si>
    <t>Natriumsilikat_160kV_4mA_07</t>
  </si>
  <si>
    <t>Natriumsilikat_160kV_4mA_08</t>
  </si>
  <si>
    <t>Natriumsilikat_160kV_4mA_09</t>
  </si>
  <si>
    <t>Natriumsilikat_160kV_4mA_10</t>
  </si>
  <si>
    <t>Natriumsilikat_160kV_4mA_11</t>
  </si>
  <si>
    <t>Natriumsilikat_160kV_4mA_12</t>
  </si>
  <si>
    <t>Natriumsilikat_160kV_4mA_13</t>
  </si>
  <si>
    <t>Natriumsilikat_160kV_4mA_14</t>
  </si>
  <si>
    <t>Natriumsilikat_160kV_4mA_15</t>
  </si>
  <si>
    <t>Natriumsilikat_160kV_4mA_16</t>
  </si>
  <si>
    <t>Natriumsilikat_160kV_4mA_17</t>
  </si>
  <si>
    <t>Natriumsilikat_160kV_4mA_18</t>
  </si>
  <si>
    <t>Natriumsilikat_160kV_4mA_19</t>
  </si>
  <si>
    <t>Natriumsilikat_160kV_4mA_20</t>
  </si>
  <si>
    <t>PMMA_140kV_4mA-01</t>
  </si>
  <si>
    <t>PMMA_140kV_4mA-02</t>
  </si>
  <si>
    <t>PMMA_140kV_4mA-03</t>
  </si>
  <si>
    <t>PMMA_140kV_4mA-04</t>
  </si>
  <si>
    <t>PMMA_140kV_4mA-05</t>
  </si>
  <si>
    <t>PMMA_140kV_4mA-06</t>
  </si>
  <si>
    <t>PMMA_140kV_4mA-07</t>
  </si>
  <si>
    <t>PMMA_140kV_4mA-08</t>
  </si>
  <si>
    <t>PMMA_140kV_4mA-09</t>
  </si>
  <si>
    <t>PMMA_140kV_4mA-10</t>
  </si>
  <si>
    <t>PMMA_140kV_4mA-11</t>
  </si>
  <si>
    <t>PMMA_140kV_4mA-12</t>
  </si>
  <si>
    <t>PMMA_140kV_4mA-13</t>
  </si>
  <si>
    <t>PMMA_140kV_4mA-14</t>
  </si>
  <si>
    <t>PMMA_140kV_4mA-15</t>
  </si>
  <si>
    <t>PMMA_140kV_4mA-16</t>
  </si>
  <si>
    <t>PMMA_140kV_4mA-17</t>
  </si>
  <si>
    <t>PMMA_140kV_4mA-18</t>
  </si>
  <si>
    <t>PMMA_140kV_4mA-19</t>
  </si>
  <si>
    <t>PMMA_140kV_4mA-20</t>
  </si>
  <si>
    <t>PMMA</t>
  </si>
  <si>
    <t>206, 44</t>
  </si>
  <si>
    <t>PMMA_160kV_4mA-01</t>
  </si>
  <si>
    <t>PMMA_160kV_4mA-02</t>
  </si>
  <si>
    <t>PMMA_160kV_4mA-03</t>
  </si>
  <si>
    <t>PMMA_160kV_4mA-04</t>
  </si>
  <si>
    <t>PMMA_160kV_4mA-05</t>
  </si>
  <si>
    <t>PMMA_160kV_4mA-06</t>
  </si>
  <si>
    <t>PMMA_160kV_4mA-07</t>
  </si>
  <si>
    <t>PMMA_160kV_4mA-08</t>
  </si>
  <si>
    <t>PMMA_160kV_4mA-09</t>
  </si>
  <si>
    <t>PMMA_160kV_4mA-10</t>
  </si>
  <si>
    <t>PMMA_160kV_4mA-11</t>
  </si>
  <si>
    <t>PMMA_160kV_4mA-12</t>
  </si>
  <si>
    <t>PMMA_160kV_4mA-13</t>
  </si>
  <si>
    <t>PMMA_160kV_4mA-14</t>
  </si>
  <si>
    <t>PMMA_160kV_4mA-15</t>
  </si>
  <si>
    <t>PMMA_160kV_4mA-16</t>
  </si>
  <si>
    <t>PMMA_160kV_4mA-17</t>
  </si>
  <si>
    <t>PMMA_160kV_4mA-18</t>
  </si>
  <si>
    <t>PMMA_160kV_4mA-19</t>
  </si>
  <si>
    <t>PMMA_160kV_4mA-20</t>
  </si>
  <si>
    <t>Cu</t>
  </si>
  <si>
    <t>Cu_140kV_4mA_01</t>
  </si>
  <si>
    <t>Cu_140kV_4mA_02</t>
  </si>
  <si>
    <t>Cu_140kV_4mA_03</t>
  </si>
  <si>
    <t>Cu_160kV_4mA_01</t>
  </si>
  <si>
    <t>Cu_160kV_4mA_02</t>
  </si>
  <si>
    <t>Cu_160kV_4mA_03</t>
  </si>
  <si>
    <t>Materialdicke [cm]</t>
  </si>
  <si>
    <t>I / I_0</t>
  </si>
  <si>
    <t>d I/I_0</t>
  </si>
  <si>
    <t>delta -ln(I/I_0)</t>
  </si>
  <si>
    <t>µ_e(l)=-ln(I/I_0)/l</t>
  </si>
  <si>
    <t>Al 140kV 4mA</t>
  </si>
  <si>
    <t>Dicke [cm]</t>
  </si>
  <si>
    <t>µ(l)</t>
  </si>
  <si>
    <t>Al 160kV 4mA</t>
  </si>
  <si>
    <t>NaSiO2 140kV 4mA</t>
  </si>
  <si>
    <t>NaSiO2 160kV 4mA</t>
  </si>
  <si>
    <t>PMMA 140kV 4mA</t>
  </si>
  <si>
    <t>PMMA 160kV 4mA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</si>
</sst>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00"/>
    <numFmt numFmtId="165" formatCode="0.00000"/>
    <numFmt numFmtId="166" formatCode="0.0000"/>
    <numFmt numFmtId="167" formatCode="0.0%"/>
    <numFmt numFmtId="168" formatCode="0.000"/>
    <numFmt numFmtId="169" formatCode="0.0000000"/>
    <numFmt numFmtId="170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1" applyNumberFormat="1" applyFont="1"/>
    <xf numFmtId="1" fontId="0" fillId="0" borderId="0" xfId="0" applyNumberFormat="1" applyAlignment="1">
      <alignment horizontal="center" vertical="center"/>
    </xf>
    <xf numFmtId="168" fontId="0" fillId="0" borderId="0" xfId="0" applyNumberFormat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2" borderId="0" xfId="0" applyFill="1"/>
    <xf numFmtId="0" fontId="0" fillId="0" borderId="1" xfId="0" applyBorder="1"/>
    <xf numFmtId="166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quotePrefix="1"/>
    <xf numFmtId="49" fontId="0" fillId="0" borderId="0" xfId="0" quotePrefix="1" applyNumberFormat="1"/>
    <xf numFmtId="0" fontId="2" fillId="0" borderId="0" xfId="0" applyFon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3" fillId="0" borderId="0" xfId="0" applyFont="1"/>
    <xf numFmtId="0" fontId="2" fillId="0" borderId="1" xfId="0" applyFont="1" applyFill="1" applyBorder="1"/>
    <xf numFmtId="0" fontId="2" fillId="0" borderId="0" xfId="0" quotePrefix="1" applyFont="1"/>
    <xf numFmtId="1" fontId="0" fillId="4" borderId="0" xfId="0" applyNumberFormat="1" applyFill="1"/>
    <xf numFmtId="2" fontId="0" fillId="0" borderId="0" xfId="0" applyNumberFormat="1"/>
    <xf numFmtId="0" fontId="5" fillId="0" borderId="0" xfId="0" applyFont="1"/>
    <xf numFmtId="1" fontId="5" fillId="0" borderId="0" xfId="0" applyNumberFormat="1" applyFont="1"/>
    <xf numFmtId="0" fontId="2" fillId="5" borderId="1" xfId="0" applyFont="1" applyFill="1" applyBorder="1"/>
    <xf numFmtId="166" fontId="2" fillId="5" borderId="1" xfId="0" applyNumberFormat="1" applyFont="1" applyFill="1" applyBorder="1"/>
    <xf numFmtId="0" fontId="0" fillId="0" borderId="0" xfId="0" applyFont="1"/>
    <xf numFmtId="10" fontId="2" fillId="5" borderId="1" xfId="1" applyNumberFormat="1" applyFont="1" applyFill="1" applyBorder="1"/>
    <xf numFmtId="0" fontId="0" fillId="0" borderId="0" xfId="0" applyBorder="1"/>
    <xf numFmtId="169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center" vertical="center"/>
    </xf>
    <xf numFmtId="170" fontId="0" fillId="0" borderId="0" xfId="0" applyNumberFormat="1"/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Auswertung!$J$5</c:f>
              <c:strCache>
                <c:ptCount val="1"/>
                <c:pt idx="0">
                  <c:v>phi(l)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Auswertung!$J$6:$J$13</c:f>
              <c:numCache>
                <c:formatCode>0.0000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4-4F61-B9FA-685074AA788B}"/>
            </c:ext>
          </c:extLst>
        </c:ser>
        <c:ser>
          <c:idx val="1"/>
          <c:order val="1"/>
          <c:tx>
            <c:strRef>
              <c:f>Auswertung!$O$5</c:f>
              <c:strCache>
                <c:ptCount val="1"/>
                <c:pt idx="0">
                  <c:v>e(l) Scheerband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Auswertung!$O$6:$O$13</c:f>
              <c:numCache>
                <c:formatCode>0.0000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4-4F61-B9FA-685074AA7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9312"/>
        <c:axId val="6580377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Auswertung!$P$5</c15:sqref>
                        </c15:formulaRef>
                      </c:ext>
                    </c:extLst>
                    <c:strCache>
                      <c:ptCount val="1"/>
                      <c:pt idx="0">
                        <c:v>Drop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Auswertung!$P$6:$P$13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BA4-4F61-B9FA-685074AA788B}"/>
                  </c:ext>
                </c:extLst>
              </c15:ser>
            </c15:filteredScatterSeries>
          </c:ext>
        </c:extLst>
      </c:scatterChart>
      <c:valAx>
        <c:axId val="6578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03776"/>
        <c:crosses val="autoZero"/>
        <c:crossBetween val="midCat"/>
      </c:valAx>
      <c:valAx>
        <c:axId val="658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8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69795184748995E-2"/>
          <c:y val="2.1290751829673986E-2"/>
          <c:w val="0.89923907224823107"/>
          <c:h val="0.84810808828537154"/>
        </c:manualLayout>
      </c:layout>
      <c:scatterChart>
        <c:scatterStyle val="lineMarker"/>
        <c:varyColors val="0"/>
        <c:ser>
          <c:idx val="1"/>
          <c:order val="0"/>
          <c:tx>
            <c:strRef>
              <c:f>Kalibirierung_alt!$K$3</c:f>
              <c:strCache>
                <c:ptCount val="1"/>
                <c:pt idx="0">
                  <c:v>e_max*mu(Sand,l)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Kalibirierung_alt!$B$5:$B$11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3.76</c:v>
                </c:pt>
                <c:pt idx="3">
                  <c:v>4</c:v>
                </c:pt>
                <c:pt idx="4">
                  <c:v>4.6500000000000004</c:v>
                </c:pt>
                <c:pt idx="5">
                  <c:v>5</c:v>
                </c:pt>
                <c:pt idx="6">
                  <c:v>5.5</c:v>
                </c:pt>
              </c:numCache>
            </c:numRef>
          </c:xVal>
          <c:yVal>
            <c:numRef>
              <c:f>Kalibirierung_alt!$K$5:$K$11</c:f>
              <c:numCache>
                <c:formatCode>0.00000</c:formatCode>
                <c:ptCount val="7"/>
                <c:pt idx="0">
                  <c:v>0.47455060059624821</c:v>
                </c:pt>
                <c:pt idx="1">
                  <c:v>0.42990473213770208</c:v>
                </c:pt>
                <c:pt idx="2">
                  <c:v>0.40269354591217438</c:v>
                </c:pt>
                <c:pt idx="3">
                  <c:v>0.39430468061063689</c:v>
                </c:pt>
                <c:pt idx="4">
                  <c:v>0.36877385550364011</c:v>
                </c:pt>
                <c:pt idx="5">
                  <c:v>0.38247420527648457</c:v>
                </c:pt>
                <c:pt idx="6">
                  <c:v>0.34984521041341832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6-40DE-9A25-91E58DE8AA4A}"/>
            </c:ext>
          </c:extLst>
        </c:ser>
        <c:ser>
          <c:idx val="2"/>
          <c:order val="1"/>
          <c:tx>
            <c:strRef>
              <c:f>Kalibirierung_alt!$M$3</c:f>
              <c:strCache>
                <c:ptCount val="1"/>
                <c:pt idx="0">
                  <c:v>mu(Sand,l)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Kalibirierung_alt!$B$5:$B$11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3.76</c:v>
                </c:pt>
                <c:pt idx="3">
                  <c:v>4</c:v>
                </c:pt>
                <c:pt idx="4">
                  <c:v>4.6500000000000004</c:v>
                </c:pt>
                <c:pt idx="5">
                  <c:v>5</c:v>
                </c:pt>
                <c:pt idx="6">
                  <c:v>5.5</c:v>
                </c:pt>
              </c:numCache>
            </c:numRef>
          </c:xVal>
          <c:yVal>
            <c:numRef>
              <c:f>Kalibirierung_alt!$M$5:$M$11</c:f>
              <c:numCache>
                <c:formatCode>0.000000</c:formatCode>
                <c:ptCount val="7"/>
                <c:pt idx="0">
                  <c:v>0.78999600565381756</c:v>
                </c:pt>
                <c:pt idx="1">
                  <c:v>0.71567293513850849</c:v>
                </c:pt>
                <c:pt idx="2">
                  <c:v>0.67037380707869876</c:v>
                </c:pt>
                <c:pt idx="3">
                  <c:v>0.65640865758388023</c:v>
                </c:pt>
                <c:pt idx="4">
                  <c:v>0.61390686782693538</c:v>
                </c:pt>
                <c:pt idx="5">
                  <c:v>0.63671417558928678</c:v>
                </c:pt>
                <c:pt idx="6">
                  <c:v>0.58239588881874194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96-40DE-9A25-91E58DE8AA4A}"/>
            </c:ext>
          </c:extLst>
        </c:ser>
        <c:ser>
          <c:idx val="0"/>
          <c:order val="2"/>
          <c:tx>
            <c:v>mu fit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Kalibirierung_alt!$G$42:$G$47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3.76</c:v>
                </c:pt>
                <c:pt idx="3">
                  <c:v>4</c:v>
                </c:pt>
                <c:pt idx="4">
                  <c:v>4.6500000000000004</c:v>
                </c:pt>
                <c:pt idx="5">
                  <c:v>5</c:v>
                </c:pt>
              </c:numCache>
            </c:numRef>
          </c:xVal>
          <c:yVal>
            <c:numRef>
              <c:f>Kalibirierung_alt!$K$42:$K$47</c:f>
              <c:numCache>
                <c:formatCode>General</c:formatCode>
                <c:ptCount val="6"/>
                <c:pt idx="0">
                  <c:v>0.78865531821613133</c:v>
                </c:pt>
                <c:pt idx="1">
                  <c:v>0.71861458174494186</c:v>
                </c:pt>
                <c:pt idx="2">
                  <c:v>0.66957419088475589</c:v>
                </c:pt>
                <c:pt idx="3">
                  <c:v>0.65479418596266425</c:v>
                </c:pt>
                <c:pt idx="4">
                  <c:v>0.61638282296354818</c:v>
                </c:pt>
                <c:pt idx="5">
                  <c:v>0.59664170038047804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C-4B4F-B7FA-487CC31D5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20704"/>
        <c:axId val="65722624"/>
      </c:scatterChart>
      <c:valAx>
        <c:axId val="657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22624"/>
        <c:crosses val="autoZero"/>
        <c:crossBetween val="midCat"/>
      </c:valAx>
      <c:valAx>
        <c:axId val="657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2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I/I_0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Kalibirierung_alt!$B$18:$B$24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3.7450000000000001</c:v>
                </c:pt>
                <c:pt idx="3">
                  <c:v>4</c:v>
                </c:pt>
                <c:pt idx="4">
                  <c:v>4.2</c:v>
                </c:pt>
                <c:pt idx="5">
                  <c:v>4.4000000000000004</c:v>
                </c:pt>
                <c:pt idx="6">
                  <c:v>5</c:v>
                </c:pt>
              </c:numCache>
            </c:numRef>
          </c:xVal>
          <c:yVal>
            <c:numRef>
              <c:f>Kalibirierung_alt!$C$18:$C$24</c:f>
              <c:numCache>
                <c:formatCode>0.000</c:formatCode>
                <c:ptCount val="7"/>
                <c:pt idx="0">
                  <c:v>0.31871243488713769</c:v>
                </c:pt>
                <c:pt idx="1">
                  <c:v>0.22671968190854871</c:v>
                </c:pt>
                <c:pt idx="2">
                  <c:v>0.183</c:v>
                </c:pt>
                <c:pt idx="3">
                  <c:v>0.17002836014736675</c:v>
                </c:pt>
                <c:pt idx="4">
                  <c:v>0.16</c:v>
                </c:pt>
                <c:pt idx="5">
                  <c:v>0.15</c:v>
                </c:pt>
                <c:pt idx="6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3-46F4-8087-31EA32294291}"/>
            </c:ext>
          </c:extLst>
        </c:ser>
        <c:ser>
          <c:idx val="1"/>
          <c:order val="1"/>
          <c:tx>
            <c:v>Linie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Kalibirierung_alt!$B$26:$B$29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Kalibirierung_alt!$C$26:$C$29</c:f>
              <c:numCache>
                <c:formatCode>0.000</c:formatCode>
                <c:ptCount val="4"/>
                <c:pt idx="0">
                  <c:v>0.65</c:v>
                </c:pt>
                <c:pt idx="1">
                  <c:v>0.31900000000000001</c:v>
                </c:pt>
                <c:pt idx="2">
                  <c:v>0.17</c:v>
                </c:pt>
                <c:pt idx="3" formatCode="0.000000">
                  <c:v>0.127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63-46F4-8087-31EA32294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08704"/>
        <c:axId val="65635456"/>
      </c:scatterChart>
      <c:valAx>
        <c:axId val="6560870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35456"/>
        <c:crosses val="autoZero"/>
        <c:crossBetween val="midCat"/>
      </c:valAx>
      <c:valAx>
        <c:axId val="65635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Absorptionskoeffizient als Funktion der Durchstrahlungslänge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Tabelle2!$C$2</c:f>
              <c:strCache>
                <c:ptCount val="1"/>
                <c:pt idx="0">
                  <c:v>Al 140kV 4mA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Tabelle2!$B$4:$B$23</c:f>
              <c:numCache>
                <c:formatCode>General</c:formatCode>
                <c:ptCount val="2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1.5999999999999999</c:v>
                </c:pt>
                <c:pt idx="8">
                  <c:v>1.7999999999999998</c:v>
                </c:pt>
                <c:pt idx="9">
                  <c:v>1.9999999999999998</c:v>
                </c:pt>
                <c:pt idx="10">
                  <c:v>2.1999999999999997</c:v>
                </c:pt>
                <c:pt idx="11">
                  <c:v>2.4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3.0000000000000004</c:v>
                </c:pt>
                <c:pt idx="15">
                  <c:v>3.2000000000000006</c:v>
                </c:pt>
                <c:pt idx="16">
                  <c:v>3.4000000000000008</c:v>
                </c:pt>
                <c:pt idx="17">
                  <c:v>3.600000000000001</c:v>
                </c:pt>
                <c:pt idx="18">
                  <c:v>3.8000000000000012</c:v>
                </c:pt>
                <c:pt idx="19">
                  <c:v>4.0000000000000009</c:v>
                </c:pt>
              </c:numCache>
            </c:numRef>
          </c:xVal>
          <c:yVal>
            <c:numRef>
              <c:f>Tabelle2!$C$4:$C$23</c:f>
              <c:numCache>
                <c:formatCode>0.00000</c:formatCode>
                <c:ptCount val="20"/>
                <c:pt idx="0">
                  <c:v>1.3861981799262983</c:v>
                </c:pt>
                <c:pt idx="1">
                  <c:v>1.2113730203025554</c:v>
                </c:pt>
                <c:pt idx="2">
                  <c:v>1.1158074658082378</c:v>
                </c:pt>
                <c:pt idx="3">
                  <c:v>1.0442364340474641</c:v>
                </c:pt>
                <c:pt idx="4">
                  <c:v>0.99496734738011205</c:v>
                </c:pt>
                <c:pt idx="5">
                  <c:v>0.95617018589216218</c:v>
                </c:pt>
                <c:pt idx="6">
                  <c:v>0.92328330350024435</c:v>
                </c:pt>
                <c:pt idx="7">
                  <c:v>0.89446160264287267</c:v>
                </c:pt>
                <c:pt idx="8">
                  <c:v>0.86959995781415567</c:v>
                </c:pt>
                <c:pt idx="9">
                  <c:v>0.84731798141518977</c:v>
                </c:pt>
                <c:pt idx="10">
                  <c:v>0.82701341314946253</c:v>
                </c:pt>
                <c:pt idx="11">
                  <c:v>0.80853588387140263</c:v>
                </c:pt>
                <c:pt idx="12">
                  <c:v>0.79058146729093581</c:v>
                </c:pt>
                <c:pt idx="13">
                  <c:v>0.77337559043865278</c:v>
                </c:pt>
                <c:pt idx="14">
                  <c:v>0.75665381266004583</c:v>
                </c:pt>
                <c:pt idx="15">
                  <c:v>0.73960122464451006</c:v>
                </c:pt>
                <c:pt idx="16">
                  <c:v>0.72234945429800013</c:v>
                </c:pt>
                <c:pt idx="17">
                  <c:v>0.70635863160916446</c:v>
                </c:pt>
                <c:pt idx="18">
                  <c:v>0.69095315288577397</c:v>
                </c:pt>
                <c:pt idx="19">
                  <c:v>0.67456671499376708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8C-4FD4-8C05-650362D3E887}"/>
            </c:ext>
          </c:extLst>
        </c:ser>
        <c:ser>
          <c:idx val="1"/>
          <c:order val="1"/>
          <c:tx>
            <c:strRef>
              <c:f>Tabelle2!$D$2</c:f>
              <c:strCache>
                <c:ptCount val="1"/>
                <c:pt idx="0">
                  <c:v>Al 160kV 4mA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Tabelle2!$B$4:$B$23</c:f>
              <c:numCache>
                <c:formatCode>General</c:formatCode>
                <c:ptCount val="2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1.5999999999999999</c:v>
                </c:pt>
                <c:pt idx="8">
                  <c:v>1.7999999999999998</c:v>
                </c:pt>
                <c:pt idx="9">
                  <c:v>1.9999999999999998</c:v>
                </c:pt>
                <c:pt idx="10">
                  <c:v>2.1999999999999997</c:v>
                </c:pt>
                <c:pt idx="11">
                  <c:v>2.4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3.0000000000000004</c:v>
                </c:pt>
                <c:pt idx="15">
                  <c:v>3.2000000000000006</c:v>
                </c:pt>
                <c:pt idx="16">
                  <c:v>3.4000000000000008</c:v>
                </c:pt>
                <c:pt idx="17">
                  <c:v>3.600000000000001</c:v>
                </c:pt>
                <c:pt idx="18">
                  <c:v>3.8000000000000012</c:v>
                </c:pt>
                <c:pt idx="19">
                  <c:v>4.0000000000000009</c:v>
                </c:pt>
              </c:numCache>
            </c:numRef>
          </c:xVal>
          <c:yVal>
            <c:numRef>
              <c:f>Tabelle2!$D$4:$D$23</c:f>
              <c:numCache>
                <c:formatCode>0.00000</c:formatCode>
                <c:ptCount val="20"/>
                <c:pt idx="0">
                  <c:v>1.2917275866426763</c:v>
                </c:pt>
                <c:pt idx="1">
                  <c:v>1.1297937333579169</c:v>
                </c:pt>
                <c:pt idx="2">
                  <c:v>1.0424778739279201</c:v>
                </c:pt>
                <c:pt idx="3">
                  <c:v>0.98265113473467203</c:v>
                </c:pt>
                <c:pt idx="4">
                  <c:v>0.93904992188012526</c:v>
                </c:pt>
                <c:pt idx="5">
                  <c:v>0.90256932126582445</c:v>
                </c:pt>
                <c:pt idx="6">
                  <c:v>0.8719938324201576</c:v>
                </c:pt>
                <c:pt idx="7">
                  <c:v>0.84643330187490773</c:v>
                </c:pt>
                <c:pt idx="8">
                  <c:v>0.82421739069442024</c:v>
                </c:pt>
                <c:pt idx="9">
                  <c:v>0.80364428908259811</c:v>
                </c:pt>
                <c:pt idx="10">
                  <c:v>0.78641696177073517</c:v>
                </c:pt>
                <c:pt idx="11">
                  <c:v>0.77047866700247025</c:v>
                </c:pt>
                <c:pt idx="12">
                  <c:v>0.7552603852658023</c:v>
                </c:pt>
                <c:pt idx="13">
                  <c:v>0.74107681585148255</c:v>
                </c:pt>
                <c:pt idx="14">
                  <c:v>0.72815140836309089</c:v>
                </c:pt>
                <c:pt idx="15">
                  <c:v>0.71063871453288396</c:v>
                </c:pt>
                <c:pt idx="16">
                  <c:v>0.69110511315633993</c:v>
                </c:pt>
                <c:pt idx="17">
                  <c:v>0.67565615815712643</c:v>
                </c:pt>
                <c:pt idx="18">
                  <c:v>0.66168887255263853</c:v>
                </c:pt>
                <c:pt idx="19">
                  <c:v>0.64730488716948553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8C-4FD4-8C05-650362D3E887}"/>
            </c:ext>
          </c:extLst>
        </c:ser>
        <c:ser>
          <c:idx val="2"/>
          <c:order val="2"/>
          <c:tx>
            <c:strRef>
              <c:f>Tabelle2!$E$2</c:f>
              <c:strCache>
                <c:ptCount val="1"/>
                <c:pt idx="0">
                  <c:v>NaSiO2 140kV 4mA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Tabelle2!$B$4:$B$23</c:f>
              <c:numCache>
                <c:formatCode>General</c:formatCode>
                <c:ptCount val="2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1.5999999999999999</c:v>
                </c:pt>
                <c:pt idx="8">
                  <c:v>1.7999999999999998</c:v>
                </c:pt>
                <c:pt idx="9">
                  <c:v>1.9999999999999998</c:v>
                </c:pt>
                <c:pt idx="10">
                  <c:v>2.1999999999999997</c:v>
                </c:pt>
                <c:pt idx="11">
                  <c:v>2.4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3.0000000000000004</c:v>
                </c:pt>
                <c:pt idx="15">
                  <c:v>3.2000000000000006</c:v>
                </c:pt>
                <c:pt idx="16">
                  <c:v>3.4000000000000008</c:v>
                </c:pt>
                <c:pt idx="17">
                  <c:v>3.600000000000001</c:v>
                </c:pt>
                <c:pt idx="18">
                  <c:v>3.8000000000000012</c:v>
                </c:pt>
                <c:pt idx="19">
                  <c:v>4.0000000000000009</c:v>
                </c:pt>
              </c:numCache>
            </c:numRef>
          </c:xVal>
          <c:yVal>
            <c:numRef>
              <c:f>Tabelle2!$E$4:$E$23</c:f>
              <c:numCache>
                <c:formatCode>0.00000</c:formatCode>
                <c:ptCount val="20"/>
                <c:pt idx="0">
                  <c:v>1.1476269113886295</c:v>
                </c:pt>
                <c:pt idx="1">
                  <c:v>1.0474615387102031</c:v>
                </c:pt>
                <c:pt idx="2">
                  <c:v>0.97050306056825963</c:v>
                </c:pt>
                <c:pt idx="3">
                  <c:v>0.91925063871597157</c:v>
                </c:pt>
                <c:pt idx="4">
                  <c:v>0.88972153793901321</c:v>
                </c:pt>
                <c:pt idx="5">
                  <c:v>0.85543270065128174</c:v>
                </c:pt>
                <c:pt idx="6">
                  <c:v>0.82800529026377556</c:v>
                </c:pt>
                <c:pt idx="7">
                  <c:v>0.80590145565829074</c:v>
                </c:pt>
                <c:pt idx="8">
                  <c:v>0.78492311631625122</c:v>
                </c:pt>
                <c:pt idx="9">
                  <c:v>0.7678763224450289</c:v>
                </c:pt>
                <c:pt idx="10">
                  <c:v>0.7548250531604469</c:v>
                </c:pt>
                <c:pt idx="11">
                  <c:v>0.73809064570601179</c:v>
                </c:pt>
                <c:pt idx="12">
                  <c:v>0.72357324836865466</c:v>
                </c:pt>
                <c:pt idx="13">
                  <c:v>0.70955716904372224</c:v>
                </c:pt>
                <c:pt idx="14">
                  <c:v>0.6985734015150673</c:v>
                </c:pt>
                <c:pt idx="15">
                  <c:v>0.68532519788384705</c:v>
                </c:pt>
                <c:pt idx="16">
                  <c:v>0.67135438630070077</c:v>
                </c:pt>
                <c:pt idx="17">
                  <c:v>0.6576358100524079</c:v>
                </c:pt>
                <c:pt idx="18">
                  <c:v>0.64871478302701202</c:v>
                </c:pt>
                <c:pt idx="19">
                  <c:v>0.63706923780656233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8C-4FD4-8C05-650362D3E887}"/>
            </c:ext>
          </c:extLst>
        </c:ser>
        <c:ser>
          <c:idx val="3"/>
          <c:order val="3"/>
          <c:tx>
            <c:strRef>
              <c:f>Tabelle2!$F$2</c:f>
              <c:strCache>
                <c:ptCount val="1"/>
                <c:pt idx="0">
                  <c:v>NaSiO2 160kV 4mA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Tabelle2!$B$4:$B$23</c:f>
              <c:numCache>
                <c:formatCode>General</c:formatCode>
                <c:ptCount val="2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1.5999999999999999</c:v>
                </c:pt>
                <c:pt idx="8">
                  <c:v>1.7999999999999998</c:v>
                </c:pt>
                <c:pt idx="9">
                  <c:v>1.9999999999999998</c:v>
                </c:pt>
                <c:pt idx="10">
                  <c:v>2.1999999999999997</c:v>
                </c:pt>
                <c:pt idx="11">
                  <c:v>2.4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3.0000000000000004</c:v>
                </c:pt>
                <c:pt idx="15">
                  <c:v>3.2000000000000006</c:v>
                </c:pt>
                <c:pt idx="16">
                  <c:v>3.4000000000000008</c:v>
                </c:pt>
                <c:pt idx="17">
                  <c:v>3.600000000000001</c:v>
                </c:pt>
                <c:pt idx="18">
                  <c:v>3.8000000000000012</c:v>
                </c:pt>
                <c:pt idx="19">
                  <c:v>4.0000000000000009</c:v>
                </c:pt>
              </c:numCache>
            </c:numRef>
          </c:xVal>
          <c:yVal>
            <c:numRef>
              <c:f>Tabelle2!$F$4:$F$23</c:f>
              <c:numCache>
                <c:formatCode>0.00000</c:formatCode>
                <c:ptCount val="20"/>
                <c:pt idx="0">
                  <c:v>1.1487802123263995</c:v>
                </c:pt>
                <c:pt idx="1">
                  <c:v>0.99439765905167843</c:v>
                </c:pt>
                <c:pt idx="2">
                  <c:v>0.92056899435366202</c:v>
                </c:pt>
                <c:pt idx="3">
                  <c:v>0.87162344382499723</c:v>
                </c:pt>
                <c:pt idx="4">
                  <c:v>0.8411910885682109</c:v>
                </c:pt>
                <c:pt idx="5">
                  <c:v>0.81027860876415347</c:v>
                </c:pt>
                <c:pt idx="6">
                  <c:v>0.78578945691623825</c:v>
                </c:pt>
                <c:pt idx="7">
                  <c:v>0.7646656608742356</c:v>
                </c:pt>
                <c:pt idx="8">
                  <c:v>0.74599989164507463</c:v>
                </c:pt>
                <c:pt idx="9">
                  <c:v>0.72948102836019402</c:v>
                </c:pt>
                <c:pt idx="10">
                  <c:v>0.71582827564310791</c:v>
                </c:pt>
                <c:pt idx="11">
                  <c:v>0.70348783830078132</c:v>
                </c:pt>
                <c:pt idx="12">
                  <c:v>0.69184990106515176</c:v>
                </c:pt>
                <c:pt idx="13">
                  <c:v>0.68113086436212689</c:v>
                </c:pt>
                <c:pt idx="14">
                  <c:v>0.67132375363961549</c:v>
                </c:pt>
                <c:pt idx="15">
                  <c:v>0.66130235639967716</c:v>
                </c:pt>
                <c:pt idx="16">
                  <c:v>0.65104254134625128</c:v>
                </c:pt>
                <c:pt idx="17">
                  <c:v>0.63636809035358188</c:v>
                </c:pt>
                <c:pt idx="18">
                  <c:v>0.62285445900930769</c:v>
                </c:pt>
                <c:pt idx="19">
                  <c:v>0.61183600777488834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8C-4FD4-8C05-650362D3E887}"/>
            </c:ext>
          </c:extLst>
        </c:ser>
        <c:ser>
          <c:idx val="4"/>
          <c:order val="4"/>
          <c:tx>
            <c:strRef>
              <c:f>Tabelle2!$G$2</c:f>
              <c:strCache>
                <c:ptCount val="1"/>
                <c:pt idx="0">
                  <c:v>PMMA 140kV 4mA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Tabelle2!$B$4:$B$23</c:f>
              <c:numCache>
                <c:formatCode>General</c:formatCode>
                <c:ptCount val="2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1.5999999999999999</c:v>
                </c:pt>
                <c:pt idx="8">
                  <c:v>1.7999999999999998</c:v>
                </c:pt>
                <c:pt idx="9">
                  <c:v>1.9999999999999998</c:v>
                </c:pt>
                <c:pt idx="10">
                  <c:v>2.1999999999999997</c:v>
                </c:pt>
                <c:pt idx="11">
                  <c:v>2.4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3.0000000000000004</c:v>
                </c:pt>
                <c:pt idx="15">
                  <c:v>3.2000000000000006</c:v>
                </c:pt>
                <c:pt idx="16">
                  <c:v>3.4000000000000008</c:v>
                </c:pt>
                <c:pt idx="17">
                  <c:v>3.600000000000001</c:v>
                </c:pt>
                <c:pt idx="18">
                  <c:v>3.8000000000000012</c:v>
                </c:pt>
                <c:pt idx="19">
                  <c:v>4.0000000000000009</c:v>
                </c:pt>
              </c:numCache>
            </c:numRef>
          </c:xVal>
          <c:yVal>
            <c:numRef>
              <c:f>Tabelle2!$G$4:$G$23</c:f>
              <c:numCache>
                <c:formatCode>0.00000</c:formatCode>
                <c:ptCount val="20"/>
                <c:pt idx="0">
                  <c:v>0.32747209269016769</c:v>
                </c:pt>
                <c:pt idx="1">
                  <c:v>0.28123135977774794</c:v>
                </c:pt>
                <c:pt idx="2">
                  <c:v>0.26732922419333832</c:v>
                </c:pt>
                <c:pt idx="3">
                  <c:v>0.26358044779355055</c:v>
                </c:pt>
                <c:pt idx="4">
                  <c:v>0.25965041746091116</c:v>
                </c:pt>
                <c:pt idx="5">
                  <c:v>0.25752129218600073</c:v>
                </c:pt>
                <c:pt idx="6">
                  <c:v>0.25578876948100376</c:v>
                </c:pt>
                <c:pt idx="7">
                  <c:v>0.25477432454725407</c:v>
                </c:pt>
                <c:pt idx="8">
                  <c:v>0.2532674970239423</c:v>
                </c:pt>
                <c:pt idx="9">
                  <c:v>0.2522205833489623</c:v>
                </c:pt>
                <c:pt idx="10">
                  <c:v>0.25277378577681697</c:v>
                </c:pt>
                <c:pt idx="11">
                  <c:v>0.25080220287336452</c:v>
                </c:pt>
                <c:pt idx="12">
                  <c:v>0.24954751060066627</c:v>
                </c:pt>
                <c:pt idx="13">
                  <c:v>0.24857239637027173</c:v>
                </c:pt>
                <c:pt idx="14">
                  <c:v>0.24769823509460834</c:v>
                </c:pt>
                <c:pt idx="15">
                  <c:v>0.24695803878825501</c:v>
                </c:pt>
                <c:pt idx="16">
                  <c:v>0.24591291934628737</c:v>
                </c:pt>
                <c:pt idx="17">
                  <c:v>0.24469548480482026</c:v>
                </c:pt>
                <c:pt idx="18">
                  <c:v>0.24390552255443543</c:v>
                </c:pt>
                <c:pt idx="19">
                  <c:v>0.24356468698581565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8C-4FD4-8C05-650362D3E887}"/>
            </c:ext>
          </c:extLst>
        </c:ser>
        <c:ser>
          <c:idx val="5"/>
          <c:order val="5"/>
          <c:tx>
            <c:strRef>
              <c:f>Tabelle2!$H$2</c:f>
              <c:strCache>
                <c:ptCount val="1"/>
                <c:pt idx="0">
                  <c:v>PMMA 160kV 4mA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Tabelle2!$B$4:$B$23</c:f>
              <c:numCache>
                <c:formatCode>General</c:formatCode>
                <c:ptCount val="2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1.5999999999999999</c:v>
                </c:pt>
                <c:pt idx="8">
                  <c:v>1.7999999999999998</c:v>
                </c:pt>
                <c:pt idx="9">
                  <c:v>1.9999999999999998</c:v>
                </c:pt>
                <c:pt idx="10">
                  <c:v>2.1999999999999997</c:v>
                </c:pt>
                <c:pt idx="11">
                  <c:v>2.4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3.0000000000000004</c:v>
                </c:pt>
                <c:pt idx="15">
                  <c:v>3.2000000000000006</c:v>
                </c:pt>
                <c:pt idx="16">
                  <c:v>3.4000000000000008</c:v>
                </c:pt>
                <c:pt idx="17">
                  <c:v>3.600000000000001</c:v>
                </c:pt>
                <c:pt idx="18">
                  <c:v>3.8000000000000012</c:v>
                </c:pt>
                <c:pt idx="19">
                  <c:v>4.0000000000000009</c:v>
                </c:pt>
              </c:numCache>
            </c:numRef>
          </c:xVal>
          <c:yVal>
            <c:numRef>
              <c:f>Tabelle2!$H$4:$H$23</c:f>
              <c:numCache>
                <c:formatCode>0.00000</c:formatCode>
                <c:ptCount val="20"/>
                <c:pt idx="0">
                  <c:v>0.31568623788648281</c:v>
                </c:pt>
                <c:pt idx="1">
                  <c:v>0.27330469841335958</c:v>
                </c:pt>
                <c:pt idx="2">
                  <c:v>0.26413014682148761</c:v>
                </c:pt>
                <c:pt idx="3">
                  <c:v>0.25889927792346706</c:v>
                </c:pt>
                <c:pt idx="4">
                  <c:v>0.2544145887175005</c:v>
                </c:pt>
                <c:pt idx="5">
                  <c:v>0.25285407794345299</c:v>
                </c:pt>
                <c:pt idx="6">
                  <c:v>0.25131891864341155</c:v>
                </c:pt>
                <c:pt idx="7">
                  <c:v>0.24837844106732021</c:v>
                </c:pt>
                <c:pt idx="8">
                  <c:v>0.24707025222246981</c:v>
                </c:pt>
                <c:pt idx="9">
                  <c:v>0.24637945676807085</c:v>
                </c:pt>
                <c:pt idx="10">
                  <c:v>0.24503736647485838</c:v>
                </c:pt>
                <c:pt idx="11">
                  <c:v>0.24357498260847141</c:v>
                </c:pt>
                <c:pt idx="12">
                  <c:v>0.24228732141148981</c:v>
                </c:pt>
                <c:pt idx="13">
                  <c:v>0.24137458450027699</c:v>
                </c:pt>
                <c:pt idx="14">
                  <c:v>0.24060102715923473</c:v>
                </c:pt>
                <c:pt idx="15">
                  <c:v>0.23960133342914761</c:v>
                </c:pt>
                <c:pt idx="16">
                  <c:v>0.23901862221348785</c:v>
                </c:pt>
                <c:pt idx="17">
                  <c:v>0.23794959396920368</c:v>
                </c:pt>
                <c:pt idx="18">
                  <c:v>0.23709430842957058</c:v>
                </c:pt>
                <c:pt idx="19">
                  <c:v>0.2357110879852839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8C-4FD4-8C05-650362D3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02032"/>
        <c:axId val="330499736"/>
      </c:scatterChart>
      <c:valAx>
        <c:axId val="330502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499736"/>
        <c:crosses val="autoZero"/>
        <c:crossBetween val="midCat"/>
        <c:majorUnit val="0.2"/>
      </c:valAx>
      <c:valAx>
        <c:axId val="3304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50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15</xdr:row>
      <xdr:rowOff>176211</xdr:rowOff>
    </xdr:from>
    <xdr:to>
      <xdr:col>13</xdr:col>
      <xdr:colOff>390525</xdr:colOff>
      <xdr:row>39</xdr:row>
      <xdr:rowOff>28574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904875</xdr:colOff>
      <xdr:row>12</xdr:row>
      <xdr:rowOff>133350</xdr:rowOff>
    </xdr:from>
    <xdr:to>
      <xdr:col>19</xdr:col>
      <xdr:colOff>561975</xdr:colOff>
      <xdr:row>43</xdr:row>
      <xdr:rowOff>85724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13</xdr:row>
      <xdr:rowOff>95250</xdr:rowOff>
    </xdr:from>
    <xdr:to>
      <xdr:col>11</xdr:col>
      <xdr:colOff>495300</xdr:colOff>
      <xdr:row>38</xdr:row>
      <xdr:rowOff>161925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644" cy="601684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90" zoomScaleNormal="90" workbookViewId="0">
      <selection activeCell="K10" sqref="K10"/>
    </sheetView>
  </sheetViews>
  <sheetFormatPr baseColWidth="10" defaultRowHeight="15" x14ac:dyDescent="0.25"/>
  <cols>
    <col min="1" max="1" width="31.85546875" customWidth="1"/>
    <col min="2" max="2" width="23.140625" customWidth="1"/>
    <col min="3" max="3" width="20.85546875" customWidth="1"/>
    <col min="9" max="9" width="19" customWidth="1"/>
    <col min="10" max="10" width="17.140625" customWidth="1"/>
    <col min="12" max="12" width="29.140625" customWidth="1"/>
    <col min="13" max="13" width="16.85546875" customWidth="1"/>
    <col min="14" max="14" width="20.5703125" customWidth="1"/>
    <col min="15" max="15" width="17" customWidth="1"/>
  </cols>
  <sheetData>
    <row r="1" spans="1:15" x14ac:dyDescent="0.25">
      <c r="M1" s="50" t="s">
        <v>15</v>
      </c>
    </row>
    <row r="2" spans="1:15" x14ac:dyDescent="0.25">
      <c r="B2" s="51" t="s">
        <v>111</v>
      </c>
      <c r="C2" s="51"/>
      <c r="M2" s="50"/>
    </row>
    <row r="3" spans="1:15" x14ac:dyDescent="0.25">
      <c r="B3" t="s">
        <v>110</v>
      </c>
      <c r="C3" t="s">
        <v>109</v>
      </c>
      <c r="D3" s="4" t="s">
        <v>1</v>
      </c>
      <c r="E3" s="4" t="s">
        <v>33</v>
      </c>
      <c r="F3" s="4" t="s">
        <v>75</v>
      </c>
      <c r="G3" s="4" t="s">
        <v>2</v>
      </c>
      <c r="H3" s="4" t="s">
        <v>33</v>
      </c>
      <c r="I3" s="4" t="s">
        <v>3</v>
      </c>
      <c r="J3" s="4" t="s">
        <v>5</v>
      </c>
      <c r="K3" s="5" t="s">
        <v>9</v>
      </c>
      <c r="L3" s="4" t="s">
        <v>115</v>
      </c>
      <c r="M3" s="4" t="s">
        <v>116</v>
      </c>
      <c r="N3" s="4" t="s">
        <v>108</v>
      </c>
      <c r="O3" s="4" t="s">
        <v>147</v>
      </c>
    </row>
    <row r="4" spans="1:15" x14ac:dyDescent="0.25">
      <c r="I4" s="4"/>
      <c r="J4" s="4"/>
      <c r="K4" s="5"/>
      <c r="L4" s="4"/>
      <c r="M4" s="4"/>
      <c r="N4" s="4"/>
    </row>
    <row r="5" spans="1:15" x14ac:dyDescent="0.25">
      <c r="A5" t="s">
        <v>12</v>
      </c>
      <c r="B5" s="13">
        <v>2</v>
      </c>
      <c r="C5" s="13">
        <f>B5*M5</f>
        <v>1.2014</v>
      </c>
      <c r="D5" s="13">
        <v>11931</v>
      </c>
      <c r="E5" s="13">
        <v>165</v>
      </c>
      <c r="F5" s="37">
        <f>G5*Auswertung!B22</f>
        <v>30822.386367687428</v>
      </c>
      <c r="G5" s="13">
        <v>37435</v>
      </c>
      <c r="H5" s="13">
        <v>225</v>
      </c>
      <c r="I5" s="14">
        <f>D5/F5</f>
        <v>0.38708878208430464</v>
      </c>
      <c r="J5" s="14"/>
      <c r="K5" s="14">
        <f t="shared" ref="K5:K8" si="0">-LN(I5)</f>
        <v>0.94910120119249641</v>
      </c>
      <c r="L5" s="15">
        <f>K5/B5</f>
        <v>0.47455060059624821</v>
      </c>
      <c r="M5" s="13">
        <v>0.60070000000000001</v>
      </c>
      <c r="N5" s="14">
        <f>L5/M5</f>
        <v>0.78999600565381756</v>
      </c>
      <c r="O5" s="46">
        <f>(1/(M5*B5))*SQRT(((E5^2)/(D5^2))+(H5^2/F5^2))</f>
        <v>1.3016399654095076E-2</v>
      </c>
    </row>
    <row r="6" spans="1:15" x14ac:dyDescent="0.25">
      <c r="A6" t="s">
        <v>12</v>
      </c>
      <c r="B6" s="13">
        <v>3</v>
      </c>
      <c r="C6" s="13">
        <f t="shared" ref="C6:C9" si="1">B6*M6</f>
        <v>1.8021</v>
      </c>
      <c r="D6" s="13">
        <v>8553</v>
      </c>
      <c r="E6" s="13">
        <v>138</v>
      </c>
      <c r="F6" s="37">
        <f>G6*Auswertung!B23</f>
        <v>31062.344413138842</v>
      </c>
      <c r="G6" s="13">
        <v>37725</v>
      </c>
      <c r="H6" s="13">
        <v>231</v>
      </c>
      <c r="I6" s="14">
        <f>D6/F6</f>
        <v>0.27534946771056429</v>
      </c>
      <c r="J6" s="14"/>
      <c r="K6" s="14">
        <f t="shared" si="0"/>
        <v>1.2897141964131063</v>
      </c>
      <c r="L6" s="15">
        <f>K6/B6</f>
        <v>0.42990473213770208</v>
      </c>
      <c r="M6" s="13">
        <f>M5</f>
        <v>0.60070000000000001</v>
      </c>
      <c r="N6" s="14">
        <f t="shared" ref="N6:N7" si="2">L6/M6</f>
        <v>0.71567293513850849</v>
      </c>
      <c r="O6" s="46">
        <f t="shared" ref="O6:O7" si="3">(1/(M6*B6))*SQRT(((E6^2)/(D6^2))+(H6^2/F6^2))</f>
        <v>9.8585190139964685E-3</v>
      </c>
    </row>
    <row r="7" spans="1:15" x14ac:dyDescent="0.25">
      <c r="A7" t="s">
        <v>12</v>
      </c>
      <c r="B7" s="13">
        <v>4</v>
      </c>
      <c r="C7" s="13">
        <f t="shared" si="1"/>
        <v>2.4028</v>
      </c>
      <c r="D7" s="13">
        <v>6415</v>
      </c>
      <c r="E7" s="13">
        <v>128</v>
      </c>
      <c r="F7" s="37">
        <f>G7*Auswertung!B25</f>
        <v>31058.040262472805</v>
      </c>
      <c r="G7" s="13">
        <v>37729</v>
      </c>
      <c r="H7" s="13">
        <v>244</v>
      </c>
      <c r="I7" s="14">
        <f t="shared" ref="I7" si="4">D7/F7</f>
        <v>0.20654876952269252</v>
      </c>
      <c r="J7" s="14"/>
      <c r="K7" s="14">
        <f t="shared" si="0"/>
        <v>1.5772187224425476</v>
      </c>
      <c r="L7" s="15">
        <f>K7/B7</f>
        <v>0.39430468061063689</v>
      </c>
      <c r="M7" s="13">
        <f>M6</f>
        <v>0.60070000000000001</v>
      </c>
      <c r="N7" s="14">
        <f t="shared" si="2"/>
        <v>0.65640865758388023</v>
      </c>
      <c r="O7" s="46">
        <f t="shared" si="3"/>
        <v>8.9246582028873409E-3</v>
      </c>
    </row>
    <row r="8" spans="1:15" x14ac:dyDescent="0.25">
      <c r="A8" t="s">
        <v>100</v>
      </c>
      <c r="B8">
        <v>5</v>
      </c>
      <c r="C8" s="13">
        <f t="shared" si="1"/>
        <v>3.0034999999999998</v>
      </c>
      <c r="I8" s="29">
        <v>0.14772969999999999</v>
      </c>
      <c r="K8" s="1">
        <f t="shared" si="0"/>
        <v>1.9123710263824227</v>
      </c>
      <c r="L8" s="2">
        <f>K8/B8</f>
        <v>0.38247420527648457</v>
      </c>
      <c r="M8">
        <f>M7</f>
        <v>0.60070000000000001</v>
      </c>
      <c r="N8" s="1">
        <f>L8/M8</f>
        <v>0.63671417558928678</v>
      </c>
    </row>
    <row r="9" spans="1:15" x14ac:dyDescent="0.25">
      <c r="A9" t="s">
        <v>101</v>
      </c>
      <c r="B9" s="28">
        <v>5</v>
      </c>
      <c r="C9" s="13">
        <f t="shared" si="1"/>
        <v>3.0034999999999998</v>
      </c>
      <c r="L9" s="30">
        <f>M9*N9</f>
        <v>0.35820827992482751</v>
      </c>
      <c r="M9">
        <v>0.60070000000000001</v>
      </c>
      <c r="N9" s="29">
        <f>J30</f>
        <v>0.5963180954300441</v>
      </c>
    </row>
    <row r="11" spans="1:15" x14ac:dyDescent="0.25">
      <c r="B11" s="27" t="s">
        <v>89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1:15" x14ac:dyDescent="0.25">
      <c r="B12" s="27" t="s">
        <v>90</v>
      </c>
      <c r="C12" s="27"/>
      <c r="D12" s="27"/>
      <c r="E12" s="27"/>
      <c r="F12" s="27"/>
      <c r="G12" s="27"/>
      <c r="H12" s="27" t="s">
        <v>91</v>
      </c>
      <c r="J12" s="27"/>
      <c r="K12" s="27"/>
      <c r="L12" s="27"/>
      <c r="M12" s="27" t="s">
        <v>92</v>
      </c>
      <c r="N12" s="27"/>
    </row>
    <row r="13" spans="1:15" x14ac:dyDescent="0.25">
      <c r="B13" s="27"/>
      <c r="C13" s="27"/>
      <c r="D13" s="27"/>
      <c r="E13" s="27"/>
      <c r="F13" s="27"/>
      <c r="G13" s="27"/>
      <c r="H13" s="27" t="s">
        <v>113</v>
      </c>
      <c r="I13" s="27" t="s">
        <v>114</v>
      </c>
      <c r="J13" s="27" t="s">
        <v>3</v>
      </c>
      <c r="K13" s="27" t="s">
        <v>97</v>
      </c>
      <c r="L13" s="36" t="s">
        <v>129</v>
      </c>
      <c r="M13" s="27" t="s">
        <v>112</v>
      </c>
      <c r="N13" s="27" t="s">
        <v>96</v>
      </c>
    </row>
    <row r="14" spans="1:15" x14ac:dyDescent="0.25">
      <c r="B14" s="27"/>
      <c r="C14" s="27"/>
      <c r="D14" s="27"/>
      <c r="E14" s="27"/>
      <c r="F14" s="27"/>
      <c r="G14" s="27"/>
      <c r="H14" s="27"/>
      <c r="I14" t="s">
        <v>117</v>
      </c>
      <c r="J14" s="27"/>
      <c r="K14" s="27"/>
      <c r="L14" s="27"/>
      <c r="M14" s="27"/>
      <c r="N14" s="27"/>
    </row>
    <row r="15" spans="1:15" x14ac:dyDescent="0.25">
      <c r="B15" t="s">
        <v>63</v>
      </c>
      <c r="D15" t="s">
        <v>118</v>
      </c>
      <c r="H15">
        <v>2</v>
      </c>
      <c r="I15">
        <f>C5</f>
        <v>1.2014</v>
      </c>
      <c r="J15" s="1">
        <f>$E$16*EXP($E$17*H15)</f>
        <v>0.3854121090115985</v>
      </c>
      <c r="K15" s="1">
        <f>K5-L15</f>
        <v>-4.3409029682383027E-3</v>
      </c>
      <c r="L15" s="1">
        <f>-LN(J15)</f>
        <v>0.95344210416073472</v>
      </c>
      <c r="M15" s="2">
        <f>-LN(J15)/(M5*B5)</f>
        <v>0.79360920938965762</v>
      </c>
      <c r="N15" s="1">
        <f>N5-M15</f>
        <v>-3.6132037358400648E-3</v>
      </c>
    </row>
    <row r="16" spans="1:15" x14ac:dyDescent="0.25">
      <c r="D16" t="s">
        <v>65</v>
      </c>
      <c r="E16">
        <v>0.73040499999999997</v>
      </c>
      <c r="H16">
        <v>3</v>
      </c>
      <c r="I16">
        <f t="shared" ref="I16:I18" si="5">C6</f>
        <v>1.8021</v>
      </c>
      <c r="J16" s="1">
        <f>$E$16*EXP($E$17*H16)</f>
        <v>0.27996656205936149</v>
      </c>
      <c r="K16" s="1">
        <f>K6-L16</f>
        <v>1.6629092252371525E-2</v>
      </c>
      <c r="L16" s="1">
        <f t="shared" ref="L16:L17" si="6">-LN(J16)</f>
        <v>1.2730851041607347</v>
      </c>
      <c r="M16" s="2">
        <f t="shared" ref="M16:M17" si="7">-LN(J16)/(M6*B6)</f>
        <v>0.70644531610939165</v>
      </c>
      <c r="N16" s="1">
        <f>N6-M16</f>
        <v>9.2276190291168403E-3</v>
      </c>
    </row>
    <row r="17" spans="2:14" x14ac:dyDescent="0.25">
      <c r="D17" t="s">
        <v>66</v>
      </c>
      <c r="E17">
        <v>-0.31964300000000001</v>
      </c>
      <c r="H17">
        <v>4</v>
      </c>
      <c r="I17">
        <f t="shared" si="5"/>
        <v>2.4028</v>
      </c>
      <c r="J17" s="1">
        <f>$E$16*EXP($E$17*H17)</f>
        <v>0.20337003959826164</v>
      </c>
      <c r="K17" s="1">
        <f>K7-L17</f>
        <v>-1.5509381718187276E-2</v>
      </c>
      <c r="L17" s="1">
        <f t="shared" si="6"/>
        <v>1.5927281041607348</v>
      </c>
      <c r="M17" s="2">
        <f t="shared" si="7"/>
        <v>0.66286336946925872</v>
      </c>
      <c r="N17" s="1">
        <f>N7-M17</f>
        <v>-6.4547118853784946E-3</v>
      </c>
    </row>
    <row r="18" spans="2:14" x14ac:dyDescent="0.25">
      <c r="D18" t="s">
        <v>67</v>
      </c>
      <c r="E18">
        <v>0</v>
      </c>
      <c r="H18" s="31">
        <v>5</v>
      </c>
      <c r="I18">
        <f t="shared" si="5"/>
        <v>3.0034999999999998</v>
      </c>
      <c r="J18" s="32">
        <f>$E$16*EXP($E$17*H18)</f>
        <v>0.1477296885098337</v>
      </c>
      <c r="K18" s="32">
        <f>K8-L18</f>
        <v>-7.7778312235210478E-8</v>
      </c>
      <c r="L18" s="32">
        <f>-LN(J18)</f>
        <v>1.912371104160735</v>
      </c>
      <c r="M18" s="2">
        <f>-LN(J18)/(M8*B8)</f>
        <v>0.63671420148517899</v>
      </c>
      <c r="N18" s="32">
        <f>N8-M18</f>
        <v>-2.5895892208360749E-8</v>
      </c>
    </row>
    <row r="19" spans="2:14" x14ac:dyDescent="0.25">
      <c r="H19" s="28"/>
      <c r="I19" s="28"/>
      <c r="J19" s="29"/>
      <c r="K19" s="28"/>
      <c r="L19" s="30"/>
      <c r="M19" s="29"/>
    </row>
    <row r="20" spans="2:14" x14ac:dyDescent="0.25">
      <c r="B20" t="s">
        <v>68</v>
      </c>
      <c r="D20" t="s">
        <v>119</v>
      </c>
    </row>
    <row r="23" spans="2:14" x14ac:dyDescent="0.25">
      <c r="L23" s="24"/>
    </row>
    <row r="24" spans="2:14" x14ac:dyDescent="0.25">
      <c r="B24" s="27" t="s">
        <v>93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</row>
    <row r="25" spans="2:14" x14ac:dyDescent="0.25">
      <c r="B25" s="27" t="s">
        <v>94</v>
      </c>
      <c r="C25" s="27"/>
      <c r="D25" s="27"/>
      <c r="E25" s="27"/>
      <c r="F25" s="27"/>
      <c r="G25" s="27"/>
      <c r="H25" s="27" t="s">
        <v>98</v>
      </c>
      <c r="I25" s="27"/>
      <c r="J25" s="27"/>
      <c r="K25" s="27"/>
      <c r="L25" s="27"/>
      <c r="M25" s="27"/>
    </row>
    <row r="26" spans="2:14" x14ac:dyDescent="0.25">
      <c r="B26" s="27"/>
      <c r="C26" s="27"/>
      <c r="D26" s="27"/>
      <c r="E26" s="27"/>
      <c r="F26" s="27"/>
      <c r="G26" s="27">
        <f>Kalibrierung!E28</f>
        <v>0.949882</v>
      </c>
      <c r="H26" s="27" t="s">
        <v>113</v>
      </c>
      <c r="I26" s="27" t="s">
        <v>114</v>
      </c>
      <c r="J26" s="27" t="s">
        <v>112</v>
      </c>
      <c r="K26" s="27" t="s">
        <v>97</v>
      </c>
      <c r="L26" s="27" t="s">
        <v>99</v>
      </c>
      <c r="M26" s="27"/>
    </row>
    <row r="27" spans="2:14" x14ac:dyDescent="0.25">
      <c r="B27" t="s">
        <v>103</v>
      </c>
      <c r="D27" s="12"/>
      <c r="H27">
        <v>2</v>
      </c>
      <c r="I27">
        <f>C5</f>
        <v>1.2014</v>
      </c>
      <c r="J27" s="1">
        <f>E$28*EXP(E$29*I27)</f>
        <v>0.78848419085208543</v>
      </c>
      <c r="K27" s="1">
        <f>N5-J27</f>
        <v>1.5118148017321253E-3</v>
      </c>
      <c r="L27" s="2">
        <f>J27-M15</f>
        <v>-5.1250185375721902E-3</v>
      </c>
    </row>
    <row r="28" spans="2:14" x14ac:dyDescent="0.25">
      <c r="D28" s="12" t="s">
        <v>67</v>
      </c>
      <c r="E28">
        <v>0.949882</v>
      </c>
      <c r="H28">
        <v>3</v>
      </c>
      <c r="I28">
        <f t="shared" ref="I28:I30" si="8">C6</f>
        <v>1.8021</v>
      </c>
      <c r="J28" s="1">
        <f t="shared" ref="J28:J30" si="9">E$28*EXP(E$29*I28)</f>
        <v>0.71838070020295464</v>
      </c>
      <c r="K28" s="1">
        <f>N6-J28</f>
        <v>-2.7077650644461437E-3</v>
      </c>
      <c r="L28" s="2">
        <f>J28-M16</f>
        <v>1.1935384093562984E-2</v>
      </c>
    </row>
    <row r="29" spans="2:14" x14ac:dyDescent="0.25">
      <c r="D29" s="12" t="s">
        <v>102</v>
      </c>
      <c r="E29" s="25">
        <v>-0.15500700000000001</v>
      </c>
      <c r="H29">
        <v>4</v>
      </c>
      <c r="I29">
        <f t="shared" si="8"/>
        <v>2.4028</v>
      </c>
      <c r="J29" s="1">
        <f t="shared" si="9"/>
        <v>0.65451005411584584</v>
      </c>
      <c r="K29" s="1">
        <f>N7-J29</f>
        <v>1.8986034680343877E-3</v>
      </c>
      <c r="L29" s="2">
        <f>J29-M17</f>
        <v>-8.3533153534128823E-3</v>
      </c>
    </row>
    <row r="30" spans="2:14" x14ac:dyDescent="0.25">
      <c r="D30" s="12"/>
      <c r="H30" s="31">
        <v>5</v>
      </c>
      <c r="I30">
        <f t="shared" si="8"/>
        <v>3.0034999999999998</v>
      </c>
      <c r="J30" s="1">
        <f t="shared" si="9"/>
        <v>0.5963180954300441</v>
      </c>
      <c r="K30" s="32"/>
      <c r="L30" s="33">
        <f>J30-M18</f>
        <v>-4.0396106055134884E-2</v>
      </c>
    </row>
    <row r="31" spans="2:14" x14ac:dyDescent="0.25">
      <c r="B31" t="s">
        <v>95</v>
      </c>
      <c r="D31" s="26" t="s">
        <v>132</v>
      </c>
    </row>
    <row r="32" spans="2:14" x14ac:dyDescent="0.25">
      <c r="D32" s="12"/>
    </row>
    <row r="34" spans="4:6" x14ac:dyDescent="0.25">
      <c r="D34" s="12"/>
    </row>
    <row r="36" spans="4:6" x14ac:dyDescent="0.25">
      <c r="D36" s="12"/>
    </row>
    <row r="37" spans="4:6" x14ac:dyDescent="0.25">
      <c r="D37" s="12"/>
    </row>
    <row r="38" spans="4:6" x14ac:dyDescent="0.25">
      <c r="D38" s="1"/>
      <c r="E38" s="1"/>
      <c r="F38" s="1"/>
    </row>
    <row r="39" spans="4:6" x14ac:dyDescent="0.25">
      <c r="D39" s="1"/>
      <c r="E39" s="1"/>
      <c r="F39" s="1"/>
    </row>
    <row r="40" spans="4:6" x14ac:dyDescent="0.25">
      <c r="D40" s="1"/>
    </row>
    <row r="41" spans="4:6" x14ac:dyDescent="0.25">
      <c r="D41" s="1"/>
      <c r="E41" s="1"/>
      <c r="F41" s="1"/>
    </row>
    <row r="42" spans="4:6" x14ac:dyDescent="0.25">
      <c r="D42" s="1"/>
    </row>
  </sheetData>
  <mergeCells count="2">
    <mergeCell ref="M1:M2"/>
    <mergeCell ref="B2:C2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workbookViewId="0">
      <selection activeCell="E6" sqref="E6"/>
    </sheetView>
  </sheetViews>
  <sheetFormatPr baseColWidth="10" defaultRowHeight="15" x14ac:dyDescent="0.25"/>
  <cols>
    <col min="2" max="2" width="15.5703125" customWidth="1"/>
    <col min="3" max="8" width="17.28515625" customWidth="1"/>
  </cols>
  <sheetData>
    <row r="2" spans="2:8" x14ac:dyDescent="0.25">
      <c r="C2" t="s">
        <v>286</v>
      </c>
      <c r="D2" t="s">
        <v>289</v>
      </c>
      <c r="E2" t="s">
        <v>290</v>
      </c>
      <c r="F2" t="s">
        <v>291</v>
      </c>
      <c r="G2" t="s">
        <v>292</v>
      </c>
      <c r="H2" t="s">
        <v>293</v>
      </c>
    </row>
    <row r="3" spans="2:8" x14ac:dyDescent="0.25">
      <c r="B3" t="s">
        <v>287</v>
      </c>
      <c r="C3" t="s">
        <v>288</v>
      </c>
      <c r="D3" t="s">
        <v>288</v>
      </c>
      <c r="E3" t="s">
        <v>288</v>
      </c>
      <c r="F3" t="s">
        <v>288</v>
      </c>
      <c r="G3" t="s">
        <v>288</v>
      </c>
      <c r="H3" t="s">
        <v>288</v>
      </c>
    </row>
    <row r="4" spans="2:8" x14ac:dyDescent="0.25">
      <c r="B4">
        <f>Tabelle1!G4:G23</f>
        <v>0.2</v>
      </c>
      <c r="C4" s="2">
        <f>Tabelle1!L4</f>
        <v>1.3861981799262983</v>
      </c>
      <c r="D4" s="2">
        <f>Tabelle1!L25</f>
        <v>1.2917275866426763</v>
      </c>
      <c r="E4" s="2">
        <f>Tabelle1!L47</f>
        <v>1.1476269113886295</v>
      </c>
      <c r="F4" s="2">
        <f>Tabelle1!L68</f>
        <v>1.1487802123263995</v>
      </c>
      <c r="G4" s="2">
        <f>Tabelle1!L90</f>
        <v>0.32747209269016769</v>
      </c>
      <c r="H4" s="2">
        <f>Tabelle1!L111</f>
        <v>0.31568623788648281</v>
      </c>
    </row>
    <row r="5" spans="2:8" x14ac:dyDescent="0.25">
      <c r="B5">
        <f>Tabelle1!G5:G24</f>
        <v>0.4</v>
      </c>
      <c r="C5" s="2">
        <f>Tabelle1!L5</f>
        <v>1.2113730203025554</v>
      </c>
      <c r="D5" s="2">
        <f>Tabelle1!L26</f>
        <v>1.1297937333579169</v>
      </c>
      <c r="E5" s="2">
        <f>Tabelle1!L48</f>
        <v>1.0474615387102031</v>
      </c>
      <c r="F5" s="2">
        <f>Tabelle1!L69</f>
        <v>0.99439765905167843</v>
      </c>
      <c r="G5" s="2">
        <f>Tabelle1!L91</f>
        <v>0.28123135977774794</v>
      </c>
      <c r="H5" s="2">
        <f>Tabelle1!L112</f>
        <v>0.27330469841335958</v>
      </c>
    </row>
    <row r="6" spans="2:8" x14ac:dyDescent="0.25">
      <c r="B6">
        <f>Tabelle1!G6:G25</f>
        <v>0.60000000000000009</v>
      </c>
      <c r="C6" s="2">
        <f>Tabelle1!L6</f>
        <v>1.1158074658082378</v>
      </c>
      <c r="D6" s="2">
        <f>Tabelle1!L27</f>
        <v>1.0424778739279201</v>
      </c>
      <c r="E6" s="2">
        <f>Tabelle1!L49</f>
        <v>0.97050306056825963</v>
      </c>
      <c r="F6" s="2">
        <f>Tabelle1!L70</f>
        <v>0.92056899435366202</v>
      </c>
      <c r="G6" s="2">
        <f>Tabelle1!L92</f>
        <v>0.26732922419333832</v>
      </c>
      <c r="H6" s="2">
        <f>Tabelle1!L113</f>
        <v>0.26413014682148761</v>
      </c>
    </row>
    <row r="7" spans="2:8" x14ac:dyDescent="0.25">
      <c r="B7">
        <f>Tabelle1!G7:G26</f>
        <v>0.8</v>
      </c>
      <c r="C7" s="2">
        <f>Tabelle1!L7</f>
        <v>1.0442364340474641</v>
      </c>
      <c r="D7" s="2">
        <f>Tabelle1!L28</f>
        <v>0.98265113473467203</v>
      </c>
      <c r="E7" s="2">
        <f>Tabelle1!L50</f>
        <v>0.91925063871597157</v>
      </c>
      <c r="F7" s="2">
        <f>Tabelle1!L71</f>
        <v>0.87162344382499723</v>
      </c>
      <c r="G7" s="2">
        <f>Tabelle1!L93</f>
        <v>0.26358044779355055</v>
      </c>
      <c r="H7" s="2">
        <f>Tabelle1!L114</f>
        <v>0.25889927792346706</v>
      </c>
    </row>
    <row r="8" spans="2:8" x14ac:dyDescent="0.25">
      <c r="B8">
        <f>Tabelle1!G8:G27</f>
        <v>1</v>
      </c>
      <c r="C8" s="2">
        <f>Tabelle1!L8</f>
        <v>0.99496734738011205</v>
      </c>
      <c r="D8" s="2">
        <f>Tabelle1!L29</f>
        <v>0.93904992188012526</v>
      </c>
      <c r="E8" s="2">
        <f>Tabelle1!L51</f>
        <v>0.88972153793901321</v>
      </c>
      <c r="F8" s="2">
        <f>Tabelle1!L72</f>
        <v>0.8411910885682109</v>
      </c>
      <c r="G8" s="2">
        <f>Tabelle1!L94</f>
        <v>0.25965041746091116</v>
      </c>
      <c r="H8" s="2">
        <f>Tabelle1!L115</f>
        <v>0.2544145887175005</v>
      </c>
    </row>
    <row r="9" spans="2:8" x14ac:dyDescent="0.25">
      <c r="B9">
        <f>Tabelle1!G9:G28</f>
        <v>1.2</v>
      </c>
      <c r="C9" s="2">
        <f>Tabelle1!L9</f>
        <v>0.95617018589216218</v>
      </c>
      <c r="D9" s="2">
        <f>Tabelle1!L30</f>
        <v>0.90256932126582445</v>
      </c>
      <c r="E9" s="2">
        <f>Tabelle1!L52</f>
        <v>0.85543270065128174</v>
      </c>
      <c r="F9" s="2">
        <f>Tabelle1!L73</f>
        <v>0.81027860876415347</v>
      </c>
      <c r="G9" s="2">
        <f>Tabelle1!L95</f>
        <v>0.25752129218600073</v>
      </c>
      <c r="H9" s="2">
        <f>Tabelle1!L116</f>
        <v>0.25285407794345299</v>
      </c>
    </row>
    <row r="10" spans="2:8" x14ac:dyDescent="0.25">
      <c r="B10">
        <f>Tabelle1!G10:G29</f>
        <v>1.4</v>
      </c>
      <c r="C10" s="2">
        <f>Tabelle1!L10</f>
        <v>0.92328330350024435</v>
      </c>
      <c r="D10" s="2">
        <f>Tabelle1!L31</f>
        <v>0.8719938324201576</v>
      </c>
      <c r="E10" s="2">
        <f>Tabelle1!L53</f>
        <v>0.82800529026377556</v>
      </c>
      <c r="F10" s="2">
        <f>Tabelle1!L74</f>
        <v>0.78578945691623825</v>
      </c>
      <c r="G10" s="2">
        <f>Tabelle1!L96</f>
        <v>0.25578876948100376</v>
      </c>
      <c r="H10" s="2">
        <f>Tabelle1!L117</f>
        <v>0.25131891864341155</v>
      </c>
    </row>
    <row r="11" spans="2:8" x14ac:dyDescent="0.25">
      <c r="B11">
        <f>Tabelle1!G11:G30</f>
        <v>1.5999999999999999</v>
      </c>
      <c r="C11" s="2">
        <f>Tabelle1!L11</f>
        <v>0.89446160264287267</v>
      </c>
      <c r="D11" s="2">
        <f>Tabelle1!L32</f>
        <v>0.84643330187490773</v>
      </c>
      <c r="E11" s="2">
        <f>Tabelle1!L54</f>
        <v>0.80590145565829074</v>
      </c>
      <c r="F11" s="2">
        <f>Tabelle1!L75</f>
        <v>0.7646656608742356</v>
      </c>
      <c r="G11" s="2">
        <f>Tabelle1!L97</f>
        <v>0.25477432454725407</v>
      </c>
      <c r="H11" s="2">
        <f>Tabelle1!L118</f>
        <v>0.24837844106732021</v>
      </c>
    </row>
    <row r="12" spans="2:8" x14ac:dyDescent="0.25">
      <c r="B12">
        <f>Tabelle1!G12:G31</f>
        <v>1.7999999999999998</v>
      </c>
      <c r="C12" s="2">
        <f>Tabelle1!L12</f>
        <v>0.86959995781415567</v>
      </c>
      <c r="D12" s="2">
        <f>Tabelle1!L33</f>
        <v>0.82421739069442024</v>
      </c>
      <c r="E12" s="2">
        <f>Tabelle1!L55</f>
        <v>0.78492311631625122</v>
      </c>
      <c r="F12" s="2">
        <f>Tabelle1!L76</f>
        <v>0.74599989164507463</v>
      </c>
      <c r="G12" s="2">
        <f>Tabelle1!L98</f>
        <v>0.2532674970239423</v>
      </c>
      <c r="H12" s="2">
        <f>Tabelle1!L119</f>
        <v>0.24707025222246981</v>
      </c>
    </row>
    <row r="13" spans="2:8" x14ac:dyDescent="0.25">
      <c r="B13">
        <f>Tabelle1!G13:G32</f>
        <v>1.9999999999999998</v>
      </c>
      <c r="C13" s="2">
        <f>Tabelle1!L13</f>
        <v>0.84731798141518977</v>
      </c>
      <c r="D13" s="2">
        <f>Tabelle1!L34</f>
        <v>0.80364428908259811</v>
      </c>
      <c r="E13" s="2">
        <f>Tabelle1!L56</f>
        <v>0.7678763224450289</v>
      </c>
      <c r="F13" s="2">
        <f>Tabelle1!L77</f>
        <v>0.72948102836019402</v>
      </c>
      <c r="G13" s="2">
        <f>Tabelle1!L99</f>
        <v>0.2522205833489623</v>
      </c>
      <c r="H13" s="2">
        <f>Tabelle1!L120</f>
        <v>0.24637945676807085</v>
      </c>
    </row>
    <row r="14" spans="2:8" x14ac:dyDescent="0.25">
      <c r="B14">
        <f>Tabelle1!G14:G33</f>
        <v>2.1999999999999997</v>
      </c>
      <c r="C14" s="2">
        <f>Tabelle1!L14</f>
        <v>0.82701341314946253</v>
      </c>
      <c r="D14" s="2">
        <f>Tabelle1!L35</f>
        <v>0.78641696177073517</v>
      </c>
      <c r="E14" s="2">
        <f>Tabelle1!L57</f>
        <v>0.7548250531604469</v>
      </c>
      <c r="F14" s="2">
        <f>Tabelle1!L78</f>
        <v>0.71582827564310791</v>
      </c>
      <c r="G14" s="2">
        <f>Tabelle1!L100</f>
        <v>0.25277378577681697</v>
      </c>
      <c r="H14" s="2">
        <f>Tabelle1!L121</f>
        <v>0.24503736647485838</v>
      </c>
    </row>
    <row r="15" spans="2:8" x14ac:dyDescent="0.25">
      <c r="B15">
        <f>Tabelle1!G15:G34</f>
        <v>2.4</v>
      </c>
      <c r="C15" s="2">
        <f>Tabelle1!L15</f>
        <v>0.80853588387140263</v>
      </c>
      <c r="D15" s="2">
        <f>Tabelle1!L36</f>
        <v>0.77047866700247025</v>
      </c>
      <c r="E15" s="2">
        <f>Tabelle1!L58</f>
        <v>0.73809064570601179</v>
      </c>
      <c r="F15" s="2">
        <f>Tabelle1!L79</f>
        <v>0.70348783830078132</v>
      </c>
      <c r="G15" s="2">
        <f>Tabelle1!L101</f>
        <v>0.25080220287336452</v>
      </c>
      <c r="H15" s="2">
        <f>Tabelle1!L122</f>
        <v>0.24357498260847141</v>
      </c>
    </row>
    <row r="16" spans="2:8" x14ac:dyDescent="0.25">
      <c r="B16">
        <f>Tabelle1!G16:G35</f>
        <v>2.6</v>
      </c>
      <c r="C16" s="2">
        <f>Tabelle1!L16</f>
        <v>0.79058146729093581</v>
      </c>
      <c r="D16" s="2">
        <f>Tabelle1!L37</f>
        <v>0.7552603852658023</v>
      </c>
      <c r="E16" s="2">
        <f>Tabelle1!L59</f>
        <v>0.72357324836865466</v>
      </c>
      <c r="F16" s="2">
        <f>Tabelle1!L80</f>
        <v>0.69184990106515176</v>
      </c>
      <c r="G16" s="2">
        <f>Tabelle1!L102</f>
        <v>0.24954751060066627</v>
      </c>
      <c r="H16" s="2">
        <f>Tabelle1!L123</f>
        <v>0.24228732141148981</v>
      </c>
    </row>
    <row r="17" spans="2:8" x14ac:dyDescent="0.25">
      <c r="B17">
        <f>Tabelle1!G17:G36</f>
        <v>2.8000000000000003</v>
      </c>
      <c r="C17" s="2">
        <f>Tabelle1!L17</f>
        <v>0.77337559043865278</v>
      </c>
      <c r="D17" s="2">
        <f>Tabelle1!L38</f>
        <v>0.74107681585148255</v>
      </c>
      <c r="E17" s="2">
        <f>Tabelle1!L60</f>
        <v>0.70955716904372224</v>
      </c>
      <c r="F17" s="2">
        <f>Tabelle1!L81</f>
        <v>0.68113086436212689</v>
      </c>
      <c r="G17" s="2">
        <f>Tabelle1!L103</f>
        <v>0.24857239637027173</v>
      </c>
      <c r="H17" s="2">
        <f>Tabelle1!L124</f>
        <v>0.24137458450027699</v>
      </c>
    </row>
    <row r="18" spans="2:8" x14ac:dyDescent="0.25">
      <c r="B18">
        <f>Tabelle1!G18:G37</f>
        <v>3.0000000000000004</v>
      </c>
      <c r="C18" s="2">
        <f>Tabelle1!L18</f>
        <v>0.75665381266004583</v>
      </c>
      <c r="D18" s="2">
        <f>Tabelle1!L39</f>
        <v>0.72815140836309089</v>
      </c>
      <c r="E18" s="2">
        <f>Tabelle1!L61</f>
        <v>0.6985734015150673</v>
      </c>
      <c r="F18" s="2">
        <f>Tabelle1!L82</f>
        <v>0.67132375363961549</v>
      </c>
      <c r="G18" s="2">
        <f>Tabelle1!L104</f>
        <v>0.24769823509460834</v>
      </c>
      <c r="H18" s="2">
        <f>Tabelle1!L125</f>
        <v>0.24060102715923473</v>
      </c>
    </row>
    <row r="19" spans="2:8" x14ac:dyDescent="0.25">
      <c r="B19">
        <f>Tabelle1!G19:G38</f>
        <v>3.2000000000000006</v>
      </c>
      <c r="C19" s="2">
        <f>Tabelle1!L19</f>
        <v>0.73960122464451006</v>
      </c>
      <c r="D19" s="2">
        <f>Tabelle1!L40</f>
        <v>0.71063871453288396</v>
      </c>
      <c r="E19" s="2">
        <f>Tabelle1!L62</f>
        <v>0.68532519788384705</v>
      </c>
      <c r="F19" s="2">
        <f>Tabelle1!L83</f>
        <v>0.66130235639967716</v>
      </c>
      <c r="G19" s="2">
        <f>Tabelle1!L105</f>
        <v>0.24695803878825501</v>
      </c>
      <c r="H19" s="2">
        <f>Tabelle1!L126</f>
        <v>0.23960133342914761</v>
      </c>
    </row>
    <row r="20" spans="2:8" x14ac:dyDescent="0.25">
      <c r="B20">
        <f>Tabelle1!G20:G39</f>
        <v>3.4000000000000008</v>
      </c>
      <c r="C20" s="2">
        <f>Tabelle1!L20</f>
        <v>0.72234945429800013</v>
      </c>
      <c r="D20" s="2">
        <f>Tabelle1!L41</f>
        <v>0.69110511315633993</v>
      </c>
      <c r="E20" s="2">
        <f>Tabelle1!L63</f>
        <v>0.67135438630070077</v>
      </c>
      <c r="F20" s="2">
        <f>Tabelle1!L84</f>
        <v>0.65104254134625128</v>
      </c>
      <c r="G20" s="2">
        <f>Tabelle1!L106</f>
        <v>0.24591291934628737</v>
      </c>
      <c r="H20" s="2">
        <f>Tabelle1!L127</f>
        <v>0.23901862221348785</v>
      </c>
    </row>
    <row r="21" spans="2:8" x14ac:dyDescent="0.25">
      <c r="B21">
        <f>Tabelle1!G21:G40</f>
        <v>3.600000000000001</v>
      </c>
      <c r="C21" s="2">
        <f>Tabelle1!L21</f>
        <v>0.70635863160916446</v>
      </c>
      <c r="D21" s="2">
        <f>Tabelle1!L42</f>
        <v>0.67565615815712643</v>
      </c>
      <c r="E21" s="2">
        <f>Tabelle1!L64</f>
        <v>0.6576358100524079</v>
      </c>
      <c r="F21" s="2">
        <f>Tabelle1!L85</f>
        <v>0.63636809035358188</v>
      </c>
      <c r="G21" s="2">
        <f>Tabelle1!L107</f>
        <v>0.24469548480482026</v>
      </c>
      <c r="H21" s="2">
        <f>Tabelle1!L128</f>
        <v>0.23794959396920368</v>
      </c>
    </row>
    <row r="22" spans="2:8" x14ac:dyDescent="0.25">
      <c r="B22">
        <f>Tabelle1!G22:G41</f>
        <v>3.8000000000000012</v>
      </c>
      <c r="C22" s="2">
        <f>Tabelle1!L22</f>
        <v>0.69095315288577397</v>
      </c>
      <c r="D22" s="2">
        <f>Tabelle1!L43</f>
        <v>0.66168887255263853</v>
      </c>
      <c r="E22" s="2">
        <f>Tabelle1!L65</f>
        <v>0.64871478302701202</v>
      </c>
      <c r="F22" s="2">
        <f>Tabelle1!L86</f>
        <v>0.62285445900930769</v>
      </c>
      <c r="G22" s="2">
        <f>Tabelle1!L108</f>
        <v>0.24390552255443543</v>
      </c>
      <c r="H22" s="2">
        <f>Tabelle1!L129</f>
        <v>0.23709430842957058</v>
      </c>
    </row>
    <row r="23" spans="2:8" x14ac:dyDescent="0.25">
      <c r="B23">
        <f>Tabelle1!G23:G42</f>
        <v>4.0000000000000009</v>
      </c>
      <c r="C23" s="2">
        <f>Tabelle1!L23</f>
        <v>0.67456671499376708</v>
      </c>
      <c r="D23" s="2">
        <f>Tabelle1!L44</f>
        <v>0.64730488716948553</v>
      </c>
      <c r="E23" s="2">
        <f>Tabelle1!L66</f>
        <v>0.63706923780656233</v>
      </c>
      <c r="F23" s="2">
        <f>Tabelle1!L87</f>
        <v>0.61183600777488834</v>
      </c>
      <c r="G23" s="2">
        <f>Tabelle1!L109</f>
        <v>0.24356468698581565</v>
      </c>
      <c r="H23" s="2">
        <f>Tabelle1!L130</f>
        <v>0.2357110879852839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62"/>
  <sheetViews>
    <sheetView topLeftCell="A22" workbookViewId="0">
      <selection activeCell="F31" sqref="F31"/>
    </sheetView>
  </sheetViews>
  <sheetFormatPr baseColWidth="10" defaultRowHeight="15" x14ac:dyDescent="0.25"/>
  <cols>
    <col min="1" max="1" width="57.28515625" customWidth="1"/>
    <col min="2" max="4" width="15.28515625" customWidth="1"/>
    <col min="5" max="6" width="20.140625" customWidth="1"/>
    <col min="7" max="7" width="18.5703125" customWidth="1"/>
    <col min="9" max="9" width="19" customWidth="1"/>
    <col min="10" max="10" width="16.85546875" customWidth="1"/>
  </cols>
  <sheetData>
    <row r="3" spans="1:8" x14ac:dyDescent="0.25">
      <c r="A3" t="s">
        <v>106</v>
      </c>
      <c r="D3" s="34" t="s">
        <v>120</v>
      </c>
    </row>
    <row r="5" spans="1:8" x14ac:dyDescent="0.25">
      <c r="G5" t="s">
        <v>77</v>
      </c>
    </row>
    <row r="6" spans="1:8" x14ac:dyDescent="0.25">
      <c r="A6" s="20" t="s">
        <v>78</v>
      </c>
      <c r="B6" s="20" t="s">
        <v>125</v>
      </c>
      <c r="C6" s="20" t="s">
        <v>126</v>
      </c>
      <c r="D6" s="20" t="s">
        <v>19</v>
      </c>
      <c r="E6" s="20" t="s">
        <v>82</v>
      </c>
      <c r="F6" s="20" t="s">
        <v>81</v>
      </c>
      <c r="G6" s="20" t="s">
        <v>79</v>
      </c>
      <c r="H6" s="20" t="s">
        <v>116</v>
      </c>
    </row>
    <row r="7" spans="1:8" x14ac:dyDescent="0.25">
      <c r="A7" s="17" t="str">
        <f>Auswertung!B$6</f>
        <v>TP_27Hz-160kV_6p2mA-5ms-1mmFOC_471</v>
      </c>
      <c r="B7" s="18">
        <f>E7/G7*H7</f>
        <v>0.53415974188406579</v>
      </c>
      <c r="C7" s="18">
        <f>F7/G7*H7</f>
        <v>0.56645303240938061</v>
      </c>
      <c r="D7" s="19">
        <f>C7/B7-1</f>
        <v>6.0456241818994672E-2</v>
      </c>
      <c r="E7" s="18">
        <f>Auswertung!N$6</f>
        <v>1.7005354675962112</v>
      </c>
      <c r="F7" s="18">
        <f>Auswertung!I$6</f>
        <v>1.8033434510469848</v>
      </c>
      <c r="G7" s="18">
        <f>-LN(Kalibrierung!J$18)</f>
        <v>1.912371104160735</v>
      </c>
      <c r="H7" s="17">
        <v>0.60070000000000001</v>
      </c>
    </row>
    <row r="8" spans="1:8" x14ac:dyDescent="0.25">
      <c r="A8" s="17" t="str">
        <f>Auswertung!B$7</f>
        <v>TP_27Hz-160kV_6p2mA-5ms-1mmFOC_472</v>
      </c>
      <c r="B8" s="18">
        <f t="shared" ref="B8:B20" si="0">E8/G8*H8</f>
        <v>0.53181060930316415</v>
      </c>
      <c r="C8" s="18">
        <f t="shared" ref="C8:C20" si="1">F8/G8*H8</f>
        <v>0.56583568026490627</v>
      </c>
      <c r="D8" s="19">
        <f t="shared" ref="D8:D20" si="2">C8/B8-1</f>
        <v>6.3979676912285566E-2</v>
      </c>
      <c r="E8" s="18">
        <f>Auswertung!N$7</f>
        <v>1.6930568372190531</v>
      </c>
      <c r="F8" s="18">
        <f>Auswertung!I$7</f>
        <v>1.801378066658464</v>
      </c>
      <c r="G8" s="18">
        <f>-LN(Kalibrierung!J$18)</f>
        <v>1.912371104160735</v>
      </c>
      <c r="H8" s="17">
        <v>0.60070000000000001</v>
      </c>
    </row>
    <row r="9" spans="1:8" x14ac:dyDescent="0.25">
      <c r="A9" s="17" t="str">
        <f>Auswertung!B$8</f>
        <v>TP_27Hz-160kV_6p2mA-5ms-1mmFOC_473</v>
      </c>
      <c r="B9" s="18">
        <f t="shared" si="0"/>
        <v>0.52981742088157491</v>
      </c>
      <c r="C9" s="18">
        <f t="shared" si="1"/>
        <v>0.5645773120004649</v>
      </c>
      <c r="D9" s="19">
        <f t="shared" si="2"/>
        <v>6.5607301211523472E-2</v>
      </c>
      <c r="E9" s="18">
        <f>Auswertung!N$8</f>
        <v>1.6867113803477447</v>
      </c>
      <c r="F9" s="18">
        <f>Auswertung!I$8</f>
        <v>1.7973719619351238</v>
      </c>
      <c r="G9" s="18">
        <f>-LN(Kalibrierung!J$18)</f>
        <v>1.912371104160735</v>
      </c>
      <c r="H9" s="17">
        <v>0.60070000000000001</v>
      </c>
    </row>
    <row r="10" spans="1:8" x14ac:dyDescent="0.25">
      <c r="A10" s="17" t="str">
        <f>Auswertung!B$9</f>
        <v>TP_27Hz-160kV_6p2mA-5ms-1mmFOC_474</v>
      </c>
      <c r="B10" s="18">
        <f t="shared" si="0"/>
        <v>0.52669388072538659</v>
      </c>
      <c r="C10" s="18">
        <f t="shared" si="1"/>
        <v>0.56635874210846782</v>
      </c>
      <c r="D10" s="19">
        <f t="shared" si="2"/>
        <v>7.5309136549019717E-2</v>
      </c>
      <c r="E10" s="18">
        <f>Auswertung!N$9</f>
        <v>1.676767368465973</v>
      </c>
      <c r="F10" s="18">
        <f>Auswertung!I$9</f>
        <v>1.8030432711787172</v>
      </c>
      <c r="G10" s="18">
        <f>-LN(Kalibrierung!J$18)</f>
        <v>1.912371104160735</v>
      </c>
      <c r="H10" s="17">
        <v>0.60070000000000001</v>
      </c>
    </row>
    <row r="11" spans="1:8" x14ac:dyDescent="0.25">
      <c r="A11" s="17" t="str">
        <f>Auswertung!B$10</f>
        <v>TP_27Hz-160kV_6p2mA-5ms-1mmFOC_550</v>
      </c>
      <c r="B11" s="18">
        <f t="shared" si="0"/>
        <v>0.52128236512120918</v>
      </c>
      <c r="C11" s="18">
        <f t="shared" si="1"/>
        <v>0.56745061851428147</v>
      </c>
      <c r="D11" s="19">
        <f t="shared" si="2"/>
        <v>8.8566689537516119E-2</v>
      </c>
      <c r="E11" s="18">
        <f>Auswertung!N$10</f>
        <v>1.6595394242822807</v>
      </c>
      <c r="F11" s="18">
        <f>Auswertung!I$10</f>
        <v>1.8065193372479582</v>
      </c>
      <c r="G11" s="18">
        <f>-LN(Kalibrierung!J$18)</f>
        <v>1.912371104160735</v>
      </c>
      <c r="H11" s="17">
        <v>0.60070000000000001</v>
      </c>
    </row>
    <row r="12" spans="1:8" x14ac:dyDescent="0.25">
      <c r="A12" s="17" t="str">
        <f>Auswertung!B$11</f>
        <v>TP_27Hz-160kV_6p2mA-5ms-1mmFOC_551</v>
      </c>
      <c r="B12" s="18">
        <f t="shared" si="0"/>
        <v>0.52458950950567984</v>
      </c>
      <c r="C12" s="18">
        <f t="shared" si="1"/>
        <v>0.5645759324391999</v>
      </c>
      <c r="D12" s="19">
        <f t="shared" si="2"/>
        <v>7.6224213807094987E-2</v>
      </c>
      <c r="E12" s="18">
        <f>Auswertung!N$11</f>
        <v>1.6700679532620533</v>
      </c>
      <c r="F12" s="18">
        <f>Auswertung!I$11</f>
        <v>1.7973675700038776</v>
      </c>
      <c r="G12" s="18">
        <f>-LN(Kalibrierung!J$18)</f>
        <v>1.912371104160735</v>
      </c>
      <c r="H12" s="17">
        <v>0.60070000000000001</v>
      </c>
    </row>
    <row r="13" spans="1:8" x14ac:dyDescent="0.25">
      <c r="A13" s="17" t="str">
        <f>Auswertung!B$12</f>
        <v>TP_27Hz-160kV_6p2mA-5ms-1mmFOC_552</v>
      </c>
      <c r="B13" s="18">
        <f t="shared" si="0"/>
        <v>0.52292039785780386</v>
      </c>
      <c r="C13" s="18">
        <f t="shared" si="1"/>
        <v>0.56598530631112831</v>
      </c>
      <c r="D13" s="19">
        <f t="shared" si="2"/>
        <v>8.2354615788070573E-2</v>
      </c>
      <c r="E13" s="18">
        <f>Auswertung!N$12</f>
        <v>1.6647542178117183</v>
      </c>
      <c r="F13" s="18">
        <f>Auswertung!I$12</f>
        <v>1.8018544118011726</v>
      </c>
      <c r="G13" s="18">
        <f>-LN(Kalibrierung!J$18)</f>
        <v>1.912371104160735</v>
      </c>
      <c r="H13" s="17">
        <v>0.60070000000000001</v>
      </c>
    </row>
    <row r="14" spans="1:8" x14ac:dyDescent="0.25">
      <c r="A14" s="17" t="str">
        <f>Auswertung!B$13</f>
        <v>TP_27Hz-160kV_6p2mA-5ms-1mmFOC_553</v>
      </c>
      <c r="B14" s="18">
        <f t="shared" si="0"/>
        <v>0.5249786658306923</v>
      </c>
      <c r="C14" s="18">
        <f t="shared" si="1"/>
        <v>0.56411056898833578</v>
      </c>
      <c r="D14" s="19">
        <f t="shared" si="2"/>
        <v>7.453998744067758E-2</v>
      </c>
      <c r="E14" s="18">
        <f>Auswertung!N$13</f>
        <v>1.671306860055719</v>
      </c>
      <c r="F14" s="18">
        <f>Auswertung!I$13</f>
        <v>1.7958860524137907</v>
      </c>
      <c r="G14" s="18">
        <f>-LN(Kalibrierung!J$18)</f>
        <v>1.912371104160735</v>
      </c>
      <c r="H14" s="17">
        <v>0.60070000000000001</v>
      </c>
    </row>
    <row r="15" spans="1:8" x14ac:dyDescent="0.25">
      <c r="A15" s="17"/>
      <c r="B15" s="18">
        <f>SUM(B7:B14)/8</f>
        <v>0.52703157388869704</v>
      </c>
      <c r="C15" s="18">
        <f>SUM(C7:C14)/8</f>
        <v>0.5656683991295206</v>
      </c>
      <c r="D15" s="19"/>
      <c r="E15" s="17"/>
      <c r="F15" s="17"/>
      <c r="G15" s="17"/>
      <c r="H15" s="17"/>
    </row>
    <row r="16" spans="1:8" x14ac:dyDescent="0.25">
      <c r="A16" s="20" t="s">
        <v>78</v>
      </c>
      <c r="B16" s="20" t="s">
        <v>125</v>
      </c>
      <c r="C16" s="20" t="s">
        <v>126</v>
      </c>
      <c r="D16" s="20" t="s">
        <v>19</v>
      </c>
      <c r="E16" s="20" t="s">
        <v>82</v>
      </c>
      <c r="F16" s="20" t="s">
        <v>81</v>
      </c>
      <c r="G16" s="20" t="s">
        <v>79</v>
      </c>
      <c r="H16" s="20" t="s">
        <v>116</v>
      </c>
    </row>
    <row r="17" spans="1:12" x14ac:dyDescent="0.25">
      <c r="A17" s="17" t="str">
        <f>Auswertung!B$43</f>
        <v>TP-18Hz-160kV-6p2mA-5ms-1mmFOC-28msPhaseShift_1093.</v>
      </c>
      <c r="B17" s="18">
        <f t="shared" si="0"/>
        <v>0.53618404861359037</v>
      </c>
      <c r="C17" s="18">
        <f t="shared" si="1"/>
        <v>0.57198190958333162</v>
      </c>
      <c r="D17" s="19">
        <f t="shared" si="2"/>
        <v>6.6764128963373137E-2</v>
      </c>
      <c r="E17" s="18">
        <f>Auswertung!N$43</f>
        <v>1.7069799918104627</v>
      </c>
      <c r="F17" s="18">
        <f>Auswertung!H$43</f>
        <v>1.8209450241215941</v>
      </c>
      <c r="G17" s="18">
        <f>-LN(Kalibrierung!$J$18)</f>
        <v>1.912371104160735</v>
      </c>
      <c r="H17" s="17">
        <v>0.60070000000000001</v>
      </c>
    </row>
    <row r="18" spans="1:12" x14ac:dyDescent="0.25">
      <c r="A18" s="17" t="str">
        <f>Auswertung!B$44</f>
        <v>TP-18Hz-160kV-6p2mA-5ms-1mmFOC-28msPhaseShift_1100.</v>
      </c>
      <c r="B18" s="18">
        <f t="shared" si="0"/>
        <v>0.53895999710237008</v>
      </c>
      <c r="C18" s="18">
        <f t="shared" si="1"/>
        <v>0.56866837798469583</v>
      </c>
      <c r="D18" s="19">
        <f t="shared" si="2"/>
        <v>5.5121680722220567E-2</v>
      </c>
      <c r="E18" s="18">
        <f>Auswertung!N$44</f>
        <v>1.7158174209374495</v>
      </c>
      <c r="F18" s="18">
        <f>Auswertung!H$44</f>
        <v>1.8103961609919874</v>
      </c>
      <c r="G18" s="18">
        <f>-LN(Kalibrierung!$J$18)</f>
        <v>1.912371104160735</v>
      </c>
      <c r="H18" s="17">
        <v>0.60070000000000001</v>
      </c>
    </row>
    <row r="19" spans="1:12" x14ac:dyDescent="0.25">
      <c r="A19" s="17" t="str">
        <f>Auswertung!B$45</f>
        <v>TP-25Hz-160kV-6p2mA-5ms-1mmFOC-20msPhaseShift_250.</v>
      </c>
      <c r="B19" s="18">
        <f t="shared" si="0"/>
        <v>0.53092909558286083</v>
      </c>
      <c r="C19" s="18">
        <f t="shared" si="1"/>
        <v>0.56140186532478498</v>
      </c>
      <c r="D19" s="19">
        <f t="shared" si="2"/>
        <v>5.7395177614951942E-2</v>
      </c>
      <c r="E19" s="18">
        <f>Auswertung!N$45</f>
        <v>1.6902504756964474</v>
      </c>
      <c r="F19" s="18">
        <f>Auswertung!H$45</f>
        <v>1.7872627019628022</v>
      </c>
      <c r="G19" s="18">
        <f>-LN(Kalibrierung!$J$18)</f>
        <v>1.912371104160735</v>
      </c>
      <c r="H19" s="17">
        <v>0.60070000000000001</v>
      </c>
    </row>
    <row r="20" spans="1:12" x14ac:dyDescent="0.25">
      <c r="A20" s="17" t="str">
        <f>Auswertung!B$46</f>
        <v>TP-25Hz-160kV-6p2mA-5ms-1mmFOC-20msPhaseShift_400.</v>
      </c>
      <c r="B20" s="18">
        <f t="shared" si="0"/>
        <v>0.51636984537547037</v>
      </c>
      <c r="C20" s="18">
        <f t="shared" si="1"/>
        <v>0.56621774244042233</v>
      </c>
      <c r="D20" s="19">
        <f t="shared" si="2"/>
        <v>9.653525958454412E-2</v>
      </c>
      <c r="E20" s="18">
        <f>Auswertung!N$46</f>
        <v>1.6439000688463399</v>
      </c>
      <c r="F20" s="18">
        <f>Auswertung!H$46</f>
        <v>1.802594388723471</v>
      </c>
      <c r="G20" s="18">
        <f>-LN(Kalibrierung!$J$18)</f>
        <v>1.912371104160735</v>
      </c>
      <c r="H20" s="17">
        <v>0.60070000000000001</v>
      </c>
    </row>
    <row r="23" spans="1:12" x14ac:dyDescent="0.25">
      <c r="A23" t="s">
        <v>121</v>
      </c>
      <c r="D23">
        <v>5</v>
      </c>
      <c r="E23" t="s">
        <v>122</v>
      </c>
      <c r="F23" t="s">
        <v>130</v>
      </c>
      <c r="G23">
        <v>0.60070000000000001</v>
      </c>
      <c r="I23" t="s">
        <v>128</v>
      </c>
      <c r="J23" s="25" t="s">
        <v>131</v>
      </c>
    </row>
    <row r="25" spans="1:12" x14ac:dyDescent="0.25">
      <c r="A25" s="20" t="s">
        <v>78</v>
      </c>
      <c r="B25" s="20" t="s">
        <v>125</v>
      </c>
      <c r="C25" s="20" t="s">
        <v>126</v>
      </c>
      <c r="D25" s="20" t="s">
        <v>19</v>
      </c>
      <c r="E25" s="20" t="s">
        <v>82</v>
      </c>
      <c r="F25" s="20" t="s">
        <v>81</v>
      </c>
      <c r="G25" s="20" t="s">
        <v>124</v>
      </c>
      <c r="H25" s="20" t="s">
        <v>116</v>
      </c>
      <c r="I25" s="35" t="s">
        <v>123</v>
      </c>
    </row>
    <row r="26" spans="1:12" x14ac:dyDescent="0.25">
      <c r="A26" s="41" t="s">
        <v>144</v>
      </c>
      <c r="B26" s="42">
        <f>E26/($D$23*G26)</f>
        <v>0.60070002443115456</v>
      </c>
      <c r="C26" s="42">
        <f>F26/($D$23*G26)</f>
        <v>0.60070002443115456</v>
      </c>
      <c r="D26" s="44">
        <f>C26/B26-1</f>
        <v>0</v>
      </c>
      <c r="E26" s="42">
        <f>Kalibrierung!L18</f>
        <v>1.912371104160735</v>
      </c>
      <c r="F26" s="42">
        <f>Kalibrierung!L18</f>
        <v>1.912371104160735</v>
      </c>
      <c r="G26" s="42">
        <f>Kalibrierung!N8</f>
        <v>0.63671417558928678</v>
      </c>
      <c r="H26" s="41">
        <v>0.60070000000000001</v>
      </c>
      <c r="I26" s="41">
        <f>D$23*H26</f>
        <v>3.0034999999999998</v>
      </c>
    </row>
    <row r="27" spans="1:12" x14ac:dyDescent="0.25">
      <c r="A27" s="41" t="s">
        <v>145</v>
      </c>
      <c r="B27" s="42">
        <f>E27/($D$23*G27)</f>
        <v>0.64139294742736219</v>
      </c>
      <c r="C27" s="42">
        <f>F27/($D$23*G27)</f>
        <v>0.64139294742736219</v>
      </c>
      <c r="D27" s="44">
        <f>C27/B27-1</f>
        <v>0</v>
      </c>
      <c r="E27" s="42">
        <f>Kalibrierung!L18</f>
        <v>1.912371104160735</v>
      </c>
      <c r="F27" s="42">
        <f>Kalibrierung!L18</f>
        <v>1.912371104160735</v>
      </c>
      <c r="G27" s="42">
        <f>Kalibrierung!E$28*EXP(Kalibrierung!E$29*D$23*Packungsdichten!H27)</f>
        <v>0.5963180954300441</v>
      </c>
      <c r="H27" s="41">
        <v>0.60070000000000001</v>
      </c>
      <c r="I27" s="41">
        <f>D$23*H27</f>
        <v>3.0034999999999998</v>
      </c>
    </row>
    <row r="28" spans="1:12" x14ac:dyDescent="0.25">
      <c r="A28" s="17" t="str">
        <f>Auswertung!B$6</f>
        <v>TP_27Hz-160kV_6p2mA-5ms-1mmFOC_471</v>
      </c>
      <c r="B28" s="18">
        <f>E28/($D$23*G28)</f>
        <v>0.57034508281015472</v>
      </c>
      <c r="C28" s="18">
        <f>F28/($D$23*G28)</f>
        <v>0.6048260030567999</v>
      </c>
      <c r="D28" s="19">
        <f>C28/B28-1</f>
        <v>6.0456241818994449E-2</v>
      </c>
      <c r="E28" s="18">
        <f>Auswertung!N$6</f>
        <v>1.7005354675962112</v>
      </c>
      <c r="F28" s="18">
        <f>Auswertung!I$6</f>
        <v>1.8033434510469848</v>
      </c>
      <c r="G28" s="18">
        <f>Kalibrierung!E$28*EXP(Kalibrierung!E$29*D$23*Packungsdichten!H28)</f>
        <v>0.5963180954300441</v>
      </c>
      <c r="H28" s="17">
        <v>0.60070000000000001</v>
      </c>
      <c r="I28" s="17">
        <f>D$23*H28</f>
        <v>3.0034999999999998</v>
      </c>
    </row>
    <row r="29" spans="1:12" x14ac:dyDescent="0.25">
      <c r="A29" s="17" t="str">
        <f>Auswertung!B$7</f>
        <v>TP_27Hz-160kV_6p2mA-5ms-1mmFOC_472</v>
      </c>
      <c r="B29" s="18">
        <f t="shared" ref="B29:B35" si="3">E29/($D$23*G29)</f>
        <v>0.56783681400715458</v>
      </c>
      <c r="C29" s="18">
        <f t="shared" ref="C29:C35" si="4">F29/($D$23*G29)</f>
        <v>0.60416682990623394</v>
      </c>
      <c r="D29" s="19">
        <f t="shared" ref="D29:D35" si="5">C29/B29-1</f>
        <v>6.3979676912285566E-2</v>
      </c>
      <c r="E29" s="18">
        <f>Auswertung!N$7</f>
        <v>1.6930568372190531</v>
      </c>
      <c r="F29" s="18">
        <f>Auswertung!I$7</f>
        <v>1.801378066658464</v>
      </c>
      <c r="G29" s="18">
        <f>Kalibrierung!E$28*EXP(Kalibrierung!E$29*D$23*Packungsdichten!H29)</f>
        <v>0.5963180954300441</v>
      </c>
      <c r="H29" s="17">
        <v>0.60070000000000001</v>
      </c>
      <c r="I29" s="17">
        <f t="shared" ref="I29:I35" si="6">D$23*H29</f>
        <v>3.0034999999999998</v>
      </c>
    </row>
    <row r="30" spans="1:12" x14ac:dyDescent="0.25">
      <c r="A30" s="17" t="str">
        <f>Auswertung!B$8</f>
        <v>TP_27Hz-160kV_6p2mA-5ms-1mmFOC_473</v>
      </c>
      <c r="B30" s="18">
        <f t="shared" si="3"/>
        <v>0.56570860192707939</v>
      </c>
      <c r="C30" s="18">
        <f t="shared" si="4"/>
        <v>0.60282321657165916</v>
      </c>
      <c r="D30" s="19">
        <f t="shared" si="5"/>
        <v>6.5607301211523472E-2</v>
      </c>
      <c r="E30" s="18">
        <f>Auswertung!N$8</f>
        <v>1.6867113803477447</v>
      </c>
      <c r="F30" s="18">
        <f>Auswertung!I$8</f>
        <v>1.7973719619351238</v>
      </c>
      <c r="G30" s="18">
        <f>Kalibrierung!E$28*EXP(Kalibrierung!E$29*D$23*Packungsdichten!H30)</f>
        <v>0.5963180954300441</v>
      </c>
      <c r="H30" s="17">
        <v>0.60070000000000001</v>
      </c>
      <c r="I30" s="17">
        <f t="shared" si="6"/>
        <v>3.0034999999999998</v>
      </c>
    </row>
    <row r="31" spans="1:12" x14ac:dyDescent="0.25">
      <c r="A31" s="17" t="str">
        <f>Auswertung!B$9</f>
        <v>TP_27Hz-160kV_6p2mA-5ms-1mmFOC_474</v>
      </c>
      <c r="B31" s="18">
        <f t="shared" si="3"/>
        <v>0.56237346520794274</v>
      </c>
      <c r="C31" s="18">
        <f t="shared" si="4"/>
        <v>0.60472532529083312</v>
      </c>
      <c r="D31" s="19">
        <f t="shared" si="5"/>
        <v>7.5309136549019717E-2</v>
      </c>
      <c r="E31" s="18">
        <f>Auswertung!N$9</f>
        <v>1.676767368465973</v>
      </c>
      <c r="F31" s="18">
        <f>Auswertung!I$9</f>
        <v>1.8030432711787172</v>
      </c>
      <c r="G31" s="18">
        <f>Kalibrierung!E$28*EXP(Kalibrierung!E$29*D$23*Packungsdichten!H31)</f>
        <v>0.5963180954300441</v>
      </c>
      <c r="H31" s="17">
        <v>0.60070000000000001</v>
      </c>
      <c r="I31" s="17">
        <f t="shared" si="6"/>
        <v>3.0034999999999998</v>
      </c>
    </row>
    <row r="32" spans="1:12" x14ac:dyDescent="0.25">
      <c r="A32" s="17" t="str">
        <f>Auswertung!B$10</f>
        <v>TP_27Hz-160kV_6p2mA-5ms-1mmFOC_550</v>
      </c>
      <c r="B32" s="18">
        <f t="shared" si="3"/>
        <v>0.55659535975861274</v>
      </c>
      <c r="C32" s="18">
        <f t="shared" si="4"/>
        <v>0.60589116818437605</v>
      </c>
      <c r="D32" s="19">
        <f t="shared" si="5"/>
        <v>8.8566689537516341E-2</v>
      </c>
      <c r="E32" s="18">
        <f>Auswertung!N$10</f>
        <v>1.6595394242822807</v>
      </c>
      <c r="F32" s="18">
        <f>Auswertung!I$10</f>
        <v>1.8065193372479582</v>
      </c>
      <c r="G32" s="18">
        <f>Kalibrierung!E$28*EXP(Kalibrierung!E$29*D$23*Packungsdichten!H32)</f>
        <v>0.5963180954300441</v>
      </c>
      <c r="H32" s="17">
        <v>0.60070000000000001</v>
      </c>
      <c r="I32" s="17">
        <f t="shared" si="6"/>
        <v>3.0034999999999998</v>
      </c>
      <c r="L32" s="43"/>
    </row>
    <row r="33" spans="1:9" x14ac:dyDescent="0.25">
      <c r="A33" s="17" t="str">
        <f>Auswertung!B$11</f>
        <v>TP_27Hz-160kV_6p2mA-5ms-1mmFOC_551</v>
      </c>
      <c r="B33" s="18">
        <f t="shared" si="3"/>
        <v>0.5601265385239258</v>
      </c>
      <c r="C33" s="18">
        <f t="shared" si="4"/>
        <v>0.60282174355540152</v>
      </c>
      <c r="D33" s="19">
        <f t="shared" si="5"/>
        <v>7.6224213807094987E-2</v>
      </c>
      <c r="E33" s="18">
        <f>Auswertung!N$11</f>
        <v>1.6700679532620533</v>
      </c>
      <c r="F33" s="18">
        <f>Auswertung!I$11</f>
        <v>1.7973675700038776</v>
      </c>
      <c r="G33" s="18">
        <f>Kalibrierung!E$28*EXP(Kalibrierung!E$29*D$23*Packungsdichten!H33)</f>
        <v>0.5963180954300441</v>
      </c>
      <c r="H33" s="17">
        <v>0.60070000000000001</v>
      </c>
      <c r="I33" s="17">
        <f t="shared" si="6"/>
        <v>3.0034999999999998</v>
      </c>
    </row>
    <row r="34" spans="1:9" x14ac:dyDescent="0.25">
      <c r="A34" s="17" t="str">
        <f>Auswertung!B$12</f>
        <v>TP_27Hz-160kV_6p2mA-5ms-1mmFOC_552</v>
      </c>
      <c r="B34" s="18">
        <f t="shared" si="3"/>
        <v>0.55834435700333895</v>
      </c>
      <c r="C34" s="18">
        <f t="shared" si="4"/>
        <v>0.60432659200178629</v>
      </c>
      <c r="D34" s="19">
        <f t="shared" si="5"/>
        <v>8.2354615788070573E-2</v>
      </c>
      <c r="E34" s="18">
        <f>Auswertung!N$12</f>
        <v>1.6647542178117183</v>
      </c>
      <c r="F34" s="18">
        <f>Auswertung!I$12</f>
        <v>1.8018544118011726</v>
      </c>
      <c r="G34" s="18">
        <f>Kalibrierung!E$28*EXP(Kalibrierung!E$29*D$23*Packungsdichten!H34)</f>
        <v>0.5963180954300441</v>
      </c>
      <c r="H34" s="17">
        <v>0.60070000000000001</v>
      </c>
      <c r="I34" s="17">
        <f t="shared" si="6"/>
        <v>3.0034999999999998</v>
      </c>
    </row>
    <row r="35" spans="1:9" x14ac:dyDescent="0.25">
      <c r="A35" s="17" t="str">
        <f>Auswertung!B$13</f>
        <v>TP_27Hz-160kV_6p2mA-5ms-1mmFOC_553</v>
      </c>
      <c r="B35" s="18">
        <f t="shared" si="3"/>
        <v>0.5605420572892158</v>
      </c>
      <c r="C35" s="18">
        <f t="shared" si="4"/>
        <v>0.6023248551995255</v>
      </c>
      <c r="D35" s="19">
        <f t="shared" si="5"/>
        <v>7.453998744067758E-2</v>
      </c>
      <c r="E35" s="18">
        <f>Auswertung!N$13</f>
        <v>1.671306860055719</v>
      </c>
      <c r="F35" s="18">
        <f>Auswertung!I$13</f>
        <v>1.7958860524137907</v>
      </c>
      <c r="G35" s="18">
        <f>Kalibrierung!E$28*EXP(Kalibrierung!E$29*D$23*Packungsdichten!H35)</f>
        <v>0.5963180954300441</v>
      </c>
      <c r="H35" s="17">
        <v>0.60070000000000001</v>
      </c>
      <c r="I35" s="17">
        <f t="shared" si="6"/>
        <v>3.0034999999999998</v>
      </c>
    </row>
    <row r="36" spans="1:9" x14ac:dyDescent="0.25">
      <c r="A36" s="17"/>
      <c r="B36" s="18"/>
      <c r="C36" s="18"/>
      <c r="D36" s="19"/>
      <c r="E36" s="17"/>
      <c r="F36" s="17"/>
      <c r="G36" s="17"/>
      <c r="H36" s="17"/>
      <c r="I36" s="17"/>
    </row>
    <row r="37" spans="1:9" x14ac:dyDescent="0.25">
      <c r="A37" s="20" t="s">
        <v>78</v>
      </c>
      <c r="B37" s="20" t="s">
        <v>125</v>
      </c>
      <c r="C37" s="20" t="s">
        <v>126</v>
      </c>
      <c r="D37" s="20" t="s">
        <v>19</v>
      </c>
      <c r="E37" s="20" t="s">
        <v>82</v>
      </c>
      <c r="F37" s="20" t="s">
        <v>81</v>
      </c>
      <c r="G37" s="20" t="s">
        <v>124</v>
      </c>
      <c r="H37" s="20" t="s">
        <v>116</v>
      </c>
      <c r="I37" s="17"/>
    </row>
    <row r="38" spans="1:9" x14ac:dyDescent="0.25">
      <c r="A38" s="17" t="str">
        <f>Auswertung!B$43</f>
        <v>TP-18Hz-160kV-6p2mA-5ms-1mmFOC-28msPhaseShift_1093.</v>
      </c>
      <c r="B38" s="18">
        <f t="shared" ref="B38" si="7">E38/($D$23*G38)</f>
        <v>0.57250652123157442</v>
      </c>
      <c r="C38" s="18">
        <f t="shared" ref="C38" si="8">F38/($D$23*G38)</f>
        <v>0.61072942044745138</v>
      </c>
      <c r="D38" s="19">
        <f t="shared" ref="D38:D41" si="9">C38/B38-1</f>
        <v>6.6764128963373137E-2</v>
      </c>
      <c r="E38" s="18">
        <f>Auswertung!N$43</f>
        <v>1.7069799918104627</v>
      </c>
      <c r="F38" s="18">
        <f>Auswertung!H$43</f>
        <v>1.8209450241215941</v>
      </c>
      <c r="G38" s="18">
        <f>Kalibrierung!E$28*EXP(Kalibrierung!E$29*D$23*Packungsdichten!H38)</f>
        <v>0.5963180954300441</v>
      </c>
      <c r="H38" s="17">
        <v>0.60070000000000001</v>
      </c>
      <c r="I38" s="17">
        <f t="shared" ref="I38:I41" si="10">D$23*H38</f>
        <v>3.0034999999999998</v>
      </c>
    </row>
    <row r="39" spans="1:9" x14ac:dyDescent="0.25">
      <c r="A39" s="17" t="str">
        <f>Auswertung!B$44</f>
        <v>TP-18Hz-160kV-6p2mA-5ms-1mmFOC-28msPhaseShift_1100.</v>
      </c>
      <c r="B39" s="18">
        <f t="shared" ref="B39:B41" si="11">E39/($D$23*G39)</f>
        <v>0.57547051953875761</v>
      </c>
      <c r="C39" s="18">
        <f t="shared" ref="C39:C41" si="12">F39/($D$23*G39)</f>
        <v>0.60719142178182339</v>
      </c>
      <c r="D39" s="19">
        <f t="shared" si="9"/>
        <v>5.5121680722220567E-2</v>
      </c>
      <c r="E39" s="18">
        <f>Auswertung!N$44</f>
        <v>1.7158174209374495</v>
      </c>
      <c r="F39" s="18">
        <f>Auswertung!H$44</f>
        <v>1.8103961609919874</v>
      </c>
      <c r="G39" s="18">
        <f>Kalibrierung!E$28*EXP(Kalibrierung!E$29*D$23*Packungsdichten!H39)</f>
        <v>0.5963180954300441</v>
      </c>
      <c r="H39" s="17">
        <v>0.60070000000000001</v>
      </c>
      <c r="I39" s="17">
        <f t="shared" si="10"/>
        <v>3.0034999999999998</v>
      </c>
    </row>
    <row r="40" spans="1:9" x14ac:dyDescent="0.25">
      <c r="A40" s="17" t="str">
        <f>Auswertung!B$45</f>
        <v>TP-25Hz-160kV-6p2mA-5ms-1mmFOC-20msPhaseShift_250.</v>
      </c>
      <c r="B40" s="18">
        <f t="shared" si="11"/>
        <v>0.56689558430303777</v>
      </c>
      <c r="C40" s="18">
        <f t="shared" si="12"/>
        <v>0.59943265705324267</v>
      </c>
      <c r="D40" s="19">
        <f t="shared" si="9"/>
        <v>5.7395177614952164E-2</v>
      </c>
      <c r="E40" s="18">
        <f>Auswertung!N$45</f>
        <v>1.6902504756964474</v>
      </c>
      <c r="F40" s="18">
        <f>Auswertung!H$45</f>
        <v>1.7872627019628022</v>
      </c>
      <c r="G40" s="18">
        <f>Kalibrierung!E$28*EXP(Kalibrierung!E$29*D$23*Packungsdichten!H40)</f>
        <v>0.5963180954300441</v>
      </c>
      <c r="H40" s="17">
        <v>0.60070000000000001</v>
      </c>
      <c r="I40" s="17">
        <f t="shared" si="10"/>
        <v>3.0034999999999998</v>
      </c>
    </row>
    <row r="41" spans="1:9" x14ac:dyDescent="0.25">
      <c r="A41" s="17" t="str">
        <f>Auswertung!B$46</f>
        <v>TP-25Hz-160kV-6p2mA-5ms-1mmFOC-20msPhaseShift_400.</v>
      </c>
      <c r="B41" s="18">
        <f t="shared" si="11"/>
        <v>0.55135005341765309</v>
      </c>
      <c r="C41" s="18">
        <f t="shared" si="12"/>
        <v>0.60457477394627845</v>
      </c>
      <c r="D41" s="19">
        <f t="shared" si="9"/>
        <v>9.653525958454412E-2</v>
      </c>
      <c r="E41" s="18">
        <f>Auswertung!N$46</f>
        <v>1.6439000688463399</v>
      </c>
      <c r="F41" s="18">
        <f>Auswertung!H$46</f>
        <v>1.802594388723471</v>
      </c>
      <c r="G41" s="18">
        <f>Kalibrierung!E$28*EXP(Kalibrierung!E$29*D$23*Packungsdichten!H41)</f>
        <v>0.5963180954300441</v>
      </c>
      <c r="H41" s="17">
        <v>0.60070000000000001</v>
      </c>
      <c r="I41" s="17">
        <f t="shared" si="10"/>
        <v>3.0034999999999998</v>
      </c>
    </row>
    <row r="44" spans="1:9" x14ac:dyDescent="0.25">
      <c r="A44" t="s">
        <v>146</v>
      </c>
      <c r="D44">
        <v>5</v>
      </c>
      <c r="E44" t="s">
        <v>104</v>
      </c>
    </row>
    <row r="46" spans="1:9" x14ac:dyDescent="0.25">
      <c r="A46" s="20" t="s">
        <v>78</v>
      </c>
      <c r="B46" s="20" t="s">
        <v>125</v>
      </c>
      <c r="C46" s="20" t="s">
        <v>126</v>
      </c>
      <c r="D46" s="20" t="s">
        <v>19</v>
      </c>
      <c r="E46" s="20" t="s">
        <v>82</v>
      </c>
      <c r="F46" s="20" t="s">
        <v>81</v>
      </c>
      <c r="G46" s="20" t="s">
        <v>124</v>
      </c>
      <c r="H46" s="20" t="s">
        <v>116</v>
      </c>
      <c r="I46" s="35" t="s">
        <v>123</v>
      </c>
    </row>
    <row r="47" spans="1:9" x14ac:dyDescent="0.25">
      <c r="A47" s="17" t="str">
        <f>Auswertung!B$6</f>
        <v>TP_27Hz-160kV_6p2mA-5ms-1mmFOC_471</v>
      </c>
      <c r="B47" s="18">
        <f>E47/($D$23*G47)</f>
        <v>0.53415976360895212</v>
      </c>
      <c r="C47" s="18">
        <f>F47/($D$44*G47)</f>
        <v>0.56645305544767188</v>
      </c>
      <c r="D47" s="19">
        <f>C47/B47-1</f>
        <v>6.0456241818994449E-2</v>
      </c>
      <c r="E47" s="18">
        <f>Auswertung!N$6</f>
        <v>1.7005354675962112</v>
      </c>
      <c r="F47" s="18">
        <f>Auswertung!I$6</f>
        <v>1.8033434510469848</v>
      </c>
      <c r="G47" s="18">
        <f>Kalibrierung!N$8</f>
        <v>0.63671417558928678</v>
      </c>
      <c r="H47" s="17">
        <v>0.60070000000000001</v>
      </c>
      <c r="I47" s="17">
        <f>D$23*H47</f>
        <v>3.0034999999999998</v>
      </c>
    </row>
    <row r="48" spans="1:9" x14ac:dyDescent="0.25">
      <c r="A48" s="17" t="str">
        <f>Auswertung!B$7</f>
        <v>TP_27Hz-160kV_6p2mA-5ms-1mmFOC_472</v>
      </c>
      <c r="B48" s="18">
        <f t="shared" ref="B48:B54" si="13">E48/($D$23*G48)</f>
        <v>0.53181063093250858</v>
      </c>
      <c r="C48" s="18">
        <f t="shared" ref="C48:C54" si="14">F48/($D$44*G48)</f>
        <v>0.56583570327808907</v>
      </c>
      <c r="D48" s="19">
        <f t="shared" ref="D48:D54" si="15">C48/B48-1</f>
        <v>6.3979676912285344E-2</v>
      </c>
      <c r="E48" s="18">
        <f>Auswertung!N$7</f>
        <v>1.6930568372190531</v>
      </c>
      <c r="F48" s="18">
        <f>Auswertung!I$7</f>
        <v>1.801378066658464</v>
      </c>
      <c r="G48" s="18">
        <f>Kalibrierung!N$8</f>
        <v>0.63671417558928678</v>
      </c>
      <c r="H48" s="17">
        <v>0.60070000000000001</v>
      </c>
      <c r="I48" s="17">
        <f t="shared" ref="I48:I54" si="16">D$23*H48</f>
        <v>3.0034999999999998</v>
      </c>
    </row>
    <row r="49" spans="1:9" x14ac:dyDescent="0.25">
      <c r="A49" s="17" t="str">
        <f>Auswertung!B$8</f>
        <v>TP_27Hz-160kV_6p2mA-5ms-1mmFOC_473</v>
      </c>
      <c r="B49" s="18">
        <f t="shared" si="13"/>
        <v>0.52981744242985407</v>
      </c>
      <c r="C49" s="18">
        <f t="shared" si="14"/>
        <v>0.56457733496246854</v>
      </c>
      <c r="D49" s="19">
        <f t="shared" si="15"/>
        <v>6.5607301211523472E-2</v>
      </c>
      <c r="E49" s="18">
        <f>Auswertung!N$8</f>
        <v>1.6867113803477447</v>
      </c>
      <c r="F49" s="18">
        <f>Auswertung!I$8</f>
        <v>1.7973719619351238</v>
      </c>
      <c r="G49" s="18">
        <f>Kalibrierung!N$8</f>
        <v>0.63671417558928678</v>
      </c>
      <c r="H49" s="17">
        <v>0.60070000000000001</v>
      </c>
      <c r="I49" s="17">
        <f t="shared" si="16"/>
        <v>3.0034999999999998</v>
      </c>
    </row>
    <row r="50" spans="1:9" x14ac:dyDescent="0.25">
      <c r="A50" s="17" t="str">
        <f>Auswertung!B$9</f>
        <v>TP_27Hz-160kV_6p2mA-5ms-1mmFOC_474</v>
      </c>
      <c r="B50" s="18">
        <f t="shared" si="13"/>
        <v>0.52669390214662781</v>
      </c>
      <c r="C50" s="18">
        <f t="shared" si="14"/>
        <v>0.56635876514292416</v>
      </c>
      <c r="D50" s="19">
        <f t="shared" si="15"/>
        <v>7.5309136549019495E-2</v>
      </c>
      <c r="E50" s="18">
        <f>Auswertung!N$9</f>
        <v>1.676767368465973</v>
      </c>
      <c r="F50" s="18">
        <f>Auswertung!I$9</f>
        <v>1.8030432711787172</v>
      </c>
      <c r="G50" s="18">
        <f>Kalibrierung!N$8</f>
        <v>0.63671417558928678</v>
      </c>
      <c r="H50" s="17">
        <v>0.60070000000000001</v>
      </c>
      <c r="I50" s="17">
        <f t="shared" si="16"/>
        <v>3.0034999999999998</v>
      </c>
    </row>
    <row r="51" spans="1:9" x14ac:dyDescent="0.25">
      <c r="A51" s="17" t="str">
        <f>Auswertung!B$10</f>
        <v>TP_27Hz-160kV_6p2mA-5ms-1mmFOC_550</v>
      </c>
      <c r="B51" s="18">
        <f t="shared" si="13"/>
        <v>0.52128238632235779</v>
      </c>
      <c r="C51" s="18">
        <f t="shared" si="14"/>
        <v>0.56745064159314573</v>
      </c>
      <c r="D51" s="19">
        <f t="shared" si="15"/>
        <v>8.8566689537516341E-2</v>
      </c>
      <c r="E51" s="18">
        <f>Auswertung!N$10</f>
        <v>1.6595394242822807</v>
      </c>
      <c r="F51" s="18">
        <f>Auswertung!I$10</f>
        <v>1.8065193372479582</v>
      </c>
      <c r="G51" s="18">
        <f>Kalibrierung!N$8</f>
        <v>0.63671417558928678</v>
      </c>
      <c r="H51" s="17">
        <v>0.60070000000000001</v>
      </c>
      <c r="I51" s="17">
        <f t="shared" si="16"/>
        <v>3.0034999999999998</v>
      </c>
    </row>
    <row r="52" spans="1:9" x14ac:dyDescent="0.25">
      <c r="A52" s="17" t="str">
        <f>Auswertung!B$11</f>
        <v>TP_27Hz-160kV_6p2mA-5ms-1mmFOC_551</v>
      </c>
      <c r="B52" s="18">
        <f t="shared" si="13"/>
        <v>0.52458953084133397</v>
      </c>
      <c r="C52" s="18">
        <f t="shared" si="14"/>
        <v>0.56457595540114747</v>
      </c>
      <c r="D52" s="19">
        <f t="shared" si="15"/>
        <v>7.6224213807094987E-2</v>
      </c>
      <c r="E52" s="18">
        <f>Auswertung!N$11</f>
        <v>1.6700679532620533</v>
      </c>
      <c r="F52" s="18">
        <f>Auswertung!I$11</f>
        <v>1.7973675700038776</v>
      </c>
      <c r="G52" s="18">
        <f>Kalibrierung!N$8</f>
        <v>0.63671417558928678</v>
      </c>
      <c r="H52" s="17">
        <v>0.60070000000000001</v>
      </c>
      <c r="I52" s="17">
        <f t="shared" si="16"/>
        <v>3.0034999999999998</v>
      </c>
    </row>
    <row r="53" spans="1:9" x14ac:dyDescent="0.25">
      <c r="A53" s="17" t="str">
        <f>Auswertung!B$12</f>
        <v>TP_27Hz-160kV_6p2mA-5ms-1mmFOC_552</v>
      </c>
      <c r="B53" s="18">
        <f t="shared" si="13"/>
        <v>0.52292041912557319</v>
      </c>
      <c r="C53" s="18">
        <f t="shared" si="14"/>
        <v>0.56598532933039669</v>
      </c>
      <c r="D53" s="19">
        <f t="shared" si="15"/>
        <v>8.2354615788070795E-2</v>
      </c>
      <c r="E53" s="18">
        <f>Auswertung!N$12</f>
        <v>1.6647542178117183</v>
      </c>
      <c r="F53" s="18">
        <f>Auswertung!I$12</f>
        <v>1.8018544118011726</v>
      </c>
      <c r="G53" s="18">
        <f>Kalibrierung!N$8</f>
        <v>0.63671417558928678</v>
      </c>
      <c r="H53" s="17">
        <v>0.60070000000000001</v>
      </c>
      <c r="I53" s="17">
        <f t="shared" si="16"/>
        <v>3.0034999999999998</v>
      </c>
    </row>
    <row r="54" spans="1:9" x14ac:dyDescent="0.25">
      <c r="A54" s="17" t="str">
        <f>Auswertung!B$13</f>
        <v>TP_27Hz-160kV_6p2mA-5ms-1mmFOC_553</v>
      </c>
      <c r="B54" s="18">
        <f t="shared" si="13"/>
        <v>0.52497868718217378</v>
      </c>
      <c r="C54" s="18">
        <f t="shared" si="14"/>
        <v>0.56411059193135638</v>
      </c>
      <c r="D54" s="19">
        <f t="shared" si="15"/>
        <v>7.453998744067758E-2</v>
      </c>
      <c r="E54" s="18">
        <f>Auswertung!N$13</f>
        <v>1.671306860055719</v>
      </c>
      <c r="F54" s="18">
        <f>Auswertung!I$13</f>
        <v>1.7958860524137907</v>
      </c>
      <c r="G54" s="18">
        <f>Kalibrierung!N$8</f>
        <v>0.63671417558928678</v>
      </c>
      <c r="H54" s="17">
        <v>0.60070000000000001</v>
      </c>
      <c r="I54" s="17">
        <f t="shared" si="16"/>
        <v>3.0034999999999998</v>
      </c>
    </row>
    <row r="55" spans="1:9" x14ac:dyDescent="0.25">
      <c r="A55" s="17"/>
      <c r="B55" s="18"/>
      <c r="C55" s="18"/>
      <c r="D55" s="19"/>
      <c r="E55" s="17"/>
      <c r="F55" s="17"/>
      <c r="G55" s="17"/>
      <c r="H55" s="17"/>
      <c r="I55" s="17"/>
    </row>
    <row r="56" spans="1:9" x14ac:dyDescent="0.25">
      <c r="A56" s="20" t="s">
        <v>78</v>
      </c>
      <c r="B56" s="20" t="s">
        <v>125</v>
      </c>
      <c r="C56" s="20" t="s">
        <v>126</v>
      </c>
      <c r="D56" s="20" t="s">
        <v>19</v>
      </c>
      <c r="E56" s="20" t="s">
        <v>82</v>
      </c>
      <c r="F56" s="20" t="s">
        <v>81</v>
      </c>
      <c r="G56" s="20" t="s">
        <v>124</v>
      </c>
      <c r="H56" s="20" t="s">
        <v>116</v>
      </c>
      <c r="I56" s="17"/>
    </row>
    <row r="57" spans="1:9" x14ac:dyDescent="0.25">
      <c r="A57" s="17" t="str">
        <f>Auswertung!B$43</f>
        <v>TP-18Hz-160kV-6p2mA-5ms-1mmFOC-28msPhaseShift_1093.</v>
      </c>
      <c r="B57" s="18">
        <f t="shared" ref="B57:B60" si="17">E57/($D$23*G57)</f>
        <v>0.53618407042080751</v>
      </c>
      <c r="C57" s="18">
        <f t="shared" ref="C57:C60" si="18">F57/($D$44*G57)</f>
        <v>0.57198193284648868</v>
      </c>
      <c r="D57" s="19">
        <f t="shared" ref="D57:D60" si="19">C57/B57-1</f>
        <v>6.6764128963373137E-2</v>
      </c>
      <c r="E57" s="18">
        <f>Auswertung!N$43</f>
        <v>1.7069799918104627</v>
      </c>
      <c r="F57" s="18">
        <f>Auswertung!H$43</f>
        <v>1.8209450241215941</v>
      </c>
      <c r="G57" s="18">
        <f>Kalibrierung!N$8</f>
        <v>0.63671417558928678</v>
      </c>
      <c r="H57" s="17">
        <v>0.60070000000000001</v>
      </c>
      <c r="I57" s="17">
        <f t="shared" ref="I57:I60" si="20">D$23*H57</f>
        <v>3.0034999999999998</v>
      </c>
    </row>
    <row r="58" spans="1:9" x14ac:dyDescent="0.25">
      <c r="A58" s="17" t="str">
        <f>Auswertung!B$44</f>
        <v>TP-18Hz-160kV-6p2mA-5ms-1mmFOC-28msPhaseShift_1100.</v>
      </c>
      <c r="B58" s="18">
        <f t="shared" si="17"/>
        <v>0.53896001902248825</v>
      </c>
      <c r="C58" s="18">
        <f t="shared" si="18"/>
        <v>0.5686684011130877</v>
      </c>
      <c r="D58" s="19">
        <f t="shared" si="19"/>
        <v>5.5121680722220345E-2</v>
      </c>
      <c r="E58" s="18">
        <f>Auswertung!N$44</f>
        <v>1.7158174209374495</v>
      </c>
      <c r="F58" s="18">
        <f>Auswertung!H$44</f>
        <v>1.8103961609919874</v>
      </c>
      <c r="G58" s="18">
        <f>Kalibrierung!N$8</f>
        <v>0.63671417558928678</v>
      </c>
      <c r="H58" s="17">
        <v>0.60070000000000001</v>
      </c>
      <c r="I58" s="17">
        <f t="shared" si="20"/>
        <v>3.0034999999999998</v>
      </c>
    </row>
    <row r="59" spans="1:9" x14ac:dyDescent="0.25">
      <c r="A59" s="17" t="str">
        <f>Auswertung!B$45</f>
        <v>TP-25Hz-160kV-6p2mA-5ms-1mmFOC-20msPhaseShift_250.</v>
      </c>
      <c r="B59" s="18">
        <f t="shared" si="17"/>
        <v>0.53092911717635305</v>
      </c>
      <c r="C59" s="18">
        <f t="shared" si="18"/>
        <v>0.56140188815763958</v>
      </c>
      <c r="D59" s="19">
        <f t="shared" si="19"/>
        <v>5.7395177614952164E-2</v>
      </c>
      <c r="E59" s="18">
        <f>Auswertung!N$45</f>
        <v>1.6902504756964474</v>
      </c>
      <c r="F59" s="18">
        <f>Auswertung!H$45</f>
        <v>1.7872627019628022</v>
      </c>
      <c r="G59" s="18">
        <f>Kalibrierung!N$8</f>
        <v>0.63671417558928678</v>
      </c>
      <c r="H59" s="17">
        <v>0.60070000000000001</v>
      </c>
      <c r="I59" s="17">
        <f t="shared" si="20"/>
        <v>3.0034999999999998</v>
      </c>
    </row>
    <row r="60" spans="1:9" x14ac:dyDescent="0.25">
      <c r="A60" s="17" t="str">
        <f>Auswertung!B$46</f>
        <v>TP-25Hz-160kV-6p2mA-5ms-1mmFOC-20msPhaseShift_400.</v>
      </c>
      <c r="B60" s="18">
        <f t="shared" si="17"/>
        <v>0.51636986637682136</v>
      </c>
      <c r="C60" s="18">
        <f t="shared" si="18"/>
        <v>0.56621776546914404</v>
      </c>
      <c r="D60" s="19">
        <f t="shared" si="19"/>
        <v>9.6535259584543898E-2</v>
      </c>
      <c r="E60" s="18">
        <f>Auswertung!N$46</f>
        <v>1.6439000688463399</v>
      </c>
      <c r="F60" s="18">
        <f>Auswertung!H$46</f>
        <v>1.802594388723471</v>
      </c>
      <c r="G60" s="18">
        <f>Kalibrierung!N$8</f>
        <v>0.63671417558928678</v>
      </c>
      <c r="H60" s="17">
        <v>0.60070000000000001</v>
      </c>
      <c r="I60" s="17">
        <f t="shared" si="20"/>
        <v>3.0034999999999998</v>
      </c>
    </row>
    <row r="61" spans="1:9" x14ac:dyDescent="0.25">
      <c r="I61" s="45"/>
    </row>
    <row r="62" spans="1:9" x14ac:dyDescent="0.25">
      <c r="I62" s="45"/>
    </row>
  </sheetData>
  <pageMargins left="0.7" right="0.7" top="0.78740157499999996" bottom="0.78740157499999996" header="0.3" footer="0.3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topLeftCell="A4" workbookViewId="0">
      <selection activeCell="I43" sqref="I43"/>
    </sheetView>
  </sheetViews>
  <sheetFormatPr baseColWidth="10" defaultRowHeight="15" x14ac:dyDescent="0.25"/>
  <cols>
    <col min="1" max="1" width="35.5703125" customWidth="1"/>
    <col min="2" max="2" width="55.7109375" customWidth="1"/>
    <col min="3" max="9" width="9.140625" style="4" customWidth="1"/>
    <col min="10" max="10" width="19.42578125" customWidth="1"/>
    <col min="11" max="14" width="9" customWidth="1"/>
    <col min="15" max="15" width="18.42578125" customWidth="1"/>
    <col min="16" max="16" width="9" customWidth="1"/>
  </cols>
  <sheetData>
    <row r="1" spans="1:16" x14ac:dyDescent="0.25">
      <c r="I1" s="4" t="s">
        <v>30</v>
      </c>
      <c r="K1">
        <v>5</v>
      </c>
      <c r="P1" t="s">
        <v>28</v>
      </c>
    </row>
    <row r="2" spans="1:16" x14ac:dyDescent="0.25">
      <c r="J2" t="s">
        <v>72</v>
      </c>
      <c r="K2">
        <v>0.59599999999999997</v>
      </c>
      <c r="P2" s="10" t="e">
        <f>SUM(P6:P13)/8</f>
        <v>#DIV/0!</v>
      </c>
    </row>
    <row r="3" spans="1:16" x14ac:dyDescent="0.25">
      <c r="B3" t="s">
        <v>27</v>
      </c>
      <c r="C3" s="52" t="s">
        <v>17</v>
      </c>
      <c r="D3" s="52"/>
      <c r="E3" s="52"/>
      <c r="F3" s="52"/>
      <c r="G3" s="52"/>
      <c r="H3" s="52"/>
      <c r="I3" s="52"/>
      <c r="J3" s="52"/>
      <c r="K3" s="53" t="s">
        <v>18</v>
      </c>
      <c r="L3" s="53"/>
      <c r="M3" s="53"/>
      <c r="N3" s="53"/>
      <c r="O3" s="53"/>
      <c r="P3" s="53"/>
    </row>
    <row r="4" spans="1:16" x14ac:dyDescent="0.25">
      <c r="J4" t="s">
        <v>70</v>
      </c>
    </row>
    <row r="5" spans="1:16" x14ac:dyDescent="0.25">
      <c r="A5" t="s">
        <v>8</v>
      </c>
      <c r="B5" t="s">
        <v>0</v>
      </c>
      <c r="C5" s="6" t="s">
        <v>1</v>
      </c>
      <c r="D5" s="6" t="s">
        <v>5</v>
      </c>
      <c r="E5" s="6" t="s">
        <v>73</v>
      </c>
      <c r="F5" s="6" t="s">
        <v>2</v>
      </c>
      <c r="G5" s="6" t="s">
        <v>5</v>
      </c>
      <c r="H5" s="7" t="s">
        <v>3</v>
      </c>
      <c r="I5" s="8" t="s">
        <v>6</v>
      </c>
      <c r="J5" s="7" t="s">
        <v>127</v>
      </c>
      <c r="K5" s="6" t="s">
        <v>1</v>
      </c>
      <c r="L5" s="6" t="s">
        <v>5</v>
      </c>
      <c r="M5" s="7" t="s">
        <v>3</v>
      </c>
      <c r="N5" s="8" t="s">
        <v>6</v>
      </c>
      <c r="O5" s="7" t="s">
        <v>29</v>
      </c>
      <c r="P5" s="7" t="s">
        <v>19</v>
      </c>
    </row>
    <row r="6" spans="1:16" x14ac:dyDescent="0.25">
      <c r="A6" t="s">
        <v>7</v>
      </c>
      <c r="B6" t="s">
        <v>4</v>
      </c>
      <c r="C6" s="11">
        <v>3805</v>
      </c>
      <c r="D6" s="11">
        <v>69.48</v>
      </c>
      <c r="E6" s="11">
        <v>23096</v>
      </c>
      <c r="F6" s="11">
        <v>28051</v>
      </c>
      <c r="G6" s="11">
        <v>139.5</v>
      </c>
      <c r="H6" s="9">
        <f>C6/E6</f>
        <v>0.16474714236231383</v>
      </c>
      <c r="I6" s="9">
        <f>-LN(H6)</f>
        <v>1.8033434510469848</v>
      </c>
      <c r="J6" s="3"/>
      <c r="K6">
        <v>4217</v>
      </c>
      <c r="M6" s="3">
        <f>K6/E6</f>
        <v>0.18258572913058538</v>
      </c>
      <c r="N6" s="9">
        <f>-LN(M6)</f>
        <v>1.7005354675962112</v>
      </c>
      <c r="O6" s="3"/>
      <c r="P6" s="10" t="e">
        <f t="shared" ref="P6:P11" si="0">1-J6/O6</f>
        <v>#DIV/0!</v>
      </c>
    </row>
    <row r="7" spans="1:16" x14ac:dyDescent="0.25">
      <c r="B7" t="s">
        <v>23</v>
      </c>
      <c r="C7" s="11">
        <v>3811</v>
      </c>
      <c r="D7" s="11">
        <v>72</v>
      </c>
      <c r="E7" s="11">
        <v>23087</v>
      </c>
      <c r="F7" s="11">
        <v>28039</v>
      </c>
      <c r="G7" s="11">
        <v>134</v>
      </c>
      <c r="H7" s="9">
        <f t="shared" ref="H7:H13" si="1">C7/E7</f>
        <v>0.16507125221986399</v>
      </c>
      <c r="I7" s="9">
        <f t="shared" ref="I7:I13" si="2">-LN(H7)</f>
        <v>1.801378066658464</v>
      </c>
      <c r="J7" s="3"/>
      <c r="K7">
        <v>4247</v>
      </c>
      <c r="M7" s="3">
        <f t="shared" ref="M7:M13" si="3">K7/E7</f>
        <v>0.18395633906527484</v>
      </c>
      <c r="N7" s="9">
        <f t="shared" ref="N7:N13" si="4">-LN(M7)</f>
        <v>1.6930568372190531</v>
      </c>
      <c r="O7" s="3"/>
      <c r="P7" s="10" t="e">
        <f t="shared" si="0"/>
        <v>#DIV/0!</v>
      </c>
    </row>
    <row r="8" spans="1:16" x14ac:dyDescent="0.25">
      <c r="B8" t="s">
        <v>24</v>
      </c>
      <c r="C8" s="11">
        <v>3820</v>
      </c>
      <c r="D8" s="11">
        <v>75</v>
      </c>
      <c r="E8" s="11">
        <v>23049</v>
      </c>
      <c r="F8" s="11">
        <v>27997</v>
      </c>
      <c r="G8" s="11">
        <v>130</v>
      </c>
      <c r="H8" s="9">
        <f t="shared" si="1"/>
        <v>0.16573387131762765</v>
      </c>
      <c r="I8" s="9">
        <f t="shared" si="2"/>
        <v>1.7973719619351238</v>
      </c>
      <c r="J8" s="3"/>
      <c r="K8">
        <v>4267</v>
      </c>
      <c r="M8" s="3">
        <f t="shared" si="3"/>
        <v>0.18512733741160137</v>
      </c>
      <c r="N8" s="9">
        <f t="shared" si="4"/>
        <v>1.6867113803477447</v>
      </c>
      <c r="O8" s="3"/>
      <c r="P8" s="10" t="e">
        <f t="shared" si="0"/>
        <v>#DIV/0!</v>
      </c>
    </row>
    <row r="9" spans="1:16" x14ac:dyDescent="0.25">
      <c r="B9" t="s">
        <v>20</v>
      </c>
      <c r="C9" s="11">
        <v>3804</v>
      </c>
      <c r="D9" s="11">
        <v>69.024500000000003</v>
      </c>
      <c r="E9" s="11">
        <v>23083</v>
      </c>
      <c r="F9" s="11">
        <v>28041</v>
      </c>
      <c r="G9" s="11">
        <v>133.97999999999999</v>
      </c>
      <c r="H9" s="9">
        <f t="shared" si="1"/>
        <v>0.16479660356106227</v>
      </c>
      <c r="I9" s="9">
        <f t="shared" si="2"/>
        <v>1.8030432711787172</v>
      </c>
      <c r="J9" s="3"/>
      <c r="K9">
        <v>4316</v>
      </c>
      <c r="M9" s="3">
        <f t="shared" si="3"/>
        <v>0.18697742927695707</v>
      </c>
      <c r="N9" s="9">
        <f t="shared" si="4"/>
        <v>1.676767368465973</v>
      </c>
      <c r="O9" s="3"/>
      <c r="P9" s="10" t="e">
        <f t="shared" si="0"/>
        <v>#DIV/0!</v>
      </c>
    </row>
    <row r="10" spans="1:16" x14ac:dyDescent="0.25">
      <c r="B10" t="s">
        <v>21</v>
      </c>
      <c r="C10" s="11">
        <v>3790.8</v>
      </c>
      <c r="D10" s="11">
        <v>63.63</v>
      </c>
      <c r="E10" s="11">
        <v>23083</v>
      </c>
      <c r="F10" s="11">
        <v>28037</v>
      </c>
      <c r="G10" s="11">
        <v>136</v>
      </c>
      <c r="H10" s="9">
        <f t="shared" si="1"/>
        <v>0.16422475414807436</v>
      </c>
      <c r="I10" s="9">
        <f t="shared" si="2"/>
        <v>1.8065193372479582</v>
      </c>
      <c r="J10" s="3"/>
      <c r="K10">
        <v>4391</v>
      </c>
      <c r="M10" s="3">
        <f t="shared" si="3"/>
        <v>0.19022657366893383</v>
      </c>
      <c r="N10" s="9">
        <f t="shared" si="4"/>
        <v>1.6595394242822807</v>
      </c>
      <c r="O10" s="3"/>
      <c r="P10" s="10" t="e">
        <f t="shared" si="0"/>
        <v>#DIV/0!</v>
      </c>
    </row>
    <row r="11" spans="1:16" x14ac:dyDescent="0.25">
      <c r="B11" t="s">
        <v>22</v>
      </c>
      <c r="C11" s="11">
        <v>3823</v>
      </c>
      <c r="D11" s="11">
        <v>67</v>
      </c>
      <c r="E11" s="11">
        <v>23067</v>
      </c>
      <c r="F11" s="11">
        <v>28013</v>
      </c>
      <c r="G11" s="11">
        <v>142</v>
      </c>
      <c r="H11" s="9">
        <f t="shared" si="1"/>
        <v>0.16573459921099407</v>
      </c>
      <c r="I11" s="9">
        <f t="shared" si="2"/>
        <v>1.7973675700038776</v>
      </c>
      <c r="J11" s="3"/>
      <c r="K11">
        <v>4342</v>
      </c>
      <c r="M11" s="3">
        <f t="shared" si="3"/>
        <v>0.18823427407118395</v>
      </c>
      <c r="N11" s="9">
        <f t="shared" si="4"/>
        <v>1.6700679532620533</v>
      </c>
      <c r="O11" s="3"/>
      <c r="P11" s="10" t="e">
        <f t="shared" si="0"/>
        <v>#DIV/0!</v>
      </c>
    </row>
    <row r="12" spans="1:16" x14ac:dyDescent="0.25">
      <c r="B12" t="s">
        <v>25</v>
      </c>
      <c r="C12" s="11">
        <v>3811</v>
      </c>
      <c r="D12" s="11">
        <v>65</v>
      </c>
      <c r="E12" s="11">
        <v>23098</v>
      </c>
      <c r="F12" s="11">
        <v>28039</v>
      </c>
      <c r="G12" s="11">
        <v>134</v>
      </c>
      <c r="H12" s="9">
        <f t="shared" si="1"/>
        <v>0.16499264005541606</v>
      </c>
      <c r="I12" s="9">
        <f t="shared" si="2"/>
        <v>1.8018544118011726</v>
      </c>
      <c r="J12" s="3"/>
      <c r="K12">
        <v>4371</v>
      </c>
      <c r="M12" s="3">
        <f t="shared" si="3"/>
        <v>0.18923716339076976</v>
      </c>
      <c r="N12" s="9">
        <f t="shared" si="4"/>
        <v>1.6647542178117183</v>
      </c>
      <c r="O12" s="3"/>
      <c r="P12" s="10" t="e">
        <f t="shared" ref="P12:P13" si="5">1-J12/O12</f>
        <v>#DIV/0!</v>
      </c>
    </row>
    <row r="13" spans="1:16" x14ac:dyDescent="0.25">
      <c r="B13" t="s">
        <v>26</v>
      </c>
      <c r="C13" s="11">
        <v>3829</v>
      </c>
      <c r="D13" s="11">
        <v>67</v>
      </c>
      <c r="E13" s="11">
        <v>23069</v>
      </c>
      <c r="F13" s="11">
        <v>28017</v>
      </c>
      <c r="G13" s="11">
        <v>139</v>
      </c>
      <c r="H13" s="9">
        <f t="shared" si="1"/>
        <v>0.16598031990983572</v>
      </c>
      <c r="I13" s="9">
        <f t="shared" si="2"/>
        <v>1.7958860524137907</v>
      </c>
      <c r="J13" s="3"/>
      <c r="K13">
        <v>4337</v>
      </c>
      <c r="M13" s="3">
        <f t="shared" si="3"/>
        <v>0.18800121375005419</v>
      </c>
      <c r="N13" s="9">
        <f t="shared" si="4"/>
        <v>1.671306860055719</v>
      </c>
      <c r="O13" s="3"/>
      <c r="P13" s="10" t="e">
        <f t="shared" si="5"/>
        <v>#DIV/0!</v>
      </c>
    </row>
    <row r="22" spans="1:2" x14ac:dyDescent="0.25">
      <c r="A22" t="s">
        <v>74</v>
      </c>
      <c r="B22">
        <f>E6/F6</f>
        <v>0.82335745606217248</v>
      </c>
    </row>
    <row r="23" spans="1:2" x14ac:dyDescent="0.25">
      <c r="B23">
        <f t="shared" ref="B23:B29" si="6">E7/F7</f>
        <v>0.82338885124291161</v>
      </c>
    </row>
    <row r="24" spans="1:2" x14ac:dyDescent="0.25">
      <c r="B24">
        <f t="shared" si="6"/>
        <v>0.82326677858341968</v>
      </c>
    </row>
    <row r="25" spans="1:2" x14ac:dyDescent="0.25">
      <c r="B25">
        <f t="shared" si="6"/>
        <v>0.8231874754823294</v>
      </c>
    </row>
    <row r="26" spans="1:2" x14ac:dyDescent="0.25">
      <c r="B26">
        <f t="shared" si="6"/>
        <v>0.82330491850055287</v>
      </c>
    </row>
    <row r="27" spans="1:2" x14ac:dyDescent="0.25">
      <c r="B27">
        <f t="shared" si="6"/>
        <v>0.82343911755256483</v>
      </c>
    </row>
    <row r="28" spans="1:2" x14ac:dyDescent="0.25">
      <c r="B28">
        <f t="shared" si="6"/>
        <v>0.823781161952994</v>
      </c>
    </row>
    <row r="29" spans="1:2" x14ac:dyDescent="0.25">
      <c r="B29">
        <f t="shared" si="6"/>
        <v>0.82339294000071384</v>
      </c>
    </row>
    <row r="41" spans="2:14" x14ac:dyDescent="0.25">
      <c r="B41" s="17"/>
      <c r="C41" s="54" t="s">
        <v>85</v>
      </c>
      <c r="D41" s="54"/>
      <c r="E41" s="54"/>
      <c r="F41" s="54"/>
      <c r="G41" s="54"/>
      <c r="H41" s="54"/>
      <c r="I41" s="54" t="s">
        <v>18</v>
      </c>
      <c r="J41" s="54"/>
      <c r="K41" s="54"/>
      <c r="L41" s="54"/>
      <c r="M41" s="54"/>
      <c r="N41" s="54"/>
    </row>
    <row r="42" spans="2:14" x14ac:dyDescent="0.25">
      <c r="B42" s="17"/>
      <c r="C42" s="21" t="s">
        <v>1</v>
      </c>
      <c r="D42" s="21" t="s">
        <v>5</v>
      </c>
      <c r="E42" s="21" t="s">
        <v>84</v>
      </c>
      <c r="F42" s="21" t="s">
        <v>5</v>
      </c>
      <c r="G42" s="21" t="s">
        <v>3</v>
      </c>
      <c r="H42" s="22" t="s">
        <v>9</v>
      </c>
      <c r="I42" s="21" t="s">
        <v>1</v>
      </c>
      <c r="J42" s="21" t="s">
        <v>5</v>
      </c>
      <c r="K42" s="21" t="s">
        <v>84</v>
      </c>
      <c r="L42" s="21" t="s">
        <v>5</v>
      </c>
      <c r="M42" s="21" t="s">
        <v>3</v>
      </c>
      <c r="N42" s="22" t="s">
        <v>9</v>
      </c>
    </row>
    <row r="43" spans="2:14" x14ac:dyDescent="0.25">
      <c r="B43" s="17" t="s">
        <v>83</v>
      </c>
      <c r="C43" s="23">
        <v>3703</v>
      </c>
      <c r="D43" s="23">
        <v>62</v>
      </c>
      <c r="E43" s="23">
        <v>22876</v>
      </c>
      <c r="F43" s="23">
        <v>125</v>
      </c>
      <c r="G43" s="23">
        <f>C43/E43</f>
        <v>0.16187270501835985</v>
      </c>
      <c r="H43" s="23">
        <f>-LN(G43)</f>
        <v>1.8209450241215941</v>
      </c>
      <c r="I43" s="23">
        <v>4150</v>
      </c>
      <c r="J43" s="17"/>
      <c r="K43" s="17">
        <f>E43</f>
        <v>22876</v>
      </c>
      <c r="L43" s="17"/>
      <c r="M43" s="17">
        <f>I43/K43</f>
        <v>0.18141283441161044</v>
      </c>
      <c r="N43" s="17">
        <f>-LN(M43)</f>
        <v>1.7069799918104627</v>
      </c>
    </row>
    <row r="44" spans="2:14" x14ac:dyDescent="0.25">
      <c r="B44" s="17" t="s">
        <v>86</v>
      </c>
      <c r="C44" s="23">
        <v>3730</v>
      </c>
      <c r="D44" s="23">
        <v>57</v>
      </c>
      <c r="E44" s="23">
        <v>22801</v>
      </c>
      <c r="F44" s="23">
        <v>127</v>
      </c>
      <c r="G44" s="23">
        <f>C44/E44</f>
        <v>0.16358931625805886</v>
      </c>
      <c r="H44" s="23">
        <f>-LN(G44)</f>
        <v>1.8103961609919874</v>
      </c>
      <c r="I44" s="23">
        <v>4100</v>
      </c>
      <c r="J44" s="17"/>
      <c r="K44" s="17">
        <f>E44</f>
        <v>22801</v>
      </c>
      <c r="L44" s="17"/>
      <c r="M44" s="17">
        <f>I44/K44</f>
        <v>0.17981667470724969</v>
      </c>
      <c r="N44" s="17">
        <f>-LN(M44)</f>
        <v>1.7158174209374495</v>
      </c>
    </row>
    <row r="45" spans="2:14" x14ac:dyDescent="0.25">
      <c r="B45" s="17" t="s">
        <v>87</v>
      </c>
      <c r="C45" s="23">
        <v>3789</v>
      </c>
      <c r="D45" s="23">
        <v>64</v>
      </c>
      <c r="E45" s="23">
        <v>22632</v>
      </c>
      <c r="F45" s="23">
        <v>127</v>
      </c>
      <c r="G45" s="23">
        <f>C45/E45</f>
        <v>0.16741781548250265</v>
      </c>
      <c r="H45" s="23">
        <f>-LN(G45)</f>
        <v>1.7872627019628022</v>
      </c>
      <c r="I45" s="23">
        <v>4175</v>
      </c>
      <c r="J45" s="17"/>
      <c r="K45" s="17">
        <f>E45</f>
        <v>22632</v>
      </c>
      <c r="L45" s="17"/>
      <c r="M45" s="17">
        <f>I45/K45</f>
        <v>0.18447331212442558</v>
      </c>
      <c r="N45" s="17">
        <f>-LN(M45)</f>
        <v>1.6902504756964474</v>
      </c>
    </row>
    <row r="46" spans="2:14" x14ac:dyDescent="0.25">
      <c r="B46" s="17" t="s">
        <v>88</v>
      </c>
      <c r="C46" s="23">
        <v>3733</v>
      </c>
      <c r="D46" s="23">
        <v>59</v>
      </c>
      <c r="E46" s="23">
        <v>22642</v>
      </c>
      <c r="F46" s="23">
        <v>120</v>
      </c>
      <c r="G46" s="23">
        <f>C46/E46</f>
        <v>0.16487059447045313</v>
      </c>
      <c r="H46" s="23">
        <f>-LN(G46)</f>
        <v>1.802594388723471</v>
      </c>
      <c r="I46" s="23">
        <v>4375</v>
      </c>
      <c r="J46" s="17"/>
      <c r="K46" s="17">
        <f>E46</f>
        <v>22642</v>
      </c>
      <c r="L46" s="17"/>
      <c r="M46" s="17">
        <f>I46/K46</f>
        <v>0.19322498012543063</v>
      </c>
      <c r="N46" s="17">
        <f>-LN(M46)</f>
        <v>1.6439000688463399</v>
      </c>
    </row>
  </sheetData>
  <mergeCells count="4">
    <mergeCell ref="C3:J3"/>
    <mergeCell ref="K3:P3"/>
    <mergeCell ref="C41:H41"/>
    <mergeCell ref="I41:N41"/>
  </mergeCells>
  <pageMargins left="0.7" right="0.7" top="0.78740157499999996" bottom="0.78740157499999996" header="0.3" footer="0.3"/>
  <pageSetup paperSize="9" scale="5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I17" sqref="I17"/>
    </sheetView>
  </sheetViews>
  <sheetFormatPr baseColWidth="10" defaultRowHeight="15" x14ac:dyDescent="0.25"/>
  <sheetData>
    <row r="2" spans="2:10" x14ac:dyDescent="0.25">
      <c r="B2" t="s">
        <v>138</v>
      </c>
    </row>
    <row r="4" spans="2:10" x14ac:dyDescent="0.25">
      <c r="D4" t="s">
        <v>2</v>
      </c>
      <c r="E4" t="s">
        <v>136</v>
      </c>
      <c r="F4" t="s">
        <v>137</v>
      </c>
      <c r="I4" t="s">
        <v>139</v>
      </c>
    </row>
    <row r="5" spans="2:10" x14ac:dyDescent="0.25">
      <c r="B5" t="s">
        <v>133</v>
      </c>
      <c r="D5">
        <f>Kalibrierung!G5</f>
        <v>37435</v>
      </c>
      <c r="E5">
        <v>20058</v>
      </c>
      <c r="F5" s="38">
        <f>2.8</f>
        <v>2.8</v>
      </c>
      <c r="I5" t="s">
        <v>140</v>
      </c>
      <c r="J5">
        <v>36270</v>
      </c>
    </row>
    <row r="6" spans="2:10" x14ac:dyDescent="0.25">
      <c r="B6" t="s">
        <v>134</v>
      </c>
      <c r="D6">
        <f>Kalibrierung!G6</f>
        <v>37725</v>
      </c>
      <c r="E6">
        <v>16171</v>
      </c>
      <c r="F6">
        <v>3.8</v>
      </c>
      <c r="I6" t="s">
        <v>141</v>
      </c>
      <c r="J6">
        <v>-0.21187300000000001</v>
      </c>
    </row>
    <row r="7" spans="2:10" x14ac:dyDescent="0.25">
      <c r="B7" t="s">
        <v>135</v>
      </c>
      <c r="D7">
        <f>Kalibrierung!G7</f>
        <v>37729</v>
      </c>
      <c r="E7">
        <v>13145</v>
      </c>
      <c r="F7">
        <v>4.8</v>
      </c>
    </row>
    <row r="8" spans="2:10" x14ac:dyDescent="0.25">
      <c r="B8" s="39" t="s">
        <v>142</v>
      </c>
      <c r="C8" s="39"/>
      <c r="D8" s="39"/>
      <c r="E8" s="40">
        <f>J5*EXP(J6*F8)</f>
        <v>30615.075569084471</v>
      </c>
      <c r="F8" s="39">
        <v>0.8</v>
      </c>
    </row>
    <row r="10" spans="2:10" x14ac:dyDescent="0.25">
      <c r="E10" t="s">
        <v>143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58"/>
  <sheetViews>
    <sheetView workbookViewId="0">
      <selection activeCell="K14" sqref="K14"/>
    </sheetView>
  </sheetViews>
  <sheetFormatPr baseColWidth="10" defaultRowHeight="15" x14ac:dyDescent="0.25"/>
  <cols>
    <col min="1" max="1" width="57.28515625" customWidth="1"/>
    <col min="2" max="4" width="15.28515625" customWidth="1"/>
    <col min="5" max="6" width="20.140625" customWidth="1"/>
    <col min="7" max="7" width="16" customWidth="1"/>
  </cols>
  <sheetData>
    <row r="3" spans="1:8" x14ac:dyDescent="0.25">
      <c r="A3" t="s">
        <v>106</v>
      </c>
      <c r="D3" s="34" t="s">
        <v>120</v>
      </c>
    </row>
    <row r="5" spans="1:8" x14ac:dyDescent="0.25">
      <c r="G5" t="s">
        <v>77</v>
      </c>
    </row>
    <row r="6" spans="1:8" x14ac:dyDescent="0.25">
      <c r="A6" s="20" t="s">
        <v>78</v>
      </c>
      <c r="B6" s="20" t="s">
        <v>76</v>
      </c>
      <c r="C6" s="20" t="s">
        <v>80</v>
      </c>
      <c r="D6" s="20" t="s">
        <v>19</v>
      </c>
      <c r="E6" s="20" t="s">
        <v>82</v>
      </c>
      <c r="F6" s="20" t="s">
        <v>81</v>
      </c>
      <c r="G6" s="20" t="s">
        <v>79</v>
      </c>
      <c r="H6" s="20" t="s">
        <v>13</v>
      </c>
    </row>
    <row r="7" spans="1:8" x14ac:dyDescent="0.25">
      <c r="A7" s="17" t="str">
        <f>Auswertung!B$6</f>
        <v>TP_27Hz-160kV_6p2mA-5ms-1mmFOC_471</v>
      </c>
      <c r="B7" s="18">
        <f>E7/G7*H7</f>
        <v>0.53415974188406579</v>
      </c>
      <c r="C7" s="18">
        <f>F7/G7*H7</f>
        <v>0.56645303240938061</v>
      </c>
      <c r="D7" s="19">
        <f>C7/B7-1</f>
        <v>6.0456241818994672E-2</v>
      </c>
      <c r="E7" s="18">
        <f>Auswertung!N$6</f>
        <v>1.7005354675962112</v>
      </c>
      <c r="F7" s="18">
        <f>Auswertung!I$6</f>
        <v>1.8033434510469848</v>
      </c>
      <c r="G7" s="18">
        <f>-LN(Kalibrierung!J$18)</f>
        <v>1.912371104160735</v>
      </c>
      <c r="H7" s="17">
        <v>0.60070000000000001</v>
      </c>
    </row>
    <row r="8" spans="1:8" x14ac:dyDescent="0.25">
      <c r="A8" s="17" t="str">
        <f>Auswertung!B$7</f>
        <v>TP_27Hz-160kV_6p2mA-5ms-1mmFOC_472</v>
      </c>
      <c r="B8" s="18">
        <f t="shared" ref="B8:B18" si="0">E8/G8*H8</f>
        <v>0.53181060930316415</v>
      </c>
      <c r="C8" s="18">
        <f t="shared" ref="C8:C18" si="1">F8/G8*H8</f>
        <v>0.56583568026490627</v>
      </c>
      <c r="D8" s="19">
        <f t="shared" ref="D8:D18" si="2">C8/B8-1</f>
        <v>6.3979676912285566E-2</v>
      </c>
      <c r="E8" s="18">
        <f>Auswertung!N$7</f>
        <v>1.6930568372190531</v>
      </c>
      <c r="F8" s="18">
        <f>Auswertung!I$7</f>
        <v>1.801378066658464</v>
      </c>
      <c r="G8" s="18">
        <f>-LN(Kalibrierung!J$18)</f>
        <v>1.912371104160735</v>
      </c>
      <c r="H8" s="17">
        <v>0.60070000000000001</v>
      </c>
    </row>
    <row r="9" spans="1:8" x14ac:dyDescent="0.25">
      <c r="A9" s="17" t="str">
        <f>Auswertung!B$8</f>
        <v>TP_27Hz-160kV_6p2mA-5ms-1mmFOC_473</v>
      </c>
      <c r="B9" s="18">
        <f t="shared" si="0"/>
        <v>0.52981742088157491</v>
      </c>
      <c r="C9" s="18">
        <f t="shared" si="1"/>
        <v>0.5645773120004649</v>
      </c>
      <c r="D9" s="19">
        <f t="shared" si="2"/>
        <v>6.5607301211523472E-2</v>
      </c>
      <c r="E9" s="18">
        <f>Auswertung!N$8</f>
        <v>1.6867113803477447</v>
      </c>
      <c r="F9" s="18">
        <f>Auswertung!I$8</f>
        <v>1.7973719619351238</v>
      </c>
      <c r="G9" s="18">
        <f>-LN(Kalibrierung!J$18)</f>
        <v>1.912371104160735</v>
      </c>
      <c r="H9" s="17">
        <v>0.60070000000000001</v>
      </c>
    </row>
    <row r="10" spans="1:8" x14ac:dyDescent="0.25">
      <c r="A10" s="17" t="str">
        <f>Auswertung!B$9</f>
        <v>TP_27Hz-160kV_6p2mA-5ms-1mmFOC_474</v>
      </c>
      <c r="B10" s="18">
        <f t="shared" si="0"/>
        <v>0.52669388072538659</v>
      </c>
      <c r="C10" s="18">
        <f t="shared" si="1"/>
        <v>0.56635874210846782</v>
      </c>
      <c r="D10" s="19">
        <f t="shared" si="2"/>
        <v>7.5309136549019717E-2</v>
      </c>
      <c r="E10" s="18">
        <f>Auswertung!N$9</f>
        <v>1.676767368465973</v>
      </c>
      <c r="F10" s="18">
        <f>Auswertung!I$9</f>
        <v>1.8030432711787172</v>
      </c>
      <c r="G10" s="18">
        <f>-LN(Kalibrierung!J$18)</f>
        <v>1.912371104160735</v>
      </c>
      <c r="H10" s="17">
        <v>0.60070000000000001</v>
      </c>
    </row>
    <row r="11" spans="1:8" x14ac:dyDescent="0.25">
      <c r="A11" s="17" t="str">
        <f>Auswertung!B$10</f>
        <v>TP_27Hz-160kV_6p2mA-5ms-1mmFOC_550</v>
      </c>
      <c r="B11" s="18">
        <f t="shared" si="0"/>
        <v>0.52128236512120918</v>
      </c>
      <c r="C11" s="18">
        <f t="shared" si="1"/>
        <v>0.56745061851428147</v>
      </c>
      <c r="D11" s="19">
        <f t="shared" si="2"/>
        <v>8.8566689537516119E-2</v>
      </c>
      <c r="E11" s="18">
        <f>Auswertung!N$10</f>
        <v>1.6595394242822807</v>
      </c>
      <c r="F11" s="18">
        <f>Auswertung!I$10</f>
        <v>1.8065193372479582</v>
      </c>
      <c r="G11" s="18">
        <f>-LN(Kalibrierung!J$18)</f>
        <v>1.912371104160735</v>
      </c>
      <c r="H11" s="17">
        <v>0.60070000000000001</v>
      </c>
    </row>
    <row r="12" spans="1:8" x14ac:dyDescent="0.25">
      <c r="A12" s="17" t="str">
        <f>Auswertung!B$11</f>
        <v>TP_27Hz-160kV_6p2mA-5ms-1mmFOC_551</v>
      </c>
      <c r="B12" s="18">
        <f t="shared" si="0"/>
        <v>0.52458950950567984</v>
      </c>
      <c r="C12" s="18">
        <f t="shared" si="1"/>
        <v>0.5645759324391999</v>
      </c>
      <c r="D12" s="19">
        <f t="shared" si="2"/>
        <v>7.6224213807094987E-2</v>
      </c>
      <c r="E12" s="18">
        <f>Auswertung!N$11</f>
        <v>1.6700679532620533</v>
      </c>
      <c r="F12" s="18">
        <f>Auswertung!I$11</f>
        <v>1.7973675700038776</v>
      </c>
      <c r="G12" s="18">
        <f>-LN(Kalibrierung!J$18)</f>
        <v>1.912371104160735</v>
      </c>
      <c r="H12" s="17">
        <v>0.60070000000000001</v>
      </c>
    </row>
    <row r="13" spans="1:8" x14ac:dyDescent="0.25">
      <c r="A13" s="17" t="str">
        <f>Auswertung!B$12</f>
        <v>TP_27Hz-160kV_6p2mA-5ms-1mmFOC_552</v>
      </c>
      <c r="B13" s="18">
        <f t="shared" si="0"/>
        <v>0.52292039785780386</v>
      </c>
      <c r="C13" s="18">
        <f t="shared" si="1"/>
        <v>0.56598530631112831</v>
      </c>
      <c r="D13" s="19">
        <f t="shared" si="2"/>
        <v>8.2354615788070573E-2</v>
      </c>
      <c r="E13" s="18">
        <f>Auswertung!N$12</f>
        <v>1.6647542178117183</v>
      </c>
      <c r="F13" s="18">
        <f>Auswertung!I$12</f>
        <v>1.8018544118011726</v>
      </c>
      <c r="G13" s="18">
        <f>-LN(Kalibrierung!J$18)</f>
        <v>1.912371104160735</v>
      </c>
      <c r="H13" s="17">
        <v>0.60070000000000001</v>
      </c>
    </row>
    <row r="14" spans="1:8" x14ac:dyDescent="0.25">
      <c r="A14" s="17" t="str">
        <f>Auswertung!B$13</f>
        <v>TP_27Hz-160kV_6p2mA-5ms-1mmFOC_553</v>
      </c>
      <c r="B14" s="18">
        <f t="shared" si="0"/>
        <v>0.5249786658306923</v>
      </c>
      <c r="C14" s="18">
        <f t="shared" si="1"/>
        <v>0.56411056898833578</v>
      </c>
      <c r="D14" s="19">
        <f t="shared" si="2"/>
        <v>7.453998744067758E-2</v>
      </c>
      <c r="E14" s="18">
        <f>Auswertung!N$13</f>
        <v>1.671306860055719</v>
      </c>
      <c r="F14" s="18">
        <f>Auswertung!I$13</f>
        <v>1.7958860524137907</v>
      </c>
      <c r="G14" s="18">
        <f>-LN(Kalibrierung!J$18)</f>
        <v>1.912371104160735</v>
      </c>
      <c r="H14" s="17">
        <v>0.60070000000000001</v>
      </c>
    </row>
    <row r="15" spans="1:8" x14ac:dyDescent="0.25">
      <c r="A15" s="17"/>
      <c r="B15" s="18">
        <f>SUM(B7:B14)/8</f>
        <v>0.52703157388869704</v>
      </c>
      <c r="C15" s="18">
        <f>SUM(C7:C14)/8</f>
        <v>0.5656683991295206</v>
      </c>
      <c r="D15" s="19"/>
      <c r="E15" s="17"/>
      <c r="F15" s="17"/>
      <c r="G15" s="17"/>
      <c r="H15" s="17"/>
    </row>
    <row r="16" spans="1:8" x14ac:dyDescent="0.25">
      <c r="A16" s="20" t="s">
        <v>78</v>
      </c>
      <c r="B16" s="20" t="s">
        <v>76</v>
      </c>
      <c r="C16" s="20" t="s">
        <v>80</v>
      </c>
      <c r="D16" s="20" t="s">
        <v>19</v>
      </c>
      <c r="E16" s="20" t="s">
        <v>82</v>
      </c>
      <c r="F16" s="20" t="s">
        <v>81</v>
      </c>
      <c r="G16" s="20" t="s">
        <v>79</v>
      </c>
      <c r="H16" s="20" t="s">
        <v>13</v>
      </c>
    </row>
    <row r="17" spans="1:8" x14ac:dyDescent="0.25">
      <c r="A17" s="17" t="str">
        <f>Auswertung!B$43</f>
        <v>TP-18Hz-160kV-6p2mA-5ms-1mmFOC-28msPhaseShift_1093.</v>
      </c>
      <c r="B17" s="18">
        <f t="shared" si="0"/>
        <v>0.53618404861359037</v>
      </c>
      <c r="C17" s="18">
        <f t="shared" si="1"/>
        <v>0.57198190958333162</v>
      </c>
      <c r="D17" s="19">
        <f t="shared" si="2"/>
        <v>6.6764128963373137E-2</v>
      </c>
      <c r="E17" s="18">
        <f>Auswertung!N$43</f>
        <v>1.7069799918104627</v>
      </c>
      <c r="F17" s="18">
        <f>Auswertung!H$43</f>
        <v>1.8209450241215941</v>
      </c>
      <c r="G17" s="18">
        <f>-LN(Kalibrierung!$J$18)</f>
        <v>1.912371104160735</v>
      </c>
      <c r="H17" s="17">
        <v>0.60070000000000001</v>
      </c>
    </row>
    <row r="18" spans="1:8" x14ac:dyDescent="0.25">
      <c r="A18" s="17" t="str">
        <f>Auswertung!B$44</f>
        <v>TP-18Hz-160kV-6p2mA-5ms-1mmFOC-28msPhaseShift_1100.</v>
      </c>
      <c r="B18" s="18">
        <f t="shared" si="0"/>
        <v>0.53895999710237008</v>
      </c>
      <c r="C18" s="18">
        <f t="shared" si="1"/>
        <v>0.56866837798469583</v>
      </c>
      <c r="D18" s="19">
        <f t="shared" si="2"/>
        <v>5.5121680722220567E-2</v>
      </c>
      <c r="E18" s="18">
        <f>Auswertung!N$44</f>
        <v>1.7158174209374495</v>
      </c>
      <c r="F18" s="18">
        <f>Auswertung!H$44</f>
        <v>1.8103961609919874</v>
      </c>
      <c r="G18" s="18">
        <f>-LN(Kalibrierung!$J$18)</f>
        <v>1.912371104160735</v>
      </c>
      <c r="H18" s="17">
        <v>0.60070000000000001</v>
      </c>
    </row>
    <row r="19" spans="1:8" x14ac:dyDescent="0.25">
      <c r="A19" s="17" t="str">
        <f>Auswertung!B$45</f>
        <v>TP-25Hz-160kV-6p2mA-5ms-1mmFOC-20msPhaseShift_250.</v>
      </c>
      <c r="B19" s="18">
        <f t="shared" ref="B19:B20" si="3">E19/G19*H19</f>
        <v>0.53092909558286083</v>
      </c>
      <c r="C19" s="18">
        <f t="shared" ref="C19:C20" si="4">F19/G19*H19</f>
        <v>0.56140186532478498</v>
      </c>
      <c r="D19" s="19">
        <f t="shared" ref="D19:D20" si="5">C19/B19-1</f>
        <v>5.7395177614951942E-2</v>
      </c>
      <c r="E19" s="18">
        <f>Auswertung!N$45</f>
        <v>1.6902504756964474</v>
      </c>
      <c r="F19" s="18">
        <f>Auswertung!H$45</f>
        <v>1.7872627019628022</v>
      </c>
      <c r="G19" s="18">
        <f>-LN(Kalibrierung!$J$18)</f>
        <v>1.912371104160735</v>
      </c>
      <c r="H19" s="17">
        <v>0.60070000000000001</v>
      </c>
    </row>
    <row r="20" spans="1:8" x14ac:dyDescent="0.25">
      <c r="A20" s="17" t="str">
        <f>Auswertung!B$46</f>
        <v>TP-25Hz-160kV-6p2mA-5ms-1mmFOC-20msPhaseShift_400.</v>
      </c>
      <c r="B20" s="18">
        <f t="shared" si="3"/>
        <v>0.51636984537547037</v>
      </c>
      <c r="C20" s="18">
        <f t="shared" si="4"/>
        <v>0.56621774244042233</v>
      </c>
      <c r="D20" s="19">
        <f t="shared" si="5"/>
        <v>9.653525958454412E-2</v>
      </c>
      <c r="E20" s="18">
        <f>Auswertung!N$46</f>
        <v>1.6439000688463399</v>
      </c>
      <c r="F20" s="18">
        <f>Auswertung!H$46</f>
        <v>1.802594388723471</v>
      </c>
      <c r="G20" s="18">
        <f>-LN(Kalibrierung!$J$18)</f>
        <v>1.912371104160735</v>
      </c>
      <c r="H20" s="17">
        <v>0.60070000000000001</v>
      </c>
    </row>
    <row r="23" spans="1:8" x14ac:dyDescent="0.25">
      <c r="A23" t="s">
        <v>105</v>
      </c>
      <c r="D23">
        <v>5</v>
      </c>
      <c r="E23" t="s">
        <v>104</v>
      </c>
    </row>
    <row r="25" spans="1:8" x14ac:dyDescent="0.25">
      <c r="A25" s="20" t="s">
        <v>78</v>
      </c>
      <c r="B25" s="20" t="s">
        <v>76</v>
      </c>
      <c r="C25" s="20" t="s">
        <v>80</v>
      </c>
      <c r="D25" s="20" t="s">
        <v>19</v>
      </c>
      <c r="E25" s="20" t="s">
        <v>82</v>
      </c>
      <c r="F25" s="20" t="s">
        <v>81</v>
      </c>
      <c r="G25" s="20" t="s">
        <v>79</v>
      </c>
      <c r="H25" s="20" t="s">
        <v>13</v>
      </c>
    </row>
    <row r="26" spans="1:8" x14ac:dyDescent="0.25">
      <c r="A26" s="17" t="str">
        <f>Auswertung!B$6</f>
        <v>TP_27Hz-160kV_6p2mA-5ms-1mmFOC_471</v>
      </c>
      <c r="B26" s="18">
        <f>E26/($D$23*Kalibrierung!J$30)</f>
        <v>0.57034508281015472</v>
      </c>
      <c r="C26" s="18">
        <f>F26/($D$23*Kalibrierung!J$30)</f>
        <v>0.6048260030567999</v>
      </c>
      <c r="D26" s="19">
        <f>C26/B26-1</f>
        <v>6.0456241818994449E-2</v>
      </c>
      <c r="E26" s="18">
        <f>Auswertung!N$6</f>
        <v>1.7005354675962112</v>
      </c>
      <c r="F26" s="18">
        <f>Auswertung!I$6</f>
        <v>1.8033434510469848</v>
      </c>
      <c r="G26" s="18">
        <f>-LN(Kalibrierung!J$18)</f>
        <v>1.912371104160735</v>
      </c>
      <c r="H26" s="17">
        <v>0.60070000000000001</v>
      </c>
    </row>
    <row r="27" spans="1:8" x14ac:dyDescent="0.25">
      <c r="A27" s="17" t="str">
        <f>Auswertung!B$7</f>
        <v>TP_27Hz-160kV_6p2mA-5ms-1mmFOC_472</v>
      </c>
      <c r="B27" s="18">
        <f>E27/($D$23*Kalibrierung!J$30)</f>
        <v>0.56783681400715458</v>
      </c>
      <c r="C27" s="18">
        <f>F27/($D$23*Kalibrierung!J$30)</f>
        <v>0.60416682990623394</v>
      </c>
      <c r="D27" s="19">
        <f t="shared" ref="D27:D33" si="6">C27/B27-1</f>
        <v>6.3979676912285566E-2</v>
      </c>
      <c r="E27" s="18">
        <f>Auswertung!N$7</f>
        <v>1.6930568372190531</v>
      </c>
      <c r="F27" s="18">
        <f>Auswertung!I$7</f>
        <v>1.801378066658464</v>
      </c>
      <c r="G27" s="18">
        <f>-LN(Kalibrierung!J$18)</f>
        <v>1.912371104160735</v>
      </c>
      <c r="H27" s="17">
        <v>0.60070000000000001</v>
      </c>
    </row>
    <row r="28" spans="1:8" x14ac:dyDescent="0.25">
      <c r="A28" s="17" t="str">
        <f>Auswertung!B$8</f>
        <v>TP_27Hz-160kV_6p2mA-5ms-1mmFOC_473</v>
      </c>
      <c r="B28" s="18">
        <f>E28/($D$23*Kalibrierung!J$30)</f>
        <v>0.56570860192707939</v>
      </c>
      <c r="C28" s="18">
        <f>F28/($D$23*Kalibrierung!J$30)</f>
        <v>0.60282321657165916</v>
      </c>
      <c r="D28" s="19">
        <f t="shared" si="6"/>
        <v>6.5607301211523472E-2</v>
      </c>
      <c r="E28" s="18">
        <f>Auswertung!N$8</f>
        <v>1.6867113803477447</v>
      </c>
      <c r="F28" s="18">
        <f>Auswertung!I$8</f>
        <v>1.7973719619351238</v>
      </c>
      <c r="G28" s="18">
        <f>-LN(Kalibrierung!J$18)</f>
        <v>1.912371104160735</v>
      </c>
      <c r="H28" s="17">
        <v>0.60070000000000001</v>
      </c>
    </row>
    <row r="29" spans="1:8" x14ac:dyDescent="0.25">
      <c r="A29" s="17" t="str">
        <f>Auswertung!B$9</f>
        <v>TP_27Hz-160kV_6p2mA-5ms-1mmFOC_474</v>
      </c>
      <c r="B29" s="18">
        <f>E29/($D$23*Kalibrierung!J$30)</f>
        <v>0.56237346520794274</v>
      </c>
      <c r="C29" s="18">
        <f>F29/($D$23*Kalibrierung!J$30)</f>
        <v>0.60472532529083312</v>
      </c>
      <c r="D29" s="19">
        <f t="shared" si="6"/>
        <v>7.5309136549019717E-2</v>
      </c>
      <c r="E29" s="18">
        <f>Auswertung!N$9</f>
        <v>1.676767368465973</v>
      </c>
      <c r="F29" s="18">
        <f>Auswertung!I$9</f>
        <v>1.8030432711787172</v>
      </c>
      <c r="G29" s="18">
        <f>-LN(Kalibrierung!J$18)</f>
        <v>1.912371104160735</v>
      </c>
      <c r="H29" s="17">
        <v>0.60070000000000001</v>
      </c>
    </row>
    <row r="30" spans="1:8" x14ac:dyDescent="0.25">
      <c r="A30" s="17" t="str">
        <f>Auswertung!B$10</f>
        <v>TP_27Hz-160kV_6p2mA-5ms-1mmFOC_550</v>
      </c>
      <c r="B30" s="18">
        <f>E30/($D$23*Kalibrierung!J$30)</f>
        <v>0.55659535975861274</v>
      </c>
      <c r="C30" s="18">
        <f>F30/($D$23*Kalibrierung!J$30)</f>
        <v>0.60589116818437605</v>
      </c>
      <c r="D30" s="19">
        <f t="shared" si="6"/>
        <v>8.8566689537516341E-2</v>
      </c>
      <c r="E30" s="18">
        <f>Auswertung!N$10</f>
        <v>1.6595394242822807</v>
      </c>
      <c r="F30" s="18">
        <f>Auswertung!I$10</f>
        <v>1.8065193372479582</v>
      </c>
      <c r="G30" s="18">
        <f>-LN(Kalibrierung!J$18)</f>
        <v>1.912371104160735</v>
      </c>
      <c r="H30" s="17">
        <v>0.60070000000000001</v>
      </c>
    </row>
    <row r="31" spans="1:8" x14ac:dyDescent="0.25">
      <c r="A31" s="17" t="str">
        <f>Auswertung!B$11</f>
        <v>TP_27Hz-160kV_6p2mA-5ms-1mmFOC_551</v>
      </c>
      <c r="B31" s="18">
        <f>E31/($D$23*Kalibrierung!J$30)</f>
        <v>0.5601265385239258</v>
      </c>
      <c r="C31" s="18">
        <f>F31/($D$23*Kalibrierung!J$30)</f>
        <v>0.60282174355540152</v>
      </c>
      <c r="D31" s="19">
        <f t="shared" si="6"/>
        <v>7.6224213807094987E-2</v>
      </c>
      <c r="E31" s="18">
        <f>Auswertung!N$11</f>
        <v>1.6700679532620533</v>
      </c>
      <c r="F31" s="18">
        <f>Auswertung!I$11</f>
        <v>1.7973675700038776</v>
      </c>
      <c r="G31" s="18">
        <f>-LN(Kalibrierung!J$18)</f>
        <v>1.912371104160735</v>
      </c>
      <c r="H31" s="17">
        <v>0.60070000000000001</v>
      </c>
    </row>
    <row r="32" spans="1:8" x14ac:dyDescent="0.25">
      <c r="A32" s="17" t="str">
        <f>Auswertung!B$12</f>
        <v>TP_27Hz-160kV_6p2mA-5ms-1mmFOC_552</v>
      </c>
      <c r="B32" s="18">
        <f>E32/($D$23*Kalibrierung!J$30)</f>
        <v>0.55834435700333895</v>
      </c>
      <c r="C32" s="18">
        <f>F32/($D$23*Kalibrierung!J$30)</f>
        <v>0.60432659200178629</v>
      </c>
      <c r="D32" s="19">
        <f t="shared" si="6"/>
        <v>8.2354615788070573E-2</v>
      </c>
      <c r="E32" s="18">
        <f>Auswertung!N$12</f>
        <v>1.6647542178117183</v>
      </c>
      <c r="F32" s="18">
        <f>Auswertung!I$12</f>
        <v>1.8018544118011726</v>
      </c>
      <c r="G32" s="18">
        <f>-LN(Kalibrierung!J$18)</f>
        <v>1.912371104160735</v>
      </c>
      <c r="H32" s="17">
        <v>0.60070000000000001</v>
      </c>
    </row>
    <row r="33" spans="1:8" x14ac:dyDescent="0.25">
      <c r="A33" s="17" t="str">
        <f>Auswertung!B$13</f>
        <v>TP_27Hz-160kV_6p2mA-5ms-1mmFOC_553</v>
      </c>
      <c r="B33" s="18">
        <f>E33/($D$23*Kalibrierung!J$30)</f>
        <v>0.5605420572892158</v>
      </c>
      <c r="C33" s="18">
        <f>F33/($D$23*Kalibrierung!J$30)</f>
        <v>0.6023248551995255</v>
      </c>
      <c r="D33" s="19">
        <f t="shared" si="6"/>
        <v>7.453998744067758E-2</v>
      </c>
      <c r="E33" s="18">
        <f>Auswertung!N$13</f>
        <v>1.671306860055719</v>
      </c>
      <c r="F33" s="18">
        <f>Auswertung!I$13</f>
        <v>1.7958860524137907</v>
      </c>
      <c r="G33" s="18">
        <f>-LN(Kalibrierung!J$18)</f>
        <v>1.912371104160735</v>
      </c>
      <c r="H33" s="17">
        <v>0.60070000000000001</v>
      </c>
    </row>
    <row r="34" spans="1:8" x14ac:dyDescent="0.25">
      <c r="A34" s="17"/>
      <c r="B34" s="18"/>
      <c r="C34" s="18"/>
      <c r="D34" s="19"/>
      <c r="E34" s="17"/>
      <c r="F34" s="17"/>
      <c r="G34" s="17"/>
      <c r="H34" s="17"/>
    </row>
    <row r="35" spans="1:8" x14ac:dyDescent="0.25">
      <c r="A35" s="20" t="s">
        <v>78</v>
      </c>
      <c r="B35" s="20" t="s">
        <v>76</v>
      </c>
      <c r="C35" s="20" t="s">
        <v>80</v>
      </c>
      <c r="D35" s="20" t="s">
        <v>19</v>
      </c>
      <c r="E35" s="20" t="s">
        <v>82</v>
      </c>
      <c r="F35" s="20" t="s">
        <v>81</v>
      </c>
      <c r="G35" s="20" t="s">
        <v>79</v>
      </c>
      <c r="H35" s="20" t="s">
        <v>13</v>
      </c>
    </row>
    <row r="36" spans="1:8" x14ac:dyDescent="0.25">
      <c r="A36" s="17" t="str">
        <f>Auswertung!B$43</f>
        <v>TP-18Hz-160kV-6p2mA-5ms-1mmFOC-28msPhaseShift_1093.</v>
      </c>
      <c r="B36" s="18">
        <f>E36/($D$23*Kalibrierung!J$30)</f>
        <v>0.57250652123157442</v>
      </c>
      <c r="C36" s="18">
        <f>F36/($D$23*Kalibrierung!J$30)</f>
        <v>0.61072942044745138</v>
      </c>
      <c r="D36" s="19">
        <f t="shared" ref="D36:D39" si="7">C36/B36-1</f>
        <v>6.6764128963373137E-2</v>
      </c>
      <c r="E36" s="18">
        <f>Auswertung!N$43</f>
        <v>1.7069799918104627</v>
      </c>
      <c r="F36" s="18">
        <f>Auswertung!H$43</f>
        <v>1.8209450241215941</v>
      </c>
      <c r="G36" s="18">
        <f>-LN(Kalibrierung!$J$18)</f>
        <v>1.912371104160735</v>
      </c>
      <c r="H36" s="17">
        <v>0.60070000000000001</v>
      </c>
    </row>
    <row r="37" spans="1:8" x14ac:dyDescent="0.25">
      <c r="A37" s="17" t="str">
        <f>Auswertung!B$44</f>
        <v>TP-18Hz-160kV-6p2mA-5ms-1mmFOC-28msPhaseShift_1100.</v>
      </c>
      <c r="B37" s="18">
        <f>E37/($D$23*Kalibrierung!J$30)</f>
        <v>0.57547051953875761</v>
      </c>
      <c r="C37" s="18">
        <f>F37/($D$23*Kalibrierung!J$30)</f>
        <v>0.60719142178182339</v>
      </c>
      <c r="D37" s="19">
        <f t="shared" si="7"/>
        <v>5.5121680722220567E-2</v>
      </c>
      <c r="E37" s="18">
        <f>Auswertung!N$44</f>
        <v>1.7158174209374495</v>
      </c>
      <c r="F37" s="18">
        <f>Auswertung!H$44</f>
        <v>1.8103961609919874</v>
      </c>
      <c r="G37" s="18">
        <f>-LN(Kalibrierung!$J$18)</f>
        <v>1.912371104160735</v>
      </c>
      <c r="H37" s="17">
        <v>0.60070000000000001</v>
      </c>
    </row>
    <row r="38" spans="1:8" x14ac:dyDescent="0.25">
      <c r="A38" s="17" t="str">
        <f>Auswertung!B$45</f>
        <v>TP-25Hz-160kV-6p2mA-5ms-1mmFOC-20msPhaseShift_250.</v>
      </c>
      <c r="B38" s="18">
        <f>E38/($D$23*Kalibrierung!J$30)</f>
        <v>0.56689558430303777</v>
      </c>
      <c r="C38" s="18">
        <f>F38/($D$23*Kalibrierung!J$30)</f>
        <v>0.59943265705324267</v>
      </c>
      <c r="D38" s="19">
        <f t="shared" si="7"/>
        <v>5.7395177614952164E-2</v>
      </c>
      <c r="E38" s="18">
        <f>Auswertung!N$45</f>
        <v>1.6902504756964474</v>
      </c>
      <c r="F38" s="18">
        <f>Auswertung!H$45</f>
        <v>1.7872627019628022</v>
      </c>
      <c r="G38" s="18">
        <f>-LN(Kalibrierung!$J$18)</f>
        <v>1.912371104160735</v>
      </c>
      <c r="H38" s="17">
        <v>0.60070000000000001</v>
      </c>
    </row>
    <row r="39" spans="1:8" x14ac:dyDescent="0.25">
      <c r="A39" s="17" t="str">
        <f>Auswertung!B$46</f>
        <v>TP-25Hz-160kV-6p2mA-5ms-1mmFOC-20msPhaseShift_400.</v>
      </c>
      <c r="B39" s="18">
        <f>E39/($D$23*Kalibrierung!J$30)</f>
        <v>0.55135005341765309</v>
      </c>
      <c r="C39" s="18">
        <f>F39/($D$23*Kalibrierung!J$30)</f>
        <v>0.60457477394627845</v>
      </c>
      <c r="D39" s="19">
        <f t="shared" si="7"/>
        <v>9.653525958454412E-2</v>
      </c>
      <c r="E39" s="18">
        <f>Auswertung!N$46</f>
        <v>1.6439000688463399</v>
      </c>
      <c r="F39" s="18">
        <f>Auswertung!H$46</f>
        <v>1.802594388723471</v>
      </c>
      <c r="G39" s="18">
        <f>-LN(Kalibrierung!$J$18)</f>
        <v>1.912371104160735</v>
      </c>
      <c r="H39" s="17">
        <v>0.60070000000000001</v>
      </c>
    </row>
    <row r="42" spans="1:8" x14ac:dyDescent="0.25">
      <c r="A42" t="s">
        <v>107</v>
      </c>
      <c r="D42">
        <v>5</v>
      </c>
      <c r="E42" t="s">
        <v>104</v>
      </c>
    </row>
    <row r="44" spans="1:8" x14ac:dyDescent="0.25">
      <c r="A44" s="20" t="s">
        <v>78</v>
      </c>
      <c r="B44" s="20" t="s">
        <v>76</v>
      </c>
      <c r="C44" s="20" t="s">
        <v>80</v>
      </c>
      <c r="D44" s="20" t="s">
        <v>19</v>
      </c>
      <c r="E44" s="20" t="s">
        <v>82</v>
      </c>
      <c r="F44" s="20" t="s">
        <v>81</v>
      </c>
      <c r="G44" s="20" t="s">
        <v>79</v>
      </c>
      <c r="H44" s="20" t="s">
        <v>13</v>
      </c>
    </row>
    <row r="45" spans="1:8" x14ac:dyDescent="0.25">
      <c r="A45" s="17" t="str">
        <f>Auswertung!B$6</f>
        <v>TP_27Hz-160kV_6p2mA-5ms-1mmFOC_471</v>
      </c>
      <c r="B45" s="18">
        <f>E45/($D$23*Kalibrierung!M$18)</f>
        <v>0.53415974188406568</v>
      </c>
      <c r="C45" s="18">
        <f>F45/($D$23*Kalibrierung!M$18)</f>
        <v>0.5664530324093805</v>
      </c>
      <c r="D45" s="19">
        <f>C45/B45-1</f>
        <v>6.0456241818994672E-2</v>
      </c>
      <c r="E45" s="18">
        <f>Auswertung!N$6</f>
        <v>1.7005354675962112</v>
      </c>
      <c r="F45" s="18">
        <f>Auswertung!I$6</f>
        <v>1.8033434510469848</v>
      </c>
      <c r="G45" s="18">
        <f>-LN(Kalibrierung!J$18)</f>
        <v>1.912371104160735</v>
      </c>
      <c r="H45" s="17">
        <v>0.60070000000000001</v>
      </c>
    </row>
    <row r="46" spans="1:8" x14ac:dyDescent="0.25">
      <c r="A46" s="17" t="str">
        <f>Auswertung!B$7</f>
        <v>TP_27Hz-160kV_6p2mA-5ms-1mmFOC_472</v>
      </c>
      <c r="B46" s="18">
        <f>E46/($D$23*Kalibrierung!M$18)</f>
        <v>0.53181060930316404</v>
      </c>
      <c r="C46" s="18">
        <f>F46/($D$23*Kalibrierung!M$18)</f>
        <v>0.56583568026490616</v>
      </c>
      <c r="D46" s="19">
        <f t="shared" ref="D46:D52" si="8">C46/B46-1</f>
        <v>6.3979676912285566E-2</v>
      </c>
      <c r="E46" s="18">
        <f>Auswertung!N$7</f>
        <v>1.6930568372190531</v>
      </c>
      <c r="F46" s="18">
        <f>Auswertung!I$7</f>
        <v>1.801378066658464</v>
      </c>
      <c r="G46" s="18">
        <f>-LN(Kalibrierung!J$18)</f>
        <v>1.912371104160735</v>
      </c>
      <c r="H46" s="17">
        <v>0.60070000000000001</v>
      </c>
    </row>
    <row r="47" spans="1:8" x14ac:dyDescent="0.25">
      <c r="A47" s="17" t="str">
        <f>Auswertung!B$8</f>
        <v>TP_27Hz-160kV_6p2mA-5ms-1mmFOC_473</v>
      </c>
      <c r="B47" s="18">
        <f>E47/($D$23*Kalibrierung!M$18)</f>
        <v>0.5298174208815748</v>
      </c>
      <c r="C47" s="18">
        <f>F47/($D$23*Kalibrierung!M$18)</f>
        <v>0.5645773120004649</v>
      </c>
      <c r="D47" s="19">
        <f t="shared" si="8"/>
        <v>6.5607301211523694E-2</v>
      </c>
      <c r="E47" s="18">
        <f>Auswertung!N$8</f>
        <v>1.6867113803477447</v>
      </c>
      <c r="F47" s="18">
        <f>Auswertung!I$8</f>
        <v>1.7973719619351238</v>
      </c>
      <c r="G47" s="18">
        <f>-LN(Kalibrierung!J$18)</f>
        <v>1.912371104160735</v>
      </c>
      <c r="H47" s="17">
        <v>0.60070000000000001</v>
      </c>
    </row>
    <row r="48" spans="1:8" x14ac:dyDescent="0.25">
      <c r="A48" s="17" t="str">
        <f>Auswertung!B$9</f>
        <v>TP_27Hz-160kV_6p2mA-5ms-1mmFOC_474</v>
      </c>
      <c r="B48" s="18">
        <f>E48/($D$23*Kalibrierung!M$18)</f>
        <v>0.52669388072538648</v>
      </c>
      <c r="C48" s="18">
        <f>F48/($D$23*Kalibrierung!M$18)</f>
        <v>0.56635874210846771</v>
      </c>
      <c r="D48" s="19">
        <f t="shared" si="8"/>
        <v>7.5309136549019717E-2</v>
      </c>
      <c r="E48" s="18">
        <f>Auswertung!N$9</f>
        <v>1.676767368465973</v>
      </c>
      <c r="F48" s="18">
        <f>Auswertung!I$9</f>
        <v>1.8030432711787172</v>
      </c>
      <c r="G48" s="18">
        <f>-LN(Kalibrierung!J$18)</f>
        <v>1.912371104160735</v>
      </c>
      <c r="H48" s="17">
        <v>0.60070000000000001</v>
      </c>
    </row>
    <row r="49" spans="1:8" x14ac:dyDescent="0.25">
      <c r="A49" s="17" t="str">
        <f>Auswertung!B$10</f>
        <v>TP_27Hz-160kV_6p2mA-5ms-1mmFOC_550</v>
      </c>
      <c r="B49" s="18">
        <f>E49/($D$23*Kalibrierung!M$18)</f>
        <v>0.52128236512120907</v>
      </c>
      <c r="C49" s="18">
        <f>F49/($D$23*Kalibrierung!M$18)</f>
        <v>0.56745061851428147</v>
      </c>
      <c r="D49" s="19">
        <f t="shared" si="8"/>
        <v>8.8566689537516341E-2</v>
      </c>
      <c r="E49" s="18">
        <f>Auswertung!N$10</f>
        <v>1.6595394242822807</v>
      </c>
      <c r="F49" s="18">
        <f>Auswertung!I$10</f>
        <v>1.8065193372479582</v>
      </c>
      <c r="G49" s="18">
        <f>-LN(Kalibrierung!J$18)</f>
        <v>1.912371104160735</v>
      </c>
      <c r="H49" s="17">
        <v>0.60070000000000001</v>
      </c>
    </row>
    <row r="50" spans="1:8" x14ac:dyDescent="0.25">
      <c r="A50" s="17" t="str">
        <f>Auswertung!B$11</f>
        <v>TP_27Hz-160kV_6p2mA-5ms-1mmFOC_551</v>
      </c>
      <c r="B50" s="18">
        <f>E50/($D$23*Kalibrierung!M$18)</f>
        <v>0.52458950950567984</v>
      </c>
      <c r="C50" s="18">
        <f>F50/($D$23*Kalibrierung!M$18)</f>
        <v>0.5645759324391999</v>
      </c>
      <c r="D50" s="19">
        <f t="shared" si="8"/>
        <v>7.6224213807094987E-2</v>
      </c>
      <c r="E50" s="18">
        <f>Auswertung!N$11</f>
        <v>1.6700679532620533</v>
      </c>
      <c r="F50" s="18">
        <f>Auswertung!I$11</f>
        <v>1.7973675700038776</v>
      </c>
      <c r="G50" s="18">
        <f>-LN(Kalibrierung!J$18)</f>
        <v>1.912371104160735</v>
      </c>
      <c r="H50" s="17">
        <v>0.60070000000000001</v>
      </c>
    </row>
    <row r="51" spans="1:8" x14ac:dyDescent="0.25">
      <c r="A51" s="17" t="str">
        <f>Auswertung!B$12</f>
        <v>TP_27Hz-160kV_6p2mA-5ms-1mmFOC_552</v>
      </c>
      <c r="B51" s="18">
        <f>E51/($D$23*Kalibrierung!M$18)</f>
        <v>0.52292039785780375</v>
      </c>
      <c r="C51" s="18">
        <f>F51/($D$23*Kalibrierung!M$18)</f>
        <v>0.56598530631112831</v>
      </c>
      <c r="D51" s="19">
        <f t="shared" si="8"/>
        <v>8.2354615788070795E-2</v>
      </c>
      <c r="E51" s="18">
        <f>Auswertung!N$12</f>
        <v>1.6647542178117183</v>
      </c>
      <c r="F51" s="18">
        <f>Auswertung!I$12</f>
        <v>1.8018544118011726</v>
      </c>
      <c r="G51" s="18">
        <f>-LN(Kalibrierung!J$18)</f>
        <v>1.912371104160735</v>
      </c>
      <c r="H51" s="17">
        <v>0.60070000000000001</v>
      </c>
    </row>
    <row r="52" spans="1:8" x14ac:dyDescent="0.25">
      <c r="A52" s="17" t="str">
        <f>Auswertung!B$13</f>
        <v>TP_27Hz-160kV_6p2mA-5ms-1mmFOC_553</v>
      </c>
      <c r="B52" s="18">
        <f>E52/($D$23*Kalibrierung!M$18)</f>
        <v>0.52497866583069219</v>
      </c>
      <c r="C52" s="18">
        <f>F52/($D$23*Kalibrierung!M$18)</f>
        <v>0.56411056898833567</v>
      </c>
      <c r="D52" s="19">
        <f t="shared" si="8"/>
        <v>7.453998744067758E-2</v>
      </c>
      <c r="E52" s="18">
        <f>Auswertung!N$13</f>
        <v>1.671306860055719</v>
      </c>
      <c r="F52" s="18">
        <f>Auswertung!I$13</f>
        <v>1.7958860524137907</v>
      </c>
      <c r="G52" s="18">
        <f>-LN(Kalibrierung!J$18)</f>
        <v>1.912371104160735</v>
      </c>
      <c r="H52" s="17">
        <v>0.60070000000000001</v>
      </c>
    </row>
    <row r="53" spans="1:8" x14ac:dyDescent="0.25">
      <c r="A53" s="17"/>
      <c r="B53" s="18"/>
      <c r="C53" s="18"/>
      <c r="D53" s="19"/>
      <c r="E53" s="17"/>
      <c r="F53" s="17"/>
      <c r="G53" s="17"/>
      <c r="H53" s="17"/>
    </row>
    <row r="54" spans="1:8" x14ac:dyDescent="0.25">
      <c r="A54" s="20" t="s">
        <v>78</v>
      </c>
      <c r="B54" s="20" t="s">
        <v>76</v>
      </c>
      <c r="C54" s="20" t="s">
        <v>80</v>
      </c>
      <c r="D54" s="20" t="s">
        <v>19</v>
      </c>
      <c r="E54" s="20" t="s">
        <v>82</v>
      </c>
      <c r="F54" s="20" t="s">
        <v>81</v>
      </c>
      <c r="G54" s="20" t="s">
        <v>79</v>
      </c>
      <c r="H54" s="20" t="s">
        <v>13</v>
      </c>
    </row>
    <row r="55" spans="1:8" x14ac:dyDescent="0.25">
      <c r="A55" s="17" t="str">
        <f>Auswertung!B$43</f>
        <v>TP-18Hz-160kV-6p2mA-5ms-1mmFOC-28msPhaseShift_1093.</v>
      </c>
      <c r="B55" s="18">
        <f>E55/($D$23*Kalibrierung!M$18)</f>
        <v>0.53618404861359026</v>
      </c>
      <c r="C55" s="18">
        <f>F55/($D$23*Kalibrierung!M$18)</f>
        <v>0.5719819095833315</v>
      </c>
      <c r="D55" s="19">
        <f t="shared" ref="D55:D58" si="9">C55/B55-1</f>
        <v>6.6764128963373137E-2</v>
      </c>
      <c r="E55" s="18">
        <f>Auswertung!N$43</f>
        <v>1.7069799918104627</v>
      </c>
      <c r="F55" s="18">
        <f>Auswertung!H$43</f>
        <v>1.8209450241215941</v>
      </c>
      <c r="G55" s="18">
        <f>-LN(Kalibrierung!$J$18)</f>
        <v>1.912371104160735</v>
      </c>
      <c r="H55" s="17">
        <v>0.60070000000000001</v>
      </c>
    </row>
    <row r="56" spans="1:8" x14ac:dyDescent="0.25">
      <c r="A56" s="17" t="str">
        <f>Auswertung!B$44</f>
        <v>TP-18Hz-160kV-6p2mA-5ms-1mmFOC-28msPhaseShift_1100.</v>
      </c>
      <c r="B56" s="18">
        <f>E56/($D$23*Kalibrierung!M$18)</f>
        <v>0.53895999710236997</v>
      </c>
      <c r="C56" s="18">
        <f>F56/($D$23*Kalibrierung!M$18)</f>
        <v>0.56866837798469572</v>
      </c>
      <c r="D56" s="19">
        <f t="shared" si="9"/>
        <v>5.5121680722220567E-2</v>
      </c>
      <c r="E56" s="18">
        <f>Auswertung!N$44</f>
        <v>1.7158174209374495</v>
      </c>
      <c r="F56" s="18">
        <f>Auswertung!H$44</f>
        <v>1.8103961609919874</v>
      </c>
      <c r="G56" s="18">
        <f>-LN(Kalibrierung!$J$18)</f>
        <v>1.912371104160735</v>
      </c>
      <c r="H56" s="17">
        <v>0.60070000000000001</v>
      </c>
    </row>
    <row r="57" spans="1:8" x14ac:dyDescent="0.25">
      <c r="A57" s="17" t="str">
        <f>Auswertung!B$45</f>
        <v>TP-25Hz-160kV-6p2mA-5ms-1mmFOC-20msPhaseShift_250.</v>
      </c>
      <c r="B57" s="18">
        <f>E57/($D$23*Kalibrierung!M$18)</f>
        <v>0.53092909558286072</v>
      </c>
      <c r="C57" s="18">
        <f>F57/($D$23*Kalibrierung!M$18)</f>
        <v>0.56140186532478487</v>
      </c>
      <c r="D57" s="19">
        <f t="shared" si="9"/>
        <v>5.7395177614951942E-2</v>
      </c>
      <c r="E57" s="18">
        <f>Auswertung!N$45</f>
        <v>1.6902504756964474</v>
      </c>
      <c r="F57" s="18">
        <f>Auswertung!H$45</f>
        <v>1.7872627019628022</v>
      </c>
      <c r="G57" s="18">
        <f>-LN(Kalibrierung!$J$18)</f>
        <v>1.912371104160735</v>
      </c>
      <c r="H57" s="17">
        <v>0.60070000000000001</v>
      </c>
    </row>
    <row r="58" spans="1:8" x14ac:dyDescent="0.25">
      <c r="A58" s="17" t="str">
        <f>Auswertung!B$46</f>
        <v>TP-25Hz-160kV-6p2mA-5ms-1mmFOC-20msPhaseShift_400.</v>
      </c>
      <c r="B58" s="18">
        <f>E58/($D$23*Kalibrierung!M$18)</f>
        <v>0.51636984537547037</v>
      </c>
      <c r="C58" s="18">
        <f>F58/($D$23*Kalibrierung!M$18)</f>
        <v>0.56621774244042222</v>
      </c>
      <c r="D58" s="19">
        <f t="shared" si="9"/>
        <v>9.6535259584543898E-2</v>
      </c>
      <c r="E58" s="18">
        <f>Auswertung!N$46</f>
        <v>1.6439000688463399</v>
      </c>
      <c r="F58" s="18">
        <f>Auswertung!H$46</f>
        <v>1.802594388723471</v>
      </c>
      <c r="G58" s="18">
        <f>-LN(Kalibrierung!$J$18)</f>
        <v>1.912371104160735</v>
      </c>
      <c r="H58" s="17">
        <v>0.60070000000000001</v>
      </c>
    </row>
  </sheetData>
  <pageMargins left="0.7" right="0.7" top="0.78740157499999996" bottom="0.78740157499999996" header="0.3" footer="0.3"/>
  <pageSetup paperSize="9" scale="7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3"/>
  <sheetViews>
    <sheetView workbookViewId="0">
      <selection activeCell="J6" sqref="J6"/>
    </sheetView>
  </sheetViews>
  <sheetFormatPr baseColWidth="10" defaultRowHeight="15" x14ac:dyDescent="0.25"/>
  <cols>
    <col min="3" max="3" width="40.140625" customWidth="1"/>
    <col min="4" max="4" width="15.140625" customWidth="1"/>
  </cols>
  <sheetData>
    <row r="1" spans="2:16" x14ac:dyDescent="0.25">
      <c r="D1" s="4" t="s">
        <v>32</v>
      </c>
      <c r="E1" s="4">
        <v>0.6</v>
      </c>
      <c r="F1" s="4">
        <v>4.2</v>
      </c>
      <c r="G1" s="4"/>
      <c r="H1" s="4"/>
      <c r="I1" s="4" t="s">
        <v>30</v>
      </c>
      <c r="K1">
        <v>5</v>
      </c>
      <c r="P1" t="s">
        <v>28</v>
      </c>
    </row>
    <row r="2" spans="2:16" x14ac:dyDescent="0.25">
      <c r="D2" s="4"/>
      <c r="E2" s="4"/>
      <c r="F2" s="4"/>
      <c r="G2" s="4"/>
      <c r="H2" s="4"/>
      <c r="I2" s="4"/>
      <c r="P2" s="10">
        <f>SUM(P6:P13)/8</f>
        <v>-6.5756549529083275E-2</v>
      </c>
    </row>
    <row r="3" spans="2:16" x14ac:dyDescent="0.25">
      <c r="C3" t="s">
        <v>27</v>
      </c>
      <c r="D3" s="52" t="s">
        <v>17</v>
      </c>
      <c r="E3" s="52"/>
      <c r="F3" s="52"/>
      <c r="G3" s="52"/>
      <c r="H3" s="52"/>
      <c r="I3" s="52"/>
      <c r="J3" s="52"/>
      <c r="K3" s="53" t="s">
        <v>18</v>
      </c>
      <c r="L3" s="53"/>
      <c r="M3" s="53"/>
      <c r="N3" s="53"/>
      <c r="O3" s="53"/>
      <c r="P3" s="53"/>
    </row>
    <row r="4" spans="2:16" x14ac:dyDescent="0.25">
      <c r="D4" s="4"/>
      <c r="E4" s="4"/>
      <c r="F4" s="4"/>
      <c r="G4" s="4"/>
      <c r="J4" t="s">
        <v>70</v>
      </c>
    </row>
    <row r="5" spans="2:16" x14ac:dyDescent="0.25">
      <c r="B5" t="s">
        <v>8</v>
      </c>
      <c r="C5" t="s">
        <v>0</v>
      </c>
      <c r="D5" s="6" t="s">
        <v>1</v>
      </c>
      <c r="E5" s="6" t="s">
        <v>5</v>
      </c>
      <c r="F5" s="6" t="s">
        <v>2</v>
      </c>
      <c r="G5" s="6" t="s">
        <v>5</v>
      </c>
      <c r="H5" s="7" t="s">
        <v>3</v>
      </c>
      <c r="I5" s="8" t="s">
        <v>6</v>
      </c>
      <c r="J5" s="7" t="s">
        <v>16</v>
      </c>
      <c r="K5" s="6" t="s">
        <v>1</v>
      </c>
      <c r="L5" s="6" t="s">
        <v>5</v>
      </c>
      <c r="M5" s="7" t="s">
        <v>3</v>
      </c>
      <c r="N5" s="8" t="s">
        <v>6</v>
      </c>
      <c r="O5" s="7" t="s">
        <v>29</v>
      </c>
      <c r="P5" s="7" t="s">
        <v>19</v>
      </c>
    </row>
    <row r="6" spans="2:16" x14ac:dyDescent="0.25">
      <c r="B6" t="s">
        <v>7</v>
      </c>
      <c r="C6" t="s">
        <v>4</v>
      </c>
      <c r="D6" s="11">
        <v>3805</v>
      </c>
      <c r="E6" s="11">
        <v>69.48</v>
      </c>
      <c r="F6" s="11">
        <v>28051</v>
      </c>
      <c r="G6" s="11">
        <v>139.5</v>
      </c>
      <c r="H6" s="9">
        <f t="shared" ref="H6:H13" si="0">D6/F6</f>
        <v>0.13564578802894728</v>
      </c>
      <c r="I6" s="9">
        <f>-LN(H6)</f>
        <v>1.9977082906434738</v>
      </c>
      <c r="J6" s="3">
        <f>I6/$K$1/Kalibirierung_alt!$M$10</f>
        <v>0.62750551730517712</v>
      </c>
      <c r="K6">
        <v>4217</v>
      </c>
      <c r="M6" s="3">
        <f t="shared" ref="M6:M13" si="1">K6/F6</f>
        <v>0.15033332145021569</v>
      </c>
      <c r="N6" s="9">
        <f>-LN(M6)</f>
        <v>1.8949003071927</v>
      </c>
      <c r="O6" s="3">
        <f>N6/$K$1/Kalibirierung_alt!$M$10</f>
        <v>0.59521222546645725</v>
      </c>
      <c r="P6" s="10">
        <f t="shared" ref="P6:P13" si="2">1-J6/O6</f>
        <v>-5.425508828117942E-2</v>
      </c>
    </row>
    <row r="7" spans="2:16" x14ac:dyDescent="0.25">
      <c r="C7" t="s">
        <v>23</v>
      </c>
      <c r="D7" s="11">
        <v>3811</v>
      </c>
      <c r="E7" s="11">
        <v>72</v>
      </c>
      <c r="F7" s="11">
        <v>28039</v>
      </c>
      <c r="G7" s="11">
        <v>134</v>
      </c>
      <c r="H7" s="9">
        <f t="shared" si="0"/>
        <v>0.13591782873854275</v>
      </c>
      <c r="I7" s="9">
        <f t="shared" ref="I7:I13" si="3">-LN(H7)</f>
        <v>1.9957047763006257</v>
      </c>
      <c r="J7" s="3">
        <f>I7/$K$1/Kalibirierung_alt!$M$10</f>
        <v>0.6268761880332181</v>
      </c>
      <c r="K7">
        <v>4247</v>
      </c>
      <c r="M7" s="3">
        <f t="shared" si="1"/>
        <v>0.1514675987018082</v>
      </c>
      <c r="N7" s="9">
        <f t="shared" ref="N7:N13" si="4">-LN(M7)</f>
        <v>1.8873835468612148</v>
      </c>
      <c r="O7" s="3">
        <f>N7/$K$1/Kalibirierung_alt!$M$10</f>
        <v>0.59285111568763749</v>
      </c>
      <c r="P7" s="10">
        <f t="shared" si="2"/>
        <v>-5.7392271761377289E-2</v>
      </c>
    </row>
    <row r="8" spans="2:16" x14ac:dyDescent="0.25">
      <c r="C8" t="s">
        <v>24</v>
      </c>
      <c r="D8" s="11">
        <v>3820</v>
      </c>
      <c r="E8" s="11">
        <v>75</v>
      </c>
      <c r="F8" s="11">
        <v>27997</v>
      </c>
      <c r="G8" s="11">
        <v>130</v>
      </c>
      <c r="H8" s="9">
        <f t="shared" si="0"/>
        <v>0.13644319034182234</v>
      </c>
      <c r="I8" s="9">
        <f t="shared" si="3"/>
        <v>1.9918469389593714</v>
      </c>
      <c r="J8" s="3">
        <f>I8/$K$1/Kalibirierung_alt!$M$10</f>
        <v>0.62566439238325189</v>
      </c>
      <c r="K8">
        <v>4267</v>
      </c>
      <c r="M8" s="3">
        <f t="shared" si="1"/>
        <v>0.15240918669857484</v>
      </c>
      <c r="N8" s="9">
        <f t="shared" si="4"/>
        <v>1.8811863573719922</v>
      </c>
      <c r="O8" s="3">
        <f>N8/$K$1/Kalibirierung_alt!$M$10</f>
        <v>0.59090449985063742</v>
      </c>
      <c r="P8" s="10">
        <f t="shared" si="2"/>
        <v>-5.8824890555750908E-2</v>
      </c>
    </row>
    <row r="9" spans="2:16" x14ac:dyDescent="0.25">
      <c r="C9" t="s">
        <v>20</v>
      </c>
      <c r="D9" s="11">
        <v>3804</v>
      </c>
      <c r="E9" s="11">
        <v>69.024500000000003</v>
      </c>
      <c r="F9" s="11">
        <v>28041</v>
      </c>
      <c r="G9" s="11">
        <v>133.97999999999999</v>
      </c>
      <c r="H9" s="9">
        <f t="shared" si="0"/>
        <v>0.13565850005349309</v>
      </c>
      <c r="I9" s="9">
        <f t="shared" si="3"/>
        <v>1.9976145801854124</v>
      </c>
      <c r="J9" s="3">
        <f>I9/$K$1/Kalibirierung_alt!$M$10</f>
        <v>0.62747608166147562</v>
      </c>
      <c r="K9">
        <v>4316</v>
      </c>
      <c r="M9" s="3">
        <f t="shared" si="1"/>
        <v>0.15391747797867408</v>
      </c>
      <c r="N9" s="9">
        <f t="shared" si="4"/>
        <v>1.8713386774726679</v>
      </c>
      <c r="O9" s="3">
        <f>N9/$K$1/Kalibirierung_alt!$M$10</f>
        <v>0.58781121866517927</v>
      </c>
      <c r="P9" s="10">
        <f t="shared" si="2"/>
        <v>-6.7478914550778146E-2</v>
      </c>
    </row>
    <row r="10" spans="2:16" x14ac:dyDescent="0.25">
      <c r="C10" t="s">
        <v>21</v>
      </c>
      <c r="D10" s="11">
        <v>3790.8</v>
      </c>
      <c r="E10" s="11">
        <v>63.63</v>
      </c>
      <c r="F10" s="11">
        <v>28037</v>
      </c>
      <c r="G10" s="11">
        <v>136</v>
      </c>
      <c r="H10" s="9">
        <f t="shared" si="0"/>
        <v>0.13520704782965368</v>
      </c>
      <c r="I10" s="9">
        <f t="shared" si="3"/>
        <v>2.0009479878143814</v>
      </c>
      <c r="J10" s="3">
        <f>I10/$K$1/Kalibirierung_alt!$M$10</f>
        <v>0.62852314728582248</v>
      </c>
      <c r="K10">
        <v>4391</v>
      </c>
      <c r="M10" s="3">
        <f t="shared" si="1"/>
        <v>0.15661447373114099</v>
      </c>
      <c r="N10" s="9">
        <f t="shared" si="4"/>
        <v>1.8539680748487037</v>
      </c>
      <c r="O10" s="3">
        <f>N10/$K$1/Kalibirierung_alt!$M$10</f>
        <v>0.58235489201503432</v>
      </c>
      <c r="P10" s="10">
        <f t="shared" si="2"/>
        <v>-7.9278556604958084E-2</v>
      </c>
    </row>
    <row r="11" spans="2:16" x14ac:dyDescent="0.25">
      <c r="C11" t="s">
        <v>22</v>
      </c>
      <c r="D11" s="11">
        <v>3823</v>
      </c>
      <c r="E11" s="11">
        <v>67</v>
      </c>
      <c r="F11" s="11">
        <v>28013</v>
      </c>
      <c r="G11" s="11">
        <v>142</v>
      </c>
      <c r="H11" s="9">
        <f t="shared" si="0"/>
        <v>0.13647235212222897</v>
      </c>
      <c r="I11" s="9">
        <f t="shared" si="3"/>
        <v>1.9916332334279507</v>
      </c>
      <c r="J11" s="3">
        <f>I11/$K$1/Kalibirierung_alt!$M$10</f>
        <v>0.62559726476473365</v>
      </c>
      <c r="K11">
        <v>4342</v>
      </c>
      <c r="M11" s="3">
        <f t="shared" si="1"/>
        <v>0.15499946453432334</v>
      </c>
      <c r="N11" s="9">
        <f t="shared" si="4"/>
        <v>1.8643336166861264</v>
      </c>
      <c r="O11" s="3">
        <f>N11/$K$1/Kalibirierung_alt!$M$10</f>
        <v>0.58561084020492005</v>
      </c>
      <c r="P11" s="10">
        <f t="shared" si="2"/>
        <v>-6.8281564845728226E-2</v>
      </c>
    </row>
    <row r="12" spans="2:16" x14ac:dyDescent="0.25">
      <c r="C12" t="s">
        <v>25</v>
      </c>
      <c r="D12" s="11">
        <v>3811</v>
      </c>
      <c r="E12" s="11">
        <v>65</v>
      </c>
      <c r="F12" s="11">
        <v>28039</v>
      </c>
      <c r="G12" s="11">
        <v>134</v>
      </c>
      <c r="H12" s="9">
        <f t="shared" si="0"/>
        <v>0.13591782873854275</v>
      </c>
      <c r="I12" s="9">
        <f t="shared" si="3"/>
        <v>1.9957047763006257</v>
      </c>
      <c r="J12" s="3">
        <f>I12/$K$1/Kalibirierung_alt!$M$10</f>
        <v>0.6268761880332181</v>
      </c>
      <c r="K12">
        <v>4371</v>
      </c>
      <c r="M12" s="3">
        <f t="shared" si="1"/>
        <v>0.15589001034273689</v>
      </c>
      <c r="N12" s="9">
        <f t="shared" si="4"/>
        <v>1.8586045823111716</v>
      </c>
      <c r="O12" s="3">
        <f>N12/$K$1/Kalibirierung_alt!$M$10</f>
        <v>0.58381127782839459</v>
      </c>
      <c r="P12" s="10">
        <f t="shared" si="2"/>
        <v>-7.3765122121333793E-2</v>
      </c>
    </row>
    <row r="13" spans="2:16" x14ac:dyDescent="0.25">
      <c r="C13" t="s">
        <v>26</v>
      </c>
      <c r="D13" s="11">
        <v>3829</v>
      </c>
      <c r="E13" s="11">
        <v>67</v>
      </c>
      <c r="F13" s="11">
        <v>28017</v>
      </c>
      <c r="G13" s="11">
        <v>139</v>
      </c>
      <c r="H13" s="9">
        <f t="shared" si="0"/>
        <v>0.13666702359281865</v>
      </c>
      <c r="I13" s="9">
        <f t="shared" si="3"/>
        <v>1.9902077963005329</v>
      </c>
      <c r="J13" s="3">
        <f>I13/$K$1/Kalibirierung_alt!$M$10</f>
        <v>0.62514951687971176</v>
      </c>
      <c r="K13">
        <v>4337</v>
      </c>
      <c r="M13" s="3">
        <f t="shared" si="1"/>
        <v>0.15479887211335974</v>
      </c>
      <c r="N13" s="9">
        <f t="shared" si="4"/>
        <v>1.8656286039424614</v>
      </c>
      <c r="O13" s="3">
        <f>N13/$K$1/Kalibirierung_alt!$M$10</f>
        <v>0.58601761213052916</v>
      </c>
      <c r="P13" s="10">
        <f t="shared" si="2"/>
        <v>-6.6775987511560331E-2</v>
      </c>
    </row>
    <row r="14" spans="2:16" x14ac:dyDescent="0.25">
      <c r="D14" s="4"/>
      <c r="E14" s="4"/>
      <c r="F14" s="4"/>
      <c r="G14" s="4"/>
      <c r="H14" s="4"/>
      <c r="I14" s="4"/>
      <c r="J14" s="3">
        <f>AVERAGE(J6:J13)</f>
        <v>0.62670853704332619</v>
      </c>
      <c r="L14">
        <f>(J14+O14)/2</f>
        <v>0.60739012363721245</v>
      </c>
      <c r="O14" s="3">
        <f>AVERAGE(O6:O13)</f>
        <v>0.58807171023109872</v>
      </c>
    </row>
    <row r="15" spans="2:16" x14ac:dyDescent="0.25">
      <c r="C15" s="4"/>
    </row>
    <row r="16" spans="2:16" x14ac:dyDescent="0.25">
      <c r="D16" s="4" t="s">
        <v>32</v>
      </c>
      <c r="E16" s="4">
        <f>L14/0.6*F16</f>
        <v>4.2517308654604875</v>
      </c>
      <c r="F16" s="4">
        <v>4.2</v>
      </c>
      <c r="G16" s="4"/>
      <c r="H16" s="4"/>
      <c r="I16" s="4" t="s">
        <v>30</v>
      </c>
      <c r="K16">
        <v>5</v>
      </c>
      <c r="P16" t="s">
        <v>28</v>
      </c>
    </row>
    <row r="17" spans="2:16" x14ac:dyDescent="0.25">
      <c r="D17" s="4"/>
      <c r="E17" s="4"/>
      <c r="F17" s="4"/>
      <c r="G17" s="4"/>
      <c r="H17" s="4"/>
      <c r="I17" s="4"/>
      <c r="P17" s="10">
        <f>SUM(P21:P28)/8</f>
        <v>-6.5756549529083191E-2</v>
      </c>
    </row>
    <row r="18" spans="2:16" x14ac:dyDescent="0.25">
      <c r="C18" t="s">
        <v>27</v>
      </c>
      <c r="D18" s="52" t="s">
        <v>17</v>
      </c>
      <c r="E18" s="52"/>
      <c r="F18" s="52"/>
      <c r="G18" s="52"/>
      <c r="H18" s="52"/>
      <c r="I18" s="52"/>
      <c r="J18" s="52"/>
      <c r="K18" s="53" t="s">
        <v>18</v>
      </c>
      <c r="L18" s="53"/>
      <c r="M18" s="53"/>
      <c r="N18" s="53"/>
      <c r="O18" s="53"/>
      <c r="P18" s="53"/>
    </row>
    <row r="19" spans="2:16" x14ac:dyDescent="0.25">
      <c r="D19" s="4"/>
      <c r="E19" s="4"/>
      <c r="F19" s="4"/>
      <c r="G19" s="4"/>
      <c r="J19" t="s">
        <v>70</v>
      </c>
    </row>
    <row r="20" spans="2:16" x14ac:dyDescent="0.25">
      <c r="B20" t="s">
        <v>8</v>
      </c>
      <c r="C20" t="s">
        <v>0</v>
      </c>
      <c r="D20" s="6" t="s">
        <v>1</v>
      </c>
      <c r="E20" s="6" t="s">
        <v>5</v>
      </c>
      <c r="F20" s="6" t="s">
        <v>2</v>
      </c>
      <c r="G20" s="6" t="s">
        <v>5</v>
      </c>
      <c r="H20" s="7" t="s">
        <v>3</v>
      </c>
      <c r="I20" s="8" t="s">
        <v>6</v>
      </c>
      <c r="J20" s="7" t="s">
        <v>16</v>
      </c>
      <c r="K20" s="6" t="s">
        <v>1</v>
      </c>
      <c r="L20" s="6" t="s">
        <v>5</v>
      </c>
      <c r="M20" s="7" t="s">
        <v>3</v>
      </c>
      <c r="N20" s="8" t="s">
        <v>6</v>
      </c>
      <c r="O20" s="7" t="s">
        <v>29</v>
      </c>
      <c r="P20" s="7" t="s">
        <v>19</v>
      </c>
    </row>
    <row r="21" spans="2:16" x14ac:dyDescent="0.25">
      <c r="B21" t="s">
        <v>7</v>
      </c>
      <c r="C21" t="s">
        <v>4</v>
      </c>
      <c r="D21" s="11">
        <v>3805</v>
      </c>
      <c r="E21" s="11">
        <v>69.48</v>
      </c>
      <c r="F21" s="11">
        <v>28051</v>
      </c>
      <c r="G21" s="11">
        <v>139.5</v>
      </c>
      <c r="H21" s="9">
        <f t="shared" ref="H21:H28" si="5">D21/F21</f>
        <v>0.13564578802894728</v>
      </c>
      <c r="I21" s="9">
        <f>-LN(H21)</f>
        <v>1.9977082906434738</v>
      </c>
      <c r="J21" s="3">
        <f>I21/$K$1/Kalibirierung_alt!$M$11</f>
        <v>0.68603104142626148</v>
      </c>
      <c r="K21">
        <v>4217</v>
      </c>
      <c r="M21" s="3">
        <f t="shared" ref="M21:M28" si="6">K21/F21</f>
        <v>0.15033332145021569</v>
      </c>
      <c r="N21" s="9">
        <f>-LN(M21)</f>
        <v>1.8949003071927</v>
      </c>
      <c r="O21" s="3">
        <f>N21/$K$1/Kalibirierung_alt!$M$11</f>
        <v>0.65072585283391193</v>
      </c>
      <c r="P21" s="10">
        <f t="shared" ref="P21:P28" si="7">1-J21/O21</f>
        <v>-5.4255088281179198E-2</v>
      </c>
    </row>
    <row r="22" spans="2:16" x14ac:dyDescent="0.25">
      <c r="C22" t="s">
        <v>23</v>
      </c>
      <c r="D22" s="11">
        <v>3811</v>
      </c>
      <c r="E22" s="11">
        <v>72</v>
      </c>
      <c r="F22" s="11">
        <v>28039</v>
      </c>
      <c r="G22" s="11">
        <v>134</v>
      </c>
      <c r="H22" s="9">
        <f t="shared" si="5"/>
        <v>0.13591782873854275</v>
      </c>
      <c r="I22" s="9">
        <f t="shared" ref="I22:I28" si="8">-LN(H22)</f>
        <v>1.9957047763006257</v>
      </c>
      <c r="J22" s="3">
        <f>I22/$K$1/Kalibirierung_alt!$M$11</f>
        <v>0.68534301653415197</v>
      </c>
      <c r="K22">
        <v>4247</v>
      </c>
      <c r="M22" s="3">
        <f t="shared" si="6"/>
        <v>0.1514675987018082</v>
      </c>
      <c r="N22" s="9">
        <f t="shared" ref="N22:N28" si="9">-LN(M22)</f>
        <v>1.8873835468612148</v>
      </c>
      <c r="O22" s="3">
        <f>N22/$K$1/Kalibirierung_alt!$M$11</f>
        <v>0.64814452955337465</v>
      </c>
      <c r="P22" s="10">
        <f t="shared" si="7"/>
        <v>-5.7392271761377289E-2</v>
      </c>
    </row>
    <row r="23" spans="2:16" x14ac:dyDescent="0.25">
      <c r="C23" t="s">
        <v>24</v>
      </c>
      <c r="D23" s="11">
        <v>3820</v>
      </c>
      <c r="E23" s="11">
        <v>75</v>
      </c>
      <c r="F23" s="11">
        <v>27997</v>
      </c>
      <c r="G23" s="11">
        <v>130</v>
      </c>
      <c r="H23" s="9">
        <f t="shared" si="5"/>
        <v>0.13644319034182234</v>
      </c>
      <c r="I23" s="9">
        <f t="shared" si="8"/>
        <v>1.9918469389593714</v>
      </c>
      <c r="J23" s="3">
        <f>I23/$K$1/Kalibirierung_alt!$M$11</f>
        <v>0.68401820040295314</v>
      </c>
      <c r="K23">
        <v>4267</v>
      </c>
      <c r="M23" s="3">
        <f t="shared" si="6"/>
        <v>0.15240918669857484</v>
      </c>
      <c r="N23" s="9">
        <f t="shared" si="9"/>
        <v>1.8811863573719922</v>
      </c>
      <c r="O23" s="3">
        <f>N23/$K$1/Kalibirierung_alt!$M$11</f>
        <v>0.64601635879935637</v>
      </c>
      <c r="P23" s="10">
        <f t="shared" si="7"/>
        <v>-5.8824890555750686E-2</v>
      </c>
    </row>
    <row r="24" spans="2:16" x14ac:dyDescent="0.25">
      <c r="C24" t="s">
        <v>20</v>
      </c>
      <c r="D24" s="11">
        <v>3804</v>
      </c>
      <c r="E24" s="11">
        <v>69.024500000000003</v>
      </c>
      <c r="F24" s="11">
        <v>28041</v>
      </c>
      <c r="G24" s="11">
        <v>133.97999999999999</v>
      </c>
      <c r="H24" s="9">
        <f t="shared" si="5"/>
        <v>0.13565850005349309</v>
      </c>
      <c r="I24" s="9">
        <f t="shared" si="8"/>
        <v>1.9976145801854124</v>
      </c>
      <c r="J24" s="3">
        <f>I24/$K$1/Kalibirierung_alt!$M$11</f>
        <v>0.68599886040992519</v>
      </c>
      <c r="K24">
        <v>4316</v>
      </c>
      <c r="M24" s="3">
        <f t="shared" si="6"/>
        <v>0.15391747797867408</v>
      </c>
      <c r="N24" s="9">
        <f t="shared" si="9"/>
        <v>1.8713386774726679</v>
      </c>
      <c r="O24" s="3">
        <f>N24/$K$1/Kalibirierung_alt!$M$11</f>
        <v>0.64263457672005697</v>
      </c>
      <c r="P24" s="10">
        <f t="shared" si="7"/>
        <v>-6.7478914550778146E-2</v>
      </c>
    </row>
    <row r="25" spans="2:16" x14ac:dyDescent="0.25">
      <c r="C25" t="s">
        <v>21</v>
      </c>
      <c r="D25" s="11">
        <v>3790.8</v>
      </c>
      <c r="E25" s="11">
        <v>63.63</v>
      </c>
      <c r="F25" s="11">
        <v>28037</v>
      </c>
      <c r="G25" s="11">
        <v>136</v>
      </c>
      <c r="H25" s="9">
        <f t="shared" si="5"/>
        <v>0.13520704782965368</v>
      </c>
      <c r="I25" s="9">
        <f t="shared" si="8"/>
        <v>2.0009479878143814</v>
      </c>
      <c r="J25" s="3">
        <f>I25/$K$1/Kalibirierung_alt!$M$11</f>
        <v>0.687143582648858</v>
      </c>
      <c r="K25">
        <v>4391</v>
      </c>
      <c r="M25" s="3">
        <f t="shared" si="6"/>
        <v>0.15661447373114099</v>
      </c>
      <c r="N25" s="9">
        <f t="shared" si="9"/>
        <v>1.8539680748487037</v>
      </c>
      <c r="O25" s="3">
        <f>N25/$K$1/Kalibirierung_alt!$M$11</f>
        <v>0.63666935513884126</v>
      </c>
      <c r="P25" s="10">
        <f t="shared" si="7"/>
        <v>-7.9278556604958084E-2</v>
      </c>
    </row>
    <row r="26" spans="2:16" x14ac:dyDescent="0.25">
      <c r="C26" t="s">
        <v>22</v>
      </c>
      <c r="D26" s="11">
        <v>3823</v>
      </c>
      <c r="E26" s="11">
        <v>67</v>
      </c>
      <c r="F26" s="11">
        <v>28013</v>
      </c>
      <c r="G26" s="11">
        <v>142</v>
      </c>
      <c r="H26" s="9">
        <f t="shared" si="5"/>
        <v>0.13647235212222897</v>
      </c>
      <c r="I26" s="9">
        <f t="shared" si="8"/>
        <v>1.9916332334279507</v>
      </c>
      <c r="J26" s="3">
        <f>I26/$K$1/Kalibirierung_alt!$M$11</f>
        <v>0.6839448119963647</v>
      </c>
      <c r="K26">
        <v>4342</v>
      </c>
      <c r="M26" s="3">
        <f t="shared" si="6"/>
        <v>0.15499946453432334</v>
      </c>
      <c r="N26" s="9">
        <f t="shared" si="9"/>
        <v>1.8643336166861264</v>
      </c>
      <c r="O26" s="3">
        <f>N26/$K$1/Kalibirierung_alt!$M$11</f>
        <v>0.64022897567752568</v>
      </c>
      <c r="P26" s="10">
        <f t="shared" si="7"/>
        <v>-6.8281564845728004E-2</v>
      </c>
    </row>
    <row r="27" spans="2:16" x14ac:dyDescent="0.25">
      <c r="C27" t="s">
        <v>25</v>
      </c>
      <c r="D27" s="11">
        <v>3811</v>
      </c>
      <c r="E27" s="11">
        <v>65</v>
      </c>
      <c r="F27" s="11">
        <v>28039</v>
      </c>
      <c r="G27" s="11">
        <v>134</v>
      </c>
      <c r="H27" s="9">
        <f t="shared" si="5"/>
        <v>0.13591782873854275</v>
      </c>
      <c r="I27" s="9">
        <f t="shared" si="8"/>
        <v>1.9957047763006257</v>
      </c>
      <c r="J27" s="3">
        <f>I27/$K$1/Kalibirierung_alt!$M$11</f>
        <v>0.68534301653415197</v>
      </c>
      <c r="K27">
        <v>4371</v>
      </c>
      <c r="M27" s="3">
        <f t="shared" si="6"/>
        <v>0.15589001034273689</v>
      </c>
      <c r="N27" s="9">
        <f t="shared" si="9"/>
        <v>1.8586045823111716</v>
      </c>
      <c r="O27" s="3">
        <f>N27/$K$1/Kalibirierung_alt!$M$11</f>
        <v>0.6382615736113556</v>
      </c>
      <c r="P27" s="10">
        <f t="shared" si="7"/>
        <v>-7.3765122121333793E-2</v>
      </c>
    </row>
    <row r="28" spans="2:16" x14ac:dyDescent="0.25">
      <c r="C28" t="s">
        <v>26</v>
      </c>
      <c r="D28" s="11">
        <v>3829</v>
      </c>
      <c r="E28" s="11">
        <v>67</v>
      </c>
      <c r="F28" s="11">
        <v>28017</v>
      </c>
      <c r="G28" s="11">
        <v>139</v>
      </c>
      <c r="H28" s="9">
        <f t="shared" si="5"/>
        <v>0.13666702359281865</v>
      </c>
      <c r="I28" s="9">
        <f t="shared" si="8"/>
        <v>1.9902077963005329</v>
      </c>
      <c r="J28" s="3">
        <f>I28/$K$1/Kalibirierung_alt!$M$11</f>
        <v>0.68345530403286958</v>
      </c>
      <c r="K28">
        <v>4337</v>
      </c>
      <c r="M28" s="3">
        <f t="shared" si="6"/>
        <v>0.15479887211335974</v>
      </c>
      <c r="N28" s="9">
        <f t="shared" si="9"/>
        <v>1.8656286039424614</v>
      </c>
      <c r="O28" s="3">
        <f>N28/$K$1/Kalibirierung_alt!$M$11</f>
        <v>0.64067368597895369</v>
      </c>
      <c r="P28" s="10">
        <f t="shared" si="7"/>
        <v>-6.6775987511560331E-2</v>
      </c>
    </row>
    <row r="31" spans="2:16" x14ac:dyDescent="0.25">
      <c r="D31" s="4" t="s">
        <v>32</v>
      </c>
      <c r="E31" s="4">
        <f>L29/0.6*F31</f>
        <v>0</v>
      </c>
      <c r="F31" s="4">
        <v>4.2</v>
      </c>
      <c r="G31" s="4"/>
      <c r="H31" s="4"/>
      <c r="I31" s="4" t="s">
        <v>30</v>
      </c>
      <c r="K31">
        <v>5</v>
      </c>
      <c r="P31" t="s">
        <v>28</v>
      </c>
    </row>
    <row r="32" spans="2:16" x14ac:dyDescent="0.25">
      <c r="D32" s="4"/>
      <c r="E32" s="4"/>
      <c r="F32" s="4"/>
      <c r="G32" s="4"/>
      <c r="H32" s="4"/>
      <c r="I32" s="4"/>
      <c r="P32" s="10">
        <f>SUM(P36:P43)/8</f>
        <v>-6.5756549529083247E-2</v>
      </c>
    </row>
    <row r="33" spans="2:16" x14ac:dyDescent="0.25">
      <c r="C33" t="s">
        <v>27</v>
      </c>
      <c r="D33" s="52" t="s">
        <v>17</v>
      </c>
      <c r="E33" s="52"/>
      <c r="F33" s="52"/>
      <c r="G33" s="52"/>
      <c r="H33" s="52"/>
      <c r="I33" s="52"/>
      <c r="J33" s="52"/>
      <c r="K33" s="53" t="s">
        <v>18</v>
      </c>
      <c r="L33" s="53"/>
      <c r="M33" s="53"/>
      <c r="N33" s="53"/>
      <c r="O33" s="53"/>
      <c r="P33" s="53"/>
    </row>
    <row r="34" spans="2:16" x14ac:dyDescent="0.25">
      <c r="D34" s="4"/>
      <c r="E34" s="4"/>
      <c r="F34" s="4"/>
      <c r="G34" s="4"/>
      <c r="J34" t="s">
        <v>70</v>
      </c>
    </row>
    <row r="35" spans="2:16" x14ac:dyDescent="0.25">
      <c r="B35" t="s">
        <v>8</v>
      </c>
      <c r="C35" t="s">
        <v>0</v>
      </c>
      <c r="D35" s="6" t="s">
        <v>1</v>
      </c>
      <c r="E35" s="6" t="s">
        <v>5</v>
      </c>
      <c r="F35" s="6" t="s">
        <v>2</v>
      </c>
      <c r="G35" s="6" t="s">
        <v>5</v>
      </c>
      <c r="H35" s="7" t="s">
        <v>3</v>
      </c>
      <c r="I35" s="8" t="s">
        <v>6</v>
      </c>
      <c r="J35" s="7" t="s">
        <v>16</v>
      </c>
      <c r="K35" s="6" t="s">
        <v>1</v>
      </c>
      <c r="L35" s="6" t="s">
        <v>5</v>
      </c>
      <c r="M35" s="7" t="s">
        <v>3</v>
      </c>
      <c r="N35" s="8" t="s">
        <v>6</v>
      </c>
      <c r="O35" s="7" t="s">
        <v>29</v>
      </c>
      <c r="P35" s="7" t="s">
        <v>19</v>
      </c>
    </row>
    <row r="36" spans="2:16" x14ac:dyDescent="0.25">
      <c r="B36" t="s">
        <v>7</v>
      </c>
      <c r="C36" t="s">
        <v>4</v>
      </c>
      <c r="D36" s="11">
        <v>3805</v>
      </c>
      <c r="E36" s="11">
        <v>69.48</v>
      </c>
      <c r="F36" s="11">
        <v>28051</v>
      </c>
      <c r="G36" s="11">
        <v>139.5</v>
      </c>
      <c r="H36" s="9">
        <f t="shared" ref="H36:H43" si="10">D36/F36</f>
        <v>0.13564578802894728</v>
      </c>
      <c r="I36" s="9">
        <f>-LN(H36)</f>
        <v>1.9977082906434738</v>
      </c>
      <c r="J36" s="3">
        <f>I36/$K$1/Kalibirierung_alt!$M$7</f>
        <v>0.595998313045352</v>
      </c>
      <c r="K36">
        <v>4217</v>
      </c>
      <c r="M36" s="3">
        <f t="shared" ref="M36:M43" si="11">K36/F36</f>
        <v>0.15033332145021569</v>
      </c>
      <c r="N36" s="9">
        <f>-LN(M36)</f>
        <v>1.8949003071927</v>
      </c>
      <c r="O36" s="3">
        <f>N36/$K$1/Kalibirierung_alt!$M$7</f>
        <v>0.56532647522436619</v>
      </c>
      <c r="P36" s="10">
        <f t="shared" ref="P36:P43" si="12">1-J36/O36</f>
        <v>-5.4255088281179198E-2</v>
      </c>
    </row>
    <row r="37" spans="2:16" x14ac:dyDescent="0.25">
      <c r="C37" t="s">
        <v>23</v>
      </c>
      <c r="D37" s="11">
        <v>3811</v>
      </c>
      <c r="E37" s="11">
        <v>72</v>
      </c>
      <c r="F37" s="11">
        <v>28039</v>
      </c>
      <c r="G37" s="11">
        <v>134</v>
      </c>
      <c r="H37" s="9">
        <f t="shared" si="10"/>
        <v>0.13591782873854275</v>
      </c>
      <c r="I37" s="9">
        <f t="shared" ref="I37:I43" si="13">-LN(H37)</f>
        <v>1.9957047763006257</v>
      </c>
      <c r="J37" s="3">
        <f>I37/$K$1/Kalibirierung_alt!$M$7</f>
        <v>0.59540058254881645</v>
      </c>
      <c r="K37">
        <v>4247</v>
      </c>
      <c r="M37" s="3">
        <f t="shared" si="11"/>
        <v>0.1514675987018082</v>
      </c>
      <c r="N37" s="9">
        <f t="shared" ref="N37:N43" si="14">-LN(M37)</f>
        <v>1.8873835468612148</v>
      </c>
      <c r="O37" s="3">
        <f>N37/$K$1/Kalibirierung_alt!$M$7</f>
        <v>0.56308391734035779</v>
      </c>
      <c r="P37" s="10">
        <f t="shared" si="12"/>
        <v>-5.7392271761377289E-2</v>
      </c>
    </row>
    <row r="38" spans="2:16" x14ac:dyDescent="0.25">
      <c r="C38" t="s">
        <v>24</v>
      </c>
      <c r="D38" s="11">
        <v>3820</v>
      </c>
      <c r="E38" s="11">
        <v>75</v>
      </c>
      <c r="F38" s="11">
        <v>27997</v>
      </c>
      <c r="G38" s="11">
        <v>130</v>
      </c>
      <c r="H38" s="9">
        <f t="shared" si="10"/>
        <v>0.13644319034182234</v>
      </c>
      <c r="I38" s="9">
        <f t="shared" si="13"/>
        <v>1.9918469389593714</v>
      </c>
      <c r="J38" s="3">
        <f>I38/$K$1/Kalibirierung_alt!$M$7</f>
        <v>0.59424963145242271</v>
      </c>
      <c r="K38">
        <v>4267</v>
      </c>
      <c r="M38" s="3">
        <f t="shared" si="11"/>
        <v>0.15240918669857484</v>
      </c>
      <c r="N38" s="9">
        <f t="shared" si="14"/>
        <v>1.8811863573719922</v>
      </c>
      <c r="O38" s="3">
        <f>N38/$K$1/Kalibirierung_alt!$M$7</f>
        <v>0.56123504155679216</v>
      </c>
      <c r="P38" s="10">
        <f t="shared" si="12"/>
        <v>-5.8824890555750908E-2</v>
      </c>
    </row>
    <row r="39" spans="2:16" x14ac:dyDescent="0.25">
      <c r="C39" t="s">
        <v>20</v>
      </c>
      <c r="D39" s="11">
        <v>3804</v>
      </c>
      <c r="E39" s="11">
        <v>69.024500000000003</v>
      </c>
      <c r="F39" s="11">
        <v>28041</v>
      </c>
      <c r="G39" s="11">
        <v>133.97999999999999</v>
      </c>
      <c r="H39" s="9">
        <f t="shared" si="10"/>
        <v>0.13565850005349309</v>
      </c>
      <c r="I39" s="9">
        <f t="shared" si="13"/>
        <v>1.9976145801854124</v>
      </c>
      <c r="J39" s="3">
        <f>I39/$K$1/Kalibirierung_alt!$M$7</f>
        <v>0.59597035537246212</v>
      </c>
      <c r="K39">
        <v>4316</v>
      </c>
      <c r="M39" s="3">
        <f t="shared" si="11"/>
        <v>0.15391747797867408</v>
      </c>
      <c r="N39" s="9">
        <f t="shared" si="14"/>
        <v>1.8713386774726679</v>
      </c>
      <c r="O39" s="3">
        <f>N39/$K$1/Kalibirierung_alt!$M$7</f>
        <v>0.55829707477010104</v>
      </c>
      <c r="P39" s="10">
        <f t="shared" si="12"/>
        <v>-6.7478914550778146E-2</v>
      </c>
    </row>
    <row r="40" spans="2:16" x14ac:dyDescent="0.25">
      <c r="C40" t="s">
        <v>21</v>
      </c>
      <c r="D40" s="11">
        <v>3790.8</v>
      </c>
      <c r="E40" s="11">
        <v>63.63</v>
      </c>
      <c r="F40" s="11">
        <v>28037</v>
      </c>
      <c r="G40" s="11">
        <v>136</v>
      </c>
      <c r="H40" s="9">
        <f t="shared" si="10"/>
        <v>0.13520704782965368</v>
      </c>
      <c r="I40" s="9">
        <f t="shared" si="13"/>
        <v>2.0009479878143814</v>
      </c>
      <c r="J40" s="3">
        <f>I40/$K$1/Kalibirierung_alt!$M$7</f>
        <v>0.59696484757778723</v>
      </c>
      <c r="K40">
        <v>4391</v>
      </c>
      <c r="M40" s="3">
        <f t="shared" si="11"/>
        <v>0.15661447373114099</v>
      </c>
      <c r="N40" s="9">
        <f t="shared" si="14"/>
        <v>1.8539680748487037</v>
      </c>
      <c r="O40" s="3">
        <f>N40/$K$1/Kalibirierung_alt!$M$7</f>
        <v>0.55311471160479164</v>
      </c>
      <c r="P40" s="10">
        <f t="shared" si="12"/>
        <v>-7.9278556604958084E-2</v>
      </c>
    </row>
    <row r="41" spans="2:16" x14ac:dyDescent="0.25">
      <c r="C41" t="s">
        <v>22</v>
      </c>
      <c r="D41" s="11">
        <v>3823</v>
      </c>
      <c r="E41" s="11">
        <v>67</v>
      </c>
      <c r="F41" s="11">
        <v>28013</v>
      </c>
      <c r="G41" s="11">
        <v>142</v>
      </c>
      <c r="H41" s="9">
        <f t="shared" si="10"/>
        <v>0.13647235212222897</v>
      </c>
      <c r="I41" s="9">
        <f t="shared" si="13"/>
        <v>1.9916332334279507</v>
      </c>
      <c r="J41" s="3">
        <f>I41/$K$1/Kalibirierung_alt!$M$7</f>
        <v>0.59418587432791581</v>
      </c>
      <c r="K41">
        <v>4342</v>
      </c>
      <c r="M41" s="3">
        <f t="shared" si="11"/>
        <v>0.15499946453432334</v>
      </c>
      <c r="N41" s="9">
        <f t="shared" si="14"/>
        <v>1.8643336166861264</v>
      </c>
      <c r="O41" s="3">
        <f>N41/$K$1/Kalibirierung_alt!$M$7</f>
        <v>0.55620717784615414</v>
      </c>
      <c r="P41" s="10">
        <f t="shared" si="12"/>
        <v>-6.8281564845728226E-2</v>
      </c>
    </row>
    <row r="42" spans="2:16" x14ac:dyDescent="0.25">
      <c r="C42" t="s">
        <v>25</v>
      </c>
      <c r="D42" s="11">
        <v>3811</v>
      </c>
      <c r="E42" s="11">
        <v>65</v>
      </c>
      <c r="F42" s="11">
        <v>28039</v>
      </c>
      <c r="G42" s="11">
        <v>134</v>
      </c>
      <c r="H42" s="9">
        <f t="shared" si="10"/>
        <v>0.13591782873854275</v>
      </c>
      <c r="I42" s="9">
        <f t="shared" si="13"/>
        <v>1.9957047763006257</v>
      </c>
      <c r="J42" s="3">
        <f>I42/$K$1/Kalibirierung_alt!$M$7</f>
        <v>0.59540058254881645</v>
      </c>
      <c r="K42">
        <v>4371</v>
      </c>
      <c r="M42" s="3">
        <f t="shared" si="11"/>
        <v>0.15589001034273689</v>
      </c>
      <c r="N42" s="9">
        <f t="shared" si="14"/>
        <v>1.8586045823111716</v>
      </c>
      <c r="O42" s="3">
        <f>N42/$K$1/Kalibirierung_alt!$M$7</f>
        <v>0.55449797193313677</v>
      </c>
      <c r="P42" s="10">
        <f t="shared" si="12"/>
        <v>-7.3765122121333571E-2</v>
      </c>
    </row>
    <row r="43" spans="2:16" x14ac:dyDescent="0.25">
      <c r="C43" t="s">
        <v>26</v>
      </c>
      <c r="D43" s="11">
        <v>3829</v>
      </c>
      <c r="E43" s="11">
        <v>67</v>
      </c>
      <c r="F43" s="11">
        <v>28017</v>
      </c>
      <c r="G43" s="11">
        <v>139</v>
      </c>
      <c r="H43" s="9">
        <f t="shared" si="10"/>
        <v>0.13666702359281865</v>
      </c>
      <c r="I43" s="9">
        <f t="shared" si="13"/>
        <v>1.9902077963005329</v>
      </c>
      <c r="J43" s="3">
        <f>I43/$K$1/Kalibirierung_alt!$M$7</f>
        <v>0.5937606079728267</v>
      </c>
      <c r="K43">
        <v>4337</v>
      </c>
      <c r="M43" s="3">
        <f t="shared" si="11"/>
        <v>0.15479887211335974</v>
      </c>
      <c r="N43" s="9">
        <f t="shared" si="14"/>
        <v>1.8656286039424614</v>
      </c>
      <c r="O43" s="3">
        <f>N43/$K$1/Kalibirierung_alt!$M$7</f>
        <v>0.55659352565469344</v>
      </c>
      <c r="P43" s="10">
        <f t="shared" si="12"/>
        <v>-6.6775987511560553E-2</v>
      </c>
    </row>
  </sheetData>
  <mergeCells count="6">
    <mergeCell ref="D3:J3"/>
    <mergeCell ref="K3:P3"/>
    <mergeCell ref="D18:J18"/>
    <mergeCell ref="K18:P18"/>
    <mergeCell ref="D33:J33"/>
    <mergeCell ref="K33:P3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14" sqref="B14"/>
    </sheetView>
  </sheetViews>
  <sheetFormatPr baseColWidth="10" defaultRowHeight="15" x14ac:dyDescent="0.25"/>
  <cols>
    <col min="1" max="1" width="20.5703125" customWidth="1"/>
    <col min="2" max="2" width="58" customWidth="1"/>
  </cols>
  <sheetData>
    <row r="1" spans="1:8" x14ac:dyDescent="0.25">
      <c r="C1" t="s">
        <v>11</v>
      </c>
      <c r="D1" s="4" t="s">
        <v>1</v>
      </c>
      <c r="E1" s="4" t="s">
        <v>33</v>
      </c>
      <c r="F1" s="4" t="s">
        <v>2</v>
      </c>
      <c r="G1" s="4" t="s">
        <v>33</v>
      </c>
      <c r="H1" s="4" t="s">
        <v>3</v>
      </c>
    </row>
    <row r="2" spans="1:8" x14ac:dyDescent="0.25">
      <c r="C2">
        <v>4</v>
      </c>
      <c r="D2">
        <v>6415</v>
      </c>
      <c r="E2">
        <v>128</v>
      </c>
      <c r="F2">
        <v>37729</v>
      </c>
      <c r="G2">
        <v>244</v>
      </c>
      <c r="H2" s="1">
        <f>D2/F2</f>
        <v>0.17002836014736675</v>
      </c>
    </row>
    <row r="3" spans="1:8" x14ac:dyDescent="0.25">
      <c r="B3" t="s">
        <v>34</v>
      </c>
      <c r="C3">
        <v>4.2</v>
      </c>
      <c r="H3" s="1">
        <v>0.16</v>
      </c>
    </row>
    <row r="5" spans="1:8" x14ac:dyDescent="0.25">
      <c r="A5" t="s">
        <v>36</v>
      </c>
      <c r="B5" t="s">
        <v>35</v>
      </c>
      <c r="C5">
        <v>4.2</v>
      </c>
      <c r="D5">
        <v>3811.19</v>
      </c>
      <c r="E5">
        <v>69.52</v>
      </c>
      <c r="F5">
        <v>28006</v>
      </c>
      <c r="G5">
        <v>143.72</v>
      </c>
      <c r="H5" s="1">
        <f>D5/F5</f>
        <v>0.13608476754981075</v>
      </c>
    </row>
    <row r="6" spans="1:8" x14ac:dyDescent="0.25">
      <c r="A6" t="s">
        <v>37</v>
      </c>
      <c r="B6" t="s">
        <v>38</v>
      </c>
      <c r="C6">
        <v>4.2</v>
      </c>
      <c r="D6">
        <v>3818</v>
      </c>
      <c r="E6">
        <v>86</v>
      </c>
      <c r="F6">
        <v>28003</v>
      </c>
      <c r="G6">
        <v>142.43</v>
      </c>
      <c r="H6" s="1">
        <f>D6/F6</f>
        <v>0.13634253472842195</v>
      </c>
    </row>
    <row r="7" spans="1:8" x14ac:dyDescent="0.25">
      <c r="A7" t="s">
        <v>37</v>
      </c>
      <c r="B7" t="s">
        <v>39</v>
      </c>
      <c r="C7">
        <v>4.2</v>
      </c>
      <c r="D7">
        <v>3810</v>
      </c>
      <c r="E7">
        <v>83</v>
      </c>
      <c r="F7">
        <v>28022.5</v>
      </c>
      <c r="G7">
        <v>141</v>
      </c>
      <c r="H7" s="1">
        <f>D7/F7</f>
        <v>0.13596217325363547</v>
      </c>
    </row>
    <row r="8" spans="1:8" x14ac:dyDescent="0.25">
      <c r="A8" t="s">
        <v>40</v>
      </c>
      <c r="B8" t="s">
        <v>41</v>
      </c>
      <c r="C8">
        <v>4.2</v>
      </c>
      <c r="D8">
        <v>3800</v>
      </c>
      <c r="E8">
        <v>71</v>
      </c>
      <c r="F8">
        <v>27551</v>
      </c>
      <c r="G8">
        <v>145</v>
      </c>
      <c r="H8" s="1">
        <f t="shared" ref="H8:H20" si="0">D8/F8</f>
        <v>0.13792602809335414</v>
      </c>
    </row>
    <row r="9" spans="1:8" x14ac:dyDescent="0.25">
      <c r="A9" t="s">
        <v>43</v>
      </c>
      <c r="B9" t="s">
        <v>42</v>
      </c>
      <c r="C9">
        <v>4.2</v>
      </c>
      <c r="D9">
        <v>3944</v>
      </c>
      <c r="E9">
        <v>98</v>
      </c>
      <c r="F9">
        <v>27975</v>
      </c>
      <c r="G9">
        <v>138</v>
      </c>
      <c r="H9" s="1">
        <f t="shared" si="0"/>
        <v>0.14098302055406614</v>
      </c>
    </row>
    <row r="10" spans="1:8" x14ac:dyDescent="0.25">
      <c r="A10" t="s">
        <v>45</v>
      </c>
      <c r="B10" t="s">
        <v>44</v>
      </c>
      <c r="C10">
        <v>4.2</v>
      </c>
      <c r="D10">
        <v>4104</v>
      </c>
      <c r="E10">
        <v>143</v>
      </c>
      <c r="F10">
        <v>27548</v>
      </c>
      <c r="G10">
        <v>143</v>
      </c>
      <c r="H10" s="1">
        <f t="shared" si="0"/>
        <v>0.14897633222012488</v>
      </c>
    </row>
    <row r="11" spans="1:8" x14ac:dyDescent="0.25">
      <c r="A11" t="s">
        <v>46</v>
      </c>
      <c r="B11" t="s">
        <v>47</v>
      </c>
      <c r="C11">
        <v>4.2</v>
      </c>
      <c r="D11">
        <v>3752</v>
      </c>
      <c r="E11">
        <v>136</v>
      </c>
      <c r="F11">
        <v>27752</v>
      </c>
      <c r="G11">
        <v>141</v>
      </c>
      <c r="H11" s="1">
        <f t="shared" si="0"/>
        <v>0.13519746324589219</v>
      </c>
    </row>
    <row r="12" spans="1:8" x14ac:dyDescent="0.25">
      <c r="A12" t="s">
        <v>48</v>
      </c>
      <c r="B12" t="s">
        <v>49</v>
      </c>
      <c r="C12">
        <v>4.2</v>
      </c>
      <c r="D12">
        <v>3941</v>
      </c>
      <c r="E12">
        <v>79</v>
      </c>
      <c r="F12">
        <v>27684</v>
      </c>
      <c r="G12">
        <v>138</v>
      </c>
      <c r="H12" s="1">
        <f t="shared" si="0"/>
        <v>0.14235659586764918</v>
      </c>
    </row>
    <row r="13" spans="1:8" x14ac:dyDescent="0.25">
      <c r="A13" t="s">
        <v>50</v>
      </c>
      <c r="B13" t="s">
        <v>51</v>
      </c>
      <c r="C13">
        <v>4.2</v>
      </c>
      <c r="D13">
        <v>4012</v>
      </c>
      <c r="E13">
        <v>161</v>
      </c>
      <c r="F13">
        <v>27858</v>
      </c>
      <c r="G13">
        <v>138</v>
      </c>
      <c r="H13" s="1">
        <f t="shared" si="0"/>
        <v>0.14401608155646492</v>
      </c>
    </row>
    <row r="14" spans="1:8" x14ac:dyDescent="0.25">
      <c r="A14" t="s">
        <v>52</v>
      </c>
      <c r="B14" t="s">
        <v>53</v>
      </c>
      <c r="C14">
        <v>4.2</v>
      </c>
      <c r="D14">
        <v>3904</v>
      </c>
      <c r="E14">
        <v>75</v>
      </c>
      <c r="F14">
        <v>27828</v>
      </c>
      <c r="G14">
        <v>146</v>
      </c>
      <c r="H14" s="1">
        <f t="shared" si="0"/>
        <v>0.14029035503809112</v>
      </c>
    </row>
    <row r="15" spans="1:8" x14ac:dyDescent="0.25">
      <c r="A15" t="s">
        <v>55</v>
      </c>
      <c r="B15" t="s">
        <v>54</v>
      </c>
      <c r="C15">
        <v>4.2</v>
      </c>
      <c r="D15">
        <v>3700</v>
      </c>
      <c r="F15">
        <v>27801</v>
      </c>
      <c r="H15" s="1">
        <f t="shared" si="0"/>
        <v>0.13308873781518651</v>
      </c>
    </row>
    <row r="16" spans="1:8" x14ac:dyDescent="0.25">
      <c r="A16" t="s">
        <v>57</v>
      </c>
      <c r="B16" t="s">
        <v>56</v>
      </c>
      <c r="C16">
        <v>4.2</v>
      </c>
      <c r="D16">
        <v>3074</v>
      </c>
      <c r="E16">
        <v>63</v>
      </c>
      <c r="F16">
        <v>27854</v>
      </c>
      <c r="G16">
        <v>192</v>
      </c>
      <c r="H16" s="1">
        <f t="shared" si="0"/>
        <v>0.11036116895239463</v>
      </c>
    </row>
    <row r="17" spans="1:8" x14ac:dyDescent="0.25">
      <c r="A17" t="s">
        <v>59</v>
      </c>
      <c r="B17" t="s">
        <v>58</v>
      </c>
      <c r="C17">
        <v>4.2</v>
      </c>
      <c r="D17">
        <v>3951</v>
      </c>
      <c r="E17">
        <v>66</v>
      </c>
      <c r="F17">
        <v>27687</v>
      </c>
      <c r="G17">
        <v>143</v>
      </c>
      <c r="H17" s="1">
        <f t="shared" si="0"/>
        <v>0.14270235128399611</v>
      </c>
    </row>
    <row r="18" spans="1:8" x14ac:dyDescent="0.25">
      <c r="A18" t="s">
        <v>61</v>
      </c>
      <c r="B18" t="s">
        <v>60</v>
      </c>
      <c r="C18">
        <v>4.2</v>
      </c>
      <c r="D18">
        <v>3892</v>
      </c>
      <c r="E18">
        <v>314</v>
      </c>
      <c r="F18">
        <v>27847</v>
      </c>
      <c r="G18">
        <v>147</v>
      </c>
      <c r="H18" s="1">
        <f t="shared" si="0"/>
        <v>0.13976370883757677</v>
      </c>
    </row>
    <row r="19" spans="1:8" x14ac:dyDescent="0.25">
      <c r="H19" s="1"/>
    </row>
    <row r="20" spans="1:8" x14ac:dyDescent="0.25">
      <c r="D20">
        <v>5200</v>
      </c>
      <c r="F20">
        <v>37729</v>
      </c>
      <c r="H20" s="1">
        <f t="shared" si="0"/>
        <v>0.13782501524026611</v>
      </c>
    </row>
    <row r="21" spans="1:8" x14ac:dyDescent="0.25">
      <c r="H21" s="1"/>
    </row>
    <row r="22" spans="1:8" x14ac:dyDescent="0.25">
      <c r="H22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zoomScale="90" zoomScaleNormal="90" workbookViewId="0">
      <selection activeCell="K42" sqref="K42"/>
    </sheetView>
  </sheetViews>
  <sheetFormatPr baseColWidth="10" defaultRowHeight="15" x14ac:dyDescent="0.25"/>
  <cols>
    <col min="1" max="1" width="31.85546875" customWidth="1"/>
    <col min="11" max="11" width="19.28515625" customWidth="1"/>
    <col min="12" max="12" width="16.85546875" customWidth="1"/>
  </cols>
  <sheetData>
    <row r="1" spans="1:15" x14ac:dyDescent="0.25">
      <c r="L1" s="50" t="s">
        <v>15</v>
      </c>
    </row>
    <row r="2" spans="1:15" x14ac:dyDescent="0.25">
      <c r="L2" s="50"/>
    </row>
    <row r="3" spans="1:15" x14ac:dyDescent="0.25">
      <c r="B3" t="s">
        <v>11</v>
      </c>
      <c r="C3" s="4" t="s">
        <v>1</v>
      </c>
      <c r="D3" s="4" t="s">
        <v>33</v>
      </c>
      <c r="E3" s="4" t="s">
        <v>75</v>
      </c>
      <c r="F3" s="4" t="s">
        <v>2</v>
      </c>
      <c r="G3" s="4" t="s">
        <v>33</v>
      </c>
      <c r="H3" s="4" t="s">
        <v>3</v>
      </c>
      <c r="I3" s="4" t="s">
        <v>5</v>
      </c>
      <c r="J3" s="5" t="s">
        <v>9</v>
      </c>
      <c r="K3" s="4" t="s">
        <v>10</v>
      </c>
      <c r="L3" s="4" t="s">
        <v>13</v>
      </c>
      <c r="M3" s="4" t="s">
        <v>14</v>
      </c>
    </row>
    <row r="4" spans="1:15" x14ac:dyDescent="0.25">
      <c r="H4" s="4"/>
      <c r="I4" s="4"/>
      <c r="J4" s="5"/>
      <c r="K4" s="4"/>
      <c r="L4" s="4"/>
      <c r="M4" s="4"/>
    </row>
    <row r="5" spans="1:15" x14ac:dyDescent="0.25">
      <c r="A5" t="s">
        <v>12</v>
      </c>
      <c r="B5" s="13">
        <v>2</v>
      </c>
      <c r="C5" s="13">
        <v>11931</v>
      </c>
      <c r="D5" s="13">
        <v>165</v>
      </c>
      <c r="E5" s="13">
        <f>F5*Auswertung!B22</f>
        <v>30822.386367687428</v>
      </c>
      <c r="F5" s="13">
        <v>37435</v>
      </c>
      <c r="G5" s="13">
        <v>225</v>
      </c>
      <c r="H5" s="14">
        <f>C5/E5</f>
        <v>0.38708878208430464</v>
      </c>
      <c r="I5" s="14"/>
      <c r="J5" s="14">
        <f t="shared" ref="J5:J11" si="0">-LN(H5)</f>
        <v>0.94910120119249641</v>
      </c>
      <c r="K5" s="15">
        <f>J5/B5</f>
        <v>0.47455060059624821</v>
      </c>
      <c r="L5" s="13">
        <v>0.60070000000000001</v>
      </c>
      <c r="M5" s="14">
        <f>K5/L5</f>
        <v>0.78999600565381756</v>
      </c>
      <c r="O5" t="s">
        <v>31</v>
      </c>
    </row>
    <row r="6" spans="1:15" x14ac:dyDescent="0.25">
      <c r="A6" t="s">
        <v>12</v>
      </c>
      <c r="B6" s="13">
        <v>3</v>
      </c>
      <c r="C6" s="13">
        <v>8553</v>
      </c>
      <c r="D6" s="13">
        <v>138</v>
      </c>
      <c r="E6" s="13">
        <f>F6*Auswertung!B23</f>
        <v>31062.344413138842</v>
      </c>
      <c r="F6" s="13">
        <v>37725</v>
      </c>
      <c r="G6" s="13">
        <v>231</v>
      </c>
      <c r="H6" s="14">
        <f>C6/E6</f>
        <v>0.27534946771056429</v>
      </c>
      <c r="I6" s="14"/>
      <c r="J6" s="14">
        <f t="shared" si="0"/>
        <v>1.2897141964131063</v>
      </c>
      <c r="K6" s="15">
        <f>J6/B6</f>
        <v>0.42990473213770208</v>
      </c>
      <c r="L6" s="13">
        <f>L5</f>
        <v>0.60070000000000001</v>
      </c>
      <c r="M6" s="14">
        <f t="shared" ref="M6:M11" si="1">K6/L6</f>
        <v>0.71567293513850849</v>
      </c>
    </row>
    <row r="7" spans="1:15" x14ac:dyDescent="0.25">
      <c r="B7">
        <v>3.76</v>
      </c>
      <c r="H7" s="14">
        <v>0.22</v>
      </c>
      <c r="J7" s="1">
        <f t="shared" si="0"/>
        <v>1.5141277326297755</v>
      </c>
      <c r="K7" s="2">
        <f t="shared" ref="K7" si="2">J7/B7</f>
        <v>0.40269354591217438</v>
      </c>
      <c r="L7">
        <f t="shared" ref="L7:L11" si="3">L6</f>
        <v>0.60070000000000001</v>
      </c>
      <c r="M7" s="1">
        <f t="shared" ref="M7" si="4">K7/L7</f>
        <v>0.67037380707869876</v>
      </c>
    </row>
    <row r="8" spans="1:15" x14ac:dyDescent="0.25">
      <c r="A8" t="s">
        <v>12</v>
      </c>
      <c r="B8" s="13">
        <v>4</v>
      </c>
      <c r="C8" s="13">
        <v>6415</v>
      </c>
      <c r="D8" s="13">
        <v>128</v>
      </c>
      <c r="E8" s="13">
        <f>F8*Auswertung!B25</f>
        <v>31058.040262472805</v>
      </c>
      <c r="F8" s="13">
        <v>37729</v>
      </c>
      <c r="G8" s="13">
        <v>244</v>
      </c>
      <c r="H8" s="14">
        <f t="shared" ref="H8" si="5">C8/E8</f>
        <v>0.20654876952269252</v>
      </c>
      <c r="I8" s="14"/>
      <c r="J8" s="14">
        <f t="shared" si="0"/>
        <v>1.5772187224425476</v>
      </c>
      <c r="K8" s="15">
        <f>J8/B8</f>
        <v>0.39430468061063689</v>
      </c>
      <c r="L8" s="13">
        <f>L6</f>
        <v>0.60070000000000001</v>
      </c>
      <c r="M8" s="14">
        <f t="shared" si="1"/>
        <v>0.65640865758388023</v>
      </c>
    </row>
    <row r="9" spans="1:15" x14ac:dyDescent="0.25">
      <c r="B9">
        <v>4.6500000000000004</v>
      </c>
      <c r="H9" s="14">
        <v>0.18</v>
      </c>
      <c r="I9" s="1"/>
      <c r="J9" s="1">
        <f t="shared" si="0"/>
        <v>1.7147984280919266</v>
      </c>
      <c r="K9" s="2">
        <f>J9/B9</f>
        <v>0.36877385550364011</v>
      </c>
      <c r="L9">
        <f>L7</f>
        <v>0.60070000000000001</v>
      </c>
      <c r="M9" s="1">
        <f>K9/L9</f>
        <v>0.61390686782693538</v>
      </c>
    </row>
    <row r="10" spans="1:15" x14ac:dyDescent="0.25">
      <c r="B10">
        <v>5</v>
      </c>
      <c r="H10" s="14">
        <v>0.14772969999999999</v>
      </c>
      <c r="J10" s="1">
        <f t="shared" si="0"/>
        <v>1.9123710263824227</v>
      </c>
      <c r="K10" s="2">
        <f>J10/B10</f>
        <v>0.38247420527648457</v>
      </c>
      <c r="L10">
        <f>L8</f>
        <v>0.60070000000000001</v>
      </c>
      <c r="M10" s="1">
        <f>K10/L10</f>
        <v>0.63671417558928678</v>
      </c>
    </row>
    <row r="11" spans="1:15" x14ac:dyDescent="0.25">
      <c r="A11" t="s">
        <v>62</v>
      </c>
      <c r="B11">
        <v>5.5</v>
      </c>
      <c r="H11" s="14">
        <v>0.14599999999999999</v>
      </c>
      <c r="J11" s="1">
        <f t="shared" si="0"/>
        <v>1.9241486572738007</v>
      </c>
      <c r="K11" s="2">
        <f>J11/B11</f>
        <v>0.34984521041341832</v>
      </c>
      <c r="L11">
        <f t="shared" si="3"/>
        <v>0.60070000000000001</v>
      </c>
      <c r="M11" s="1">
        <f t="shared" si="1"/>
        <v>0.58239588881874194</v>
      </c>
    </row>
    <row r="17" spans="2:5" x14ac:dyDescent="0.25">
      <c r="B17">
        <v>0</v>
      </c>
      <c r="D17">
        <v>1</v>
      </c>
    </row>
    <row r="18" spans="2:5" x14ac:dyDescent="0.25">
      <c r="B18">
        <v>2</v>
      </c>
      <c r="C18" s="12">
        <v>0.31871243488713769</v>
      </c>
      <c r="D18">
        <v>0.31900000000000001</v>
      </c>
    </row>
    <row r="19" spans="2:5" x14ac:dyDescent="0.25">
      <c r="B19">
        <v>3</v>
      </c>
      <c r="C19" s="12">
        <v>0.22671968190854871</v>
      </c>
    </row>
    <row r="20" spans="2:5" x14ac:dyDescent="0.25">
      <c r="B20">
        <v>3.7450000000000001</v>
      </c>
      <c r="C20" s="12">
        <v>0.183</v>
      </c>
    </row>
    <row r="21" spans="2:5" x14ac:dyDescent="0.25">
      <c r="B21">
        <v>4</v>
      </c>
      <c r="C21" s="12">
        <v>0.17002836014736675</v>
      </c>
      <c r="D21">
        <v>0.17</v>
      </c>
    </row>
    <row r="22" spans="2:5" x14ac:dyDescent="0.25">
      <c r="B22">
        <v>4.2</v>
      </c>
      <c r="C22" s="12">
        <v>0.16</v>
      </c>
    </row>
    <row r="23" spans="2:5" x14ac:dyDescent="0.25">
      <c r="B23">
        <v>4.4000000000000004</v>
      </c>
      <c r="C23" s="12">
        <v>0.15</v>
      </c>
    </row>
    <row r="24" spans="2:5" x14ac:dyDescent="0.25">
      <c r="B24">
        <v>5</v>
      </c>
      <c r="C24" s="12">
        <v>0.125</v>
      </c>
    </row>
    <row r="26" spans="2:5" x14ac:dyDescent="0.25">
      <c r="B26">
        <v>0</v>
      </c>
      <c r="C26" s="12">
        <v>0.65</v>
      </c>
    </row>
    <row r="27" spans="2:5" x14ac:dyDescent="0.25">
      <c r="B27">
        <v>2</v>
      </c>
      <c r="C27" s="12">
        <v>0.31900000000000001</v>
      </c>
    </row>
    <row r="28" spans="2:5" x14ac:dyDescent="0.25">
      <c r="B28">
        <v>4</v>
      </c>
      <c r="C28" s="12">
        <v>0.17</v>
      </c>
    </row>
    <row r="29" spans="2:5" x14ac:dyDescent="0.25">
      <c r="B29">
        <v>5</v>
      </c>
      <c r="C29" s="1">
        <v>0.127</v>
      </c>
      <c r="D29" s="1"/>
      <c r="E29" s="1"/>
    </row>
    <row r="30" spans="2:5" x14ac:dyDescent="0.25">
      <c r="C30" s="1"/>
      <c r="D30" s="1"/>
      <c r="E30" s="1"/>
    </row>
    <row r="31" spans="2:5" x14ac:dyDescent="0.25">
      <c r="C31" s="1"/>
    </row>
    <row r="32" spans="2:5" x14ac:dyDescent="0.25">
      <c r="C32" s="1"/>
      <c r="D32" s="1"/>
      <c r="E32" s="1"/>
    </row>
    <row r="33" spans="2:11" x14ac:dyDescent="0.25">
      <c r="C33" s="1"/>
    </row>
    <row r="41" spans="2:11" x14ac:dyDescent="0.25">
      <c r="G41" t="s">
        <v>71</v>
      </c>
      <c r="H41" t="s">
        <v>3</v>
      </c>
      <c r="K41" t="s">
        <v>72</v>
      </c>
    </row>
    <row r="42" spans="2:11" x14ac:dyDescent="0.25">
      <c r="B42" t="s">
        <v>63</v>
      </c>
      <c r="C42" t="s">
        <v>64</v>
      </c>
      <c r="G42">
        <v>2</v>
      </c>
      <c r="H42">
        <f>$D$43*EXP($D$44*G42)</f>
        <v>0.3854121090115985</v>
      </c>
      <c r="K42">
        <f>$J$43*EXP($J$44*G42)</f>
        <v>0.78865531821613133</v>
      </c>
    </row>
    <row r="43" spans="2:11" x14ac:dyDescent="0.25">
      <c r="C43" t="s">
        <v>65</v>
      </c>
      <c r="D43">
        <v>0.73040499999999997</v>
      </c>
      <c r="G43">
        <v>3</v>
      </c>
      <c r="H43">
        <f t="shared" ref="H43:H47" si="6">$D$43*EXP($D$44*G43)</f>
        <v>0.27996656205936149</v>
      </c>
      <c r="J43">
        <v>0.949882</v>
      </c>
      <c r="K43">
        <f t="shared" ref="K43:K49" si="7">$J$43*EXP($J$44*G43)</f>
        <v>0.71861458174494186</v>
      </c>
    </row>
    <row r="44" spans="2:11" x14ac:dyDescent="0.25">
      <c r="C44" t="s">
        <v>66</v>
      </c>
      <c r="D44">
        <v>-0.31964300000000001</v>
      </c>
      <c r="G44">
        <v>3.76</v>
      </c>
      <c r="H44">
        <f t="shared" si="6"/>
        <v>0.21958545970824817</v>
      </c>
      <c r="J44">
        <v>-9.3004199999999995E-2</v>
      </c>
      <c r="K44">
        <f t="shared" si="7"/>
        <v>0.66957419088475589</v>
      </c>
    </row>
    <row r="45" spans="2:11" x14ac:dyDescent="0.25">
      <c r="C45" t="s">
        <v>67</v>
      </c>
      <c r="D45">
        <v>0</v>
      </c>
      <c r="G45">
        <v>4</v>
      </c>
      <c r="H45">
        <f t="shared" si="6"/>
        <v>0.20337003959826164</v>
      </c>
      <c r="J45">
        <v>0</v>
      </c>
      <c r="K45">
        <f t="shared" si="7"/>
        <v>0.65479418596266425</v>
      </c>
    </row>
    <row r="46" spans="2:11" x14ac:dyDescent="0.25">
      <c r="G46">
        <v>4.6500000000000004</v>
      </c>
      <c r="H46">
        <f t="shared" si="6"/>
        <v>0.16521691135448341</v>
      </c>
      <c r="K46">
        <f t="shared" si="7"/>
        <v>0.61638282296354818</v>
      </c>
    </row>
    <row r="47" spans="2:11" x14ac:dyDescent="0.25">
      <c r="G47" s="16">
        <v>5</v>
      </c>
      <c r="H47">
        <f t="shared" si="6"/>
        <v>0.1477296885098337</v>
      </c>
      <c r="I47">
        <f>-LN(H47)</f>
        <v>1.912371104160735</v>
      </c>
      <c r="K47" s="16">
        <f t="shared" si="7"/>
        <v>0.59664170038047804</v>
      </c>
    </row>
    <row r="49" spans="3:11" x14ac:dyDescent="0.25">
      <c r="C49" t="s">
        <v>68</v>
      </c>
      <c r="D49" t="s">
        <v>69</v>
      </c>
      <c r="G49">
        <v>1</v>
      </c>
      <c r="K49" s="16">
        <f t="shared" si="7"/>
        <v>0.86552266924545385</v>
      </c>
    </row>
  </sheetData>
  <mergeCells count="1">
    <mergeCell ref="L1:L2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9"/>
  <sheetViews>
    <sheetView tabSelected="1" workbookViewId="0">
      <selection activeCell="C47" sqref="C47"/>
    </sheetView>
  </sheetViews>
  <sheetFormatPr baseColWidth="10" defaultRowHeight="15" x14ac:dyDescent="0.25"/>
  <cols>
    <col min="1" max="1" width="15.140625" customWidth="1"/>
    <col min="2" max="2" width="29.5703125" customWidth="1"/>
    <col min="7" max="7" width="17.28515625" customWidth="1"/>
    <col min="11" max="11" width="13.85546875" customWidth="1"/>
    <col min="12" max="12" width="16.85546875" customWidth="1"/>
  </cols>
  <sheetData>
    <row r="2" spans="1:12" x14ac:dyDescent="0.25">
      <c r="A2" t="s">
        <v>148</v>
      </c>
      <c r="B2" t="s">
        <v>0</v>
      </c>
      <c r="C2" s="4" t="s">
        <v>1</v>
      </c>
      <c r="D2" s="4" t="s">
        <v>5</v>
      </c>
      <c r="E2" s="4" t="s">
        <v>151</v>
      </c>
      <c r="F2" s="4" t="s">
        <v>5</v>
      </c>
      <c r="G2" s="4" t="s">
        <v>281</v>
      </c>
      <c r="H2" s="4" t="s">
        <v>282</v>
      </c>
      <c r="I2" s="4" t="s">
        <v>283</v>
      </c>
      <c r="J2" s="48" t="s">
        <v>9</v>
      </c>
      <c r="K2" s="25" t="s">
        <v>284</v>
      </c>
      <c r="L2" s="4" t="s">
        <v>285</v>
      </c>
    </row>
    <row r="4" spans="1:12" x14ac:dyDescent="0.25">
      <c r="A4" t="s">
        <v>149</v>
      </c>
      <c r="B4" t="s">
        <v>150</v>
      </c>
      <c r="C4">
        <v>20167.3</v>
      </c>
      <c r="D4">
        <v>250.37799999999999</v>
      </c>
      <c r="E4">
        <v>26610.400000000001</v>
      </c>
      <c r="F4">
        <v>215.16499999999999</v>
      </c>
      <c r="G4" s="49">
        <v>0.2</v>
      </c>
      <c r="H4" s="3">
        <f>C4/E4</f>
        <v>0.75787286173826762</v>
      </c>
      <c r="J4" s="3">
        <f>-LN(H4)</f>
        <v>0.27723963598525969</v>
      </c>
      <c r="L4" s="3">
        <f>J4/G4</f>
        <v>1.3861981799262983</v>
      </c>
    </row>
    <row r="5" spans="1:12" x14ac:dyDescent="0.25">
      <c r="B5" t="s">
        <v>152</v>
      </c>
      <c r="C5">
        <v>16393.8</v>
      </c>
      <c r="D5">
        <v>231.535</v>
      </c>
      <c r="E5">
        <v>26614.400000000001</v>
      </c>
      <c r="F5">
        <v>216.114</v>
      </c>
      <c r="G5" s="49">
        <f>G4+0.2</f>
        <v>0.4</v>
      </c>
      <c r="H5" s="3">
        <f t="shared" ref="H5:H68" si="0">C5/E5</f>
        <v>0.61597481062883241</v>
      </c>
      <c r="J5" s="3">
        <f t="shared" ref="J5:J23" si="1">-LN(H5)</f>
        <v>0.4845492081210222</v>
      </c>
      <c r="L5" s="3">
        <f t="shared" ref="L5:L23" si="2">J5/G5</f>
        <v>1.2113730203025554</v>
      </c>
    </row>
    <row r="6" spans="1:12" x14ac:dyDescent="0.25">
      <c r="B6" t="s">
        <v>153</v>
      </c>
      <c r="C6">
        <v>13688.3</v>
      </c>
      <c r="D6">
        <v>217.41200000000001</v>
      </c>
      <c r="E6">
        <v>26736.400000000001</v>
      </c>
      <c r="F6">
        <v>223.34100000000001</v>
      </c>
      <c r="G6" s="49">
        <f t="shared" ref="G6:G23" si="3">G5+0.2</f>
        <v>0.60000000000000009</v>
      </c>
      <c r="H6" s="3">
        <f t="shared" si="0"/>
        <v>0.51197244206400261</v>
      </c>
      <c r="J6" s="3">
        <f t="shared" si="1"/>
        <v>0.66948447948494272</v>
      </c>
      <c r="L6" s="3">
        <f t="shared" si="2"/>
        <v>1.1158074658082378</v>
      </c>
    </row>
    <row r="7" spans="1:12" x14ac:dyDescent="0.25">
      <c r="B7" t="s">
        <v>154</v>
      </c>
      <c r="C7">
        <v>11516.1</v>
      </c>
      <c r="D7">
        <v>192.24799999999999</v>
      </c>
      <c r="E7">
        <v>26552.799999999999</v>
      </c>
      <c r="F7">
        <v>205.41499999999999</v>
      </c>
      <c r="G7" s="49">
        <f t="shared" si="3"/>
        <v>0.8</v>
      </c>
      <c r="H7" s="3">
        <f t="shared" si="0"/>
        <v>0.43370567322466935</v>
      </c>
      <c r="J7" s="3">
        <f t="shared" si="1"/>
        <v>0.83538914723797131</v>
      </c>
      <c r="L7" s="3">
        <f t="shared" si="2"/>
        <v>1.0442364340474641</v>
      </c>
    </row>
    <row r="8" spans="1:12" x14ac:dyDescent="0.25">
      <c r="B8" t="s">
        <v>155</v>
      </c>
      <c r="C8">
        <v>9803.8700000000008</v>
      </c>
      <c r="D8">
        <v>178.483</v>
      </c>
      <c r="E8">
        <v>26515.9</v>
      </c>
      <c r="F8">
        <v>206.68100000000001</v>
      </c>
      <c r="G8" s="49">
        <f t="shared" si="3"/>
        <v>1</v>
      </c>
      <c r="H8" s="3">
        <f t="shared" si="0"/>
        <v>0.36973551718025788</v>
      </c>
      <c r="J8" s="3">
        <f t="shared" si="1"/>
        <v>0.99496734738011205</v>
      </c>
      <c r="L8" s="3">
        <f t="shared" si="2"/>
        <v>0.99496734738011205</v>
      </c>
    </row>
    <row r="9" spans="1:12" x14ac:dyDescent="0.25">
      <c r="B9" t="s">
        <v>156</v>
      </c>
      <c r="C9">
        <v>8428.6200000000008</v>
      </c>
      <c r="D9">
        <v>168.298</v>
      </c>
      <c r="E9">
        <v>26550.2</v>
      </c>
      <c r="F9">
        <v>215.41</v>
      </c>
      <c r="G9" s="49">
        <f t="shared" si="3"/>
        <v>1.2</v>
      </c>
      <c r="H9" s="3">
        <f t="shared" si="0"/>
        <v>0.31745975548206795</v>
      </c>
      <c r="J9" s="3">
        <f t="shared" si="1"/>
        <v>1.1474042230705945</v>
      </c>
      <c r="L9" s="3">
        <f t="shared" si="2"/>
        <v>0.95617018589216218</v>
      </c>
    </row>
    <row r="10" spans="1:12" x14ac:dyDescent="0.25">
      <c r="B10" t="s">
        <v>157</v>
      </c>
      <c r="C10">
        <v>7287.4</v>
      </c>
      <c r="D10">
        <v>158.798</v>
      </c>
      <c r="E10">
        <v>26542.400000000001</v>
      </c>
      <c r="F10">
        <v>213.73</v>
      </c>
      <c r="G10" s="49">
        <f t="shared" si="3"/>
        <v>1.4</v>
      </c>
      <c r="H10" s="3">
        <f t="shared" si="0"/>
        <v>0.27455693531858455</v>
      </c>
      <c r="J10" s="3">
        <f t="shared" si="1"/>
        <v>1.292596624900342</v>
      </c>
      <c r="L10" s="3">
        <f t="shared" si="2"/>
        <v>0.92328330350024435</v>
      </c>
    </row>
    <row r="11" spans="1:12" x14ac:dyDescent="0.25">
      <c r="B11" t="s">
        <v>158</v>
      </c>
      <c r="C11">
        <v>6341.45</v>
      </c>
      <c r="D11">
        <v>151.21799999999999</v>
      </c>
      <c r="E11">
        <v>26529.200000000001</v>
      </c>
      <c r="F11">
        <v>211.50700000000001</v>
      </c>
      <c r="G11" s="49">
        <f t="shared" si="3"/>
        <v>1.5999999999999999</v>
      </c>
      <c r="H11" s="3">
        <f t="shared" si="0"/>
        <v>0.23903660871794097</v>
      </c>
      <c r="J11" s="3">
        <f t="shared" si="1"/>
        <v>1.4311385642285961</v>
      </c>
      <c r="L11" s="3">
        <f t="shared" si="2"/>
        <v>0.89446160264287267</v>
      </c>
    </row>
    <row r="12" spans="1:12" x14ac:dyDescent="0.25">
      <c r="B12" t="s">
        <v>159</v>
      </c>
      <c r="C12">
        <v>5544.57</v>
      </c>
      <c r="D12">
        <v>145.93299999999999</v>
      </c>
      <c r="E12">
        <v>26525.3</v>
      </c>
      <c r="F12">
        <v>213.84100000000001</v>
      </c>
      <c r="G12" s="49">
        <f t="shared" si="3"/>
        <v>1.7999999999999998</v>
      </c>
      <c r="H12" s="3">
        <f t="shared" si="0"/>
        <v>0.2090294925976332</v>
      </c>
      <c r="J12" s="3">
        <f t="shared" si="1"/>
        <v>1.56527992406548</v>
      </c>
      <c r="L12" s="3">
        <f t="shared" si="2"/>
        <v>0.86959995781415567</v>
      </c>
    </row>
    <row r="13" spans="1:12" x14ac:dyDescent="0.25">
      <c r="B13" t="s">
        <v>160</v>
      </c>
      <c r="C13">
        <v>4868.3999999999996</v>
      </c>
      <c r="D13">
        <v>142.09399999999999</v>
      </c>
      <c r="E13">
        <v>26506.799999999999</v>
      </c>
      <c r="F13">
        <v>212.19399999999999</v>
      </c>
      <c r="G13" s="49">
        <f t="shared" si="3"/>
        <v>1.9999999999999998</v>
      </c>
      <c r="H13" s="3">
        <f t="shared" si="0"/>
        <v>0.18366607813843994</v>
      </c>
      <c r="J13" s="3">
        <f t="shared" si="1"/>
        <v>1.6946359628303793</v>
      </c>
      <c r="L13" s="3">
        <f t="shared" si="2"/>
        <v>0.84731798141518977</v>
      </c>
    </row>
    <row r="14" spans="1:12" x14ac:dyDescent="0.25">
      <c r="B14" t="s">
        <v>161</v>
      </c>
      <c r="C14">
        <v>4297.7700000000004</v>
      </c>
      <c r="D14">
        <v>139.40100000000001</v>
      </c>
      <c r="E14">
        <v>26510.1</v>
      </c>
      <c r="F14">
        <v>214.751</v>
      </c>
      <c r="G14" s="49">
        <f t="shared" si="3"/>
        <v>2.1999999999999997</v>
      </c>
      <c r="H14" s="3">
        <f t="shared" si="0"/>
        <v>0.16211821154956038</v>
      </c>
      <c r="J14" s="3">
        <f t="shared" si="1"/>
        <v>1.8194295089288173</v>
      </c>
      <c r="L14" s="3">
        <f t="shared" si="2"/>
        <v>0.82701341314946253</v>
      </c>
    </row>
    <row r="15" spans="1:12" x14ac:dyDescent="0.25">
      <c r="B15" t="s">
        <v>162</v>
      </c>
      <c r="C15">
        <v>3811.13</v>
      </c>
      <c r="D15">
        <v>137.28299999999999</v>
      </c>
      <c r="E15">
        <v>26533.599999999999</v>
      </c>
      <c r="F15">
        <v>218.441</v>
      </c>
      <c r="G15" s="49">
        <f t="shared" si="3"/>
        <v>2.4</v>
      </c>
      <c r="H15" s="3">
        <f t="shared" si="0"/>
        <v>0.14363410920493264</v>
      </c>
      <c r="J15" s="3">
        <f t="shared" si="1"/>
        <v>1.9404861212913662</v>
      </c>
      <c r="L15" s="3">
        <f t="shared" si="2"/>
        <v>0.80853588387140263</v>
      </c>
    </row>
    <row r="16" spans="1:12" x14ac:dyDescent="0.25">
      <c r="B16" t="s">
        <v>163</v>
      </c>
      <c r="C16">
        <v>3392.48</v>
      </c>
      <c r="D16">
        <v>137.071</v>
      </c>
      <c r="E16">
        <v>26498.1</v>
      </c>
      <c r="F16">
        <v>212.15600000000001</v>
      </c>
      <c r="G16" s="49">
        <f t="shared" si="3"/>
        <v>2.6</v>
      </c>
      <c r="H16" s="3">
        <f t="shared" si="0"/>
        <v>0.12802729252286013</v>
      </c>
      <c r="J16" s="3">
        <f t="shared" si="1"/>
        <v>2.0555118149564331</v>
      </c>
      <c r="L16" s="3">
        <f t="shared" si="2"/>
        <v>0.79058146729093581</v>
      </c>
    </row>
    <row r="17" spans="2:12" x14ac:dyDescent="0.25">
      <c r="B17" t="s">
        <v>164</v>
      </c>
      <c r="C17">
        <v>3037.47</v>
      </c>
      <c r="D17">
        <v>150.196</v>
      </c>
      <c r="E17">
        <v>26482.3</v>
      </c>
      <c r="F17">
        <v>212.08600000000001</v>
      </c>
      <c r="G17" s="49">
        <f t="shared" si="3"/>
        <v>2.8000000000000003</v>
      </c>
      <c r="H17" s="3">
        <f t="shared" si="0"/>
        <v>0.11469811912107332</v>
      </c>
      <c r="J17" s="3">
        <f t="shared" si="1"/>
        <v>2.165451653228228</v>
      </c>
      <c r="L17" s="3">
        <f t="shared" si="2"/>
        <v>0.77337559043865278</v>
      </c>
    </row>
    <row r="18" spans="2:12" x14ac:dyDescent="0.25">
      <c r="B18" t="s">
        <v>165</v>
      </c>
      <c r="C18">
        <v>2741.98</v>
      </c>
      <c r="D18">
        <v>181.32400000000001</v>
      </c>
      <c r="E18">
        <v>26539.7</v>
      </c>
      <c r="F18">
        <v>219.65600000000001</v>
      </c>
      <c r="G18" s="49">
        <f t="shared" si="3"/>
        <v>3.0000000000000004</v>
      </c>
      <c r="H18" s="3">
        <f t="shared" si="0"/>
        <v>0.10331616408625569</v>
      </c>
      <c r="J18" s="3">
        <f t="shared" si="1"/>
        <v>2.2699614379801378</v>
      </c>
      <c r="L18" s="3">
        <f t="shared" si="2"/>
        <v>0.75665381266004583</v>
      </c>
    </row>
    <row r="19" spans="2:12" x14ac:dyDescent="0.25">
      <c r="B19" t="s">
        <v>166</v>
      </c>
      <c r="C19">
        <v>2480.5100000000002</v>
      </c>
      <c r="D19">
        <v>215.07300000000001</v>
      </c>
      <c r="E19">
        <v>26448.2</v>
      </c>
      <c r="F19">
        <v>208.51300000000001</v>
      </c>
      <c r="G19" s="49">
        <f t="shared" si="3"/>
        <v>3.2000000000000006</v>
      </c>
      <c r="H19" s="3">
        <f t="shared" si="0"/>
        <v>9.3787478921060791E-2</v>
      </c>
      <c r="J19" s="3">
        <f t="shared" si="1"/>
        <v>2.3667239188624327</v>
      </c>
      <c r="L19" s="3">
        <f t="shared" si="2"/>
        <v>0.73960122464451006</v>
      </c>
    </row>
    <row r="20" spans="2:12" x14ac:dyDescent="0.25">
      <c r="B20" t="s">
        <v>167</v>
      </c>
      <c r="C20">
        <v>2265.15</v>
      </c>
      <c r="D20">
        <v>264.13799999999998</v>
      </c>
      <c r="E20">
        <v>26407</v>
      </c>
      <c r="F20">
        <v>205.80799999999999</v>
      </c>
      <c r="G20" s="49">
        <f t="shared" si="3"/>
        <v>3.4000000000000008</v>
      </c>
      <c r="H20" s="3">
        <f t="shared" si="0"/>
        <v>8.577839209300564E-2</v>
      </c>
      <c r="J20" s="3">
        <f t="shared" si="1"/>
        <v>2.455988144613201</v>
      </c>
      <c r="L20" s="3">
        <f t="shared" si="2"/>
        <v>0.72234945429800013</v>
      </c>
    </row>
    <row r="21" spans="2:12" x14ac:dyDescent="0.25">
      <c r="B21" t="s">
        <v>168</v>
      </c>
      <c r="C21">
        <v>2079.31</v>
      </c>
      <c r="D21">
        <v>299.29399999999998</v>
      </c>
      <c r="E21">
        <v>26441.3</v>
      </c>
      <c r="F21">
        <v>210.08099999999999</v>
      </c>
      <c r="G21" s="49">
        <f t="shared" si="3"/>
        <v>3.600000000000001</v>
      </c>
      <c r="H21" s="3">
        <f t="shared" si="0"/>
        <v>7.8638720486511632E-2</v>
      </c>
      <c r="J21" s="3">
        <f t="shared" si="1"/>
        <v>2.5428910737929926</v>
      </c>
      <c r="L21" s="3">
        <f t="shared" si="2"/>
        <v>0.70635863160916446</v>
      </c>
    </row>
    <row r="22" spans="2:12" x14ac:dyDescent="0.25">
      <c r="B22" t="s">
        <v>169</v>
      </c>
      <c r="C22">
        <v>1918.25</v>
      </c>
      <c r="D22">
        <v>339.83</v>
      </c>
      <c r="E22">
        <v>26497.1</v>
      </c>
      <c r="F22">
        <v>217.35499999999999</v>
      </c>
      <c r="G22" s="49">
        <f t="shared" si="3"/>
        <v>3.8000000000000012</v>
      </c>
      <c r="H22" s="3">
        <f t="shared" si="0"/>
        <v>7.2394714893327952E-2</v>
      </c>
      <c r="J22" s="3">
        <f t="shared" si="1"/>
        <v>2.625621980965942</v>
      </c>
      <c r="L22" s="3">
        <f t="shared" si="2"/>
        <v>0.69095315288577397</v>
      </c>
    </row>
    <row r="23" spans="2:12" x14ac:dyDescent="0.25">
      <c r="B23" t="s">
        <v>170</v>
      </c>
      <c r="C23">
        <v>1780.4</v>
      </c>
      <c r="D23">
        <v>382.387</v>
      </c>
      <c r="E23">
        <v>26446</v>
      </c>
      <c r="F23">
        <v>208.87299999999999</v>
      </c>
      <c r="G23" s="49">
        <f t="shared" si="3"/>
        <v>4.0000000000000009</v>
      </c>
      <c r="H23" s="3">
        <f t="shared" si="0"/>
        <v>6.7322090297209411E-2</v>
      </c>
      <c r="J23" s="3">
        <f t="shared" si="1"/>
        <v>2.6982668599750688</v>
      </c>
      <c r="L23" s="3">
        <f t="shared" si="2"/>
        <v>0.67456671499376708</v>
      </c>
    </row>
    <row r="24" spans="2:12" x14ac:dyDescent="0.25">
      <c r="G24" s="49"/>
      <c r="H24" s="3"/>
      <c r="J24" s="3"/>
      <c r="L24" s="3"/>
    </row>
    <row r="25" spans="2:12" x14ac:dyDescent="0.25">
      <c r="B25" t="s">
        <v>171</v>
      </c>
      <c r="C25">
        <v>12434.1</v>
      </c>
      <c r="D25">
        <v>161.68700000000001</v>
      </c>
      <c r="E25">
        <v>16099.5</v>
      </c>
      <c r="F25">
        <v>151.108</v>
      </c>
      <c r="G25" s="49">
        <v>0.2</v>
      </c>
      <c r="H25" s="3">
        <f t="shared" si="0"/>
        <v>0.77232833317804905</v>
      </c>
      <c r="J25" s="3">
        <f>-LN(H25)</f>
        <v>0.25834551732853528</v>
      </c>
      <c r="L25" s="3">
        <f>J25/G25</f>
        <v>1.2917275866426763</v>
      </c>
    </row>
    <row r="26" spans="2:12" x14ac:dyDescent="0.25">
      <c r="B26" t="s">
        <v>172</v>
      </c>
      <c r="C26">
        <v>10216.299999999999</v>
      </c>
      <c r="D26">
        <v>150.453</v>
      </c>
      <c r="E26">
        <v>16053.1</v>
      </c>
      <c r="F26">
        <v>148.05799999999999</v>
      </c>
      <c r="G26" s="49">
        <f>G25+0.2</f>
        <v>0.4</v>
      </c>
      <c r="H26" s="3">
        <f t="shared" si="0"/>
        <v>0.63640667534619477</v>
      </c>
      <c r="J26" s="3">
        <f t="shared" ref="J26:J44" si="4">-LN(H26)</f>
        <v>0.45191749334316678</v>
      </c>
      <c r="L26" s="3">
        <f t="shared" ref="L26:L44" si="5">J26/G26</f>
        <v>1.1297937333579169</v>
      </c>
    </row>
    <row r="27" spans="2:12" x14ac:dyDescent="0.25">
      <c r="B27" t="s">
        <v>173</v>
      </c>
      <c r="C27">
        <v>8574.2999999999993</v>
      </c>
      <c r="D27">
        <v>138.989</v>
      </c>
      <c r="E27">
        <v>16026.7</v>
      </c>
      <c r="F27">
        <v>147.12299999999999</v>
      </c>
      <c r="G27" s="49">
        <f t="shared" ref="G27:G44" si="6">G26+0.2</f>
        <v>0.60000000000000009</v>
      </c>
      <c r="H27" s="3">
        <f t="shared" si="0"/>
        <v>0.53500096713609158</v>
      </c>
      <c r="J27" s="3">
        <f t="shared" si="4"/>
        <v>0.62548672435675212</v>
      </c>
      <c r="L27" s="3">
        <f t="shared" si="5"/>
        <v>1.0424778739279201</v>
      </c>
    </row>
    <row r="28" spans="2:12" x14ac:dyDescent="0.25">
      <c r="B28" t="s">
        <v>174</v>
      </c>
      <c r="C28">
        <v>7293.84</v>
      </c>
      <c r="D28">
        <v>130.84</v>
      </c>
      <c r="E28">
        <v>16009</v>
      </c>
      <c r="F28">
        <v>146.94900000000001</v>
      </c>
      <c r="G28" s="49">
        <f t="shared" si="6"/>
        <v>0.8</v>
      </c>
      <c r="H28" s="3">
        <f t="shared" si="0"/>
        <v>0.45560872009494663</v>
      </c>
      <c r="J28" s="3">
        <f t="shared" si="4"/>
        <v>0.78612090778773769</v>
      </c>
      <c r="L28" s="3">
        <f t="shared" si="5"/>
        <v>0.98265113473467203</v>
      </c>
    </row>
    <row r="29" spans="2:12" x14ac:dyDescent="0.25">
      <c r="B29" t="s">
        <v>175</v>
      </c>
      <c r="C29">
        <v>6264.51</v>
      </c>
      <c r="D29">
        <v>124.51</v>
      </c>
      <c r="E29">
        <v>16021.8</v>
      </c>
      <c r="F29">
        <v>148.10400000000001</v>
      </c>
      <c r="G29" s="49">
        <f t="shared" si="6"/>
        <v>1</v>
      </c>
      <c r="H29" s="3">
        <f t="shared" si="0"/>
        <v>0.39099913867355729</v>
      </c>
      <c r="J29" s="3">
        <f t="shared" si="4"/>
        <v>0.93904992188012526</v>
      </c>
      <c r="L29" s="3">
        <f t="shared" si="5"/>
        <v>0.93904992188012526</v>
      </c>
    </row>
    <row r="30" spans="2:12" x14ac:dyDescent="0.25">
      <c r="B30" t="s">
        <v>176</v>
      </c>
      <c r="C30">
        <v>5422.32</v>
      </c>
      <c r="D30">
        <v>119.587</v>
      </c>
      <c r="E30">
        <v>16016.3</v>
      </c>
      <c r="F30">
        <v>147.44900000000001</v>
      </c>
      <c r="G30" s="49">
        <f t="shared" si="6"/>
        <v>1.2</v>
      </c>
      <c r="H30" s="3">
        <f t="shared" si="0"/>
        <v>0.33855010208350245</v>
      </c>
      <c r="J30" s="3">
        <f t="shared" si="4"/>
        <v>1.0830831855189893</v>
      </c>
      <c r="L30" s="3">
        <f t="shared" si="5"/>
        <v>0.90256932126582445</v>
      </c>
    </row>
    <row r="31" spans="2:12" x14ac:dyDescent="0.25">
      <c r="B31" t="s">
        <v>177</v>
      </c>
      <c r="C31">
        <v>4719.12</v>
      </c>
      <c r="D31">
        <v>114.84099999999999</v>
      </c>
      <c r="E31">
        <v>15997.2</v>
      </c>
      <c r="F31">
        <v>147.09200000000001</v>
      </c>
      <c r="G31" s="49">
        <f t="shared" si="6"/>
        <v>1.4</v>
      </c>
      <c r="H31" s="3">
        <f t="shared" si="0"/>
        <v>0.2949966244092716</v>
      </c>
      <c r="J31" s="3">
        <f t="shared" si="4"/>
        <v>1.2207913653882205</v>
      </c>
      <c r="L31" s="3">
        <f t="shared" si="5"/>
        <v>0.8719938324201576</v>
      </c>
    </row>
    <row r="32" spans="2:12" x14ac:dyDescent="0.25">
      <c r="B32" t="s">
        <v>178</v>
      </c>
      <c r="C32">
        <v>4131.5200000000004</v>
      </c>
      <c r="D32">
        <v>110.899</v>
      </c>
      <c r="E32">
        <v>16005.6</v>
      </c>
      <c r="F32">
        <v>147.24299999999999</v>
      </c>
      <c r="G32" s="49">
        <f t="shared" si="6"/>
        <v>1.5999999999999999</v>
      </c>
      <c r="H32" s="3">
        <f t="shared" si="0"/>
        <v>0.25812965462088272</v>
      </c>
      <c r="J32" s="3">
        <f t="shared" si="4"/>
        <v>1.3542932829998522</v>
      </c>
      <c r="L32" s="3">
        <f t="shared" si="5"/>
        <v>0.84643330187490773</v>
      </c>
    </row>
    <row r="33" spans="1:12" x14ac:dyDescent="0.25">
      <c r="B33" t="s">
        <v>179</v>
      </c>
      <c r="C33">
        <v>3632.73</v>
      </c>
      <c r="D33">
        <v>106.893</v>
      </c>
      <c r="E33">
        <v>16015.8</v>
      </c>
      <c r="F33">
        <v>148.45699999999999</v>
      </c>
      <c r="G33" s="49">
        <f t="shared" si="6"/>
        <v>1.7999999999999998</v>
      </c>
      <c r="H33" s="3">
        <f t="shared" si="0"/>
        <v>0.22682163863185106</v>
      </c>
      <c r="J33" s="3">
        <f t="shared" si="4"/>
        <v>1.4835913032499564</v>
      </c>
      <c r="L33" s="3">
        <f t="shared" si="5"/>
        <v>0.82421739069442024</v>
      </c>
    </row>
    <row r="34" spans="1:12" x14ac:dyDescent="0.25">
      <c r="B34" t="s">
        <v>180</v>
      </c>
      <c r="C34">
        <v>3209.09</v>
      </c>
      <c r="D34">
        <v>104.965</v>
      </c>
      <c r="E34">
        <v>16011</v>
      </c>
      <c r="F34">
        <v>148.21799999999999</v>
      </c>
      <c r="G34" s="49">
        <f t="shared" si="6"/>
        <v>1.9999999999999998</v>
      </c>
      <c r="H34" s="3">
        <f t="shared" si="0"/>
        <v>0.20043032914871028</v>
      </c>
      <c r="J34" s="3">
        <f t="shared" si="4"/>
        <v>1.607288578165196</v>
      </c>
      <c r="L34" s="3">
        <f t="shared" si="5"/>
        <v>0.80364428908259811</v>
      </c>
    </row>
    <row r="35" spans="1:12" x14ac:dyDescent="0.25">
      <c r="B35" t="s">
        <v>181</v>
      </c>
      <c r="C35">
        <v>2837.76</v>
      </c>
      <c r="D35">
        <v>107.693</v>
      </c>
      <c r="E35">
        <v>16008.7</v>
      </c>
      <c r="F35">
        <v>148.30099999999999</v>
      </c>
      <c r="G35" s="49">
        <f t="shared" si="6"/>
        <v>2.1999999999999997</v>
      </c>
      <c r="H35" s="3">
        <f t="shared" si="0"/>
        <v>0.17726361291047993</v>
      </c>
      <c r="J35" s="3">
        <f t="shared" si="4"/>
        <v>1.7301173158956171</v>
      </c>
      <c r="L35" s="3">
        <f t="shared" si="5"/>
        <v>0.78641696177073517</v>
      </c>
    </row>
    <row r="36" spans="1:12" x14ac:dyDescent="0.25">
      <c r="B36" t="s">
        <v>182</v>
      </c>
      <c r="C36">
        <v>2517.04</v>
      </c>
      <c r="D36">
        <v>109.871</v>
      </c>
      <c r="E36">
        <v>15994.3</v>
      </c>
      <c r="F36">
        <v>147.631</v>
      </c>
      <c r="G36" s="49">
        <f t="shared" si="6"/>
        <v>2.4</v>
      </c>
      <c r="H36" s="3">
        <f t="shared" si="0"/>
        <v>0.15737106344135099</v>
      </c>
      <c r="J36" s="3">
        <f t="shared" si="4"/>
        <v>1.8491488008059285</v>
      </c>
      <c r="L36" s="3">
        <f t="shared" si="5"/>
        <v>0.77047866700247025</v>
      </c>
    </row>
    <row r="37" spans="1:12" x14ac:dyDescent="0.25">
      <c r="B37" t="s">
        <v>183</v>
      </c>
      <c r="C37">
        <v>2242.6</v>
      </c>
      <c r="D37">
        <v>108.70399999999999</v>
      </c>
      <c r="E37">
        <v>15979.6</v>
      </c>
      <c r="F37">
        <v>147.024</v>
      </c>
      <c r="G37" s="49">
        <f t="shared" si="6"/>
        <v>2.6</v>
      </c>
      <c r="H37" s="3">
        <f t="shared" si="0"/>
        <v>0.14034143533004581</v>
      </c>
      <c r="J37" s="3">
        <f t="shared" si="4"/>
        <v>1.9636770016910861</v>
      </c>
      <c r="L37" s="3">
        <f t="shared" si="5"/>
        <v>0.7552603852658023</v>
      </c>
    </row>
    <row r="38" spans="1:12" x14ac:dyDescent="0.25">
      <c r="B38" t="s">
        <v>184</v>
      </c>
      <c r="C38">
        <v>2006.6</v>
      </c>
      <c r="D38">
        <v>119.05200000000001</v>
      </c>
      <c r="E38">
        <v>15981.9</v>
      </c>
      <c r="F38">
        <v>147.13</v>
      </c>
      <c r="G38" s="49">
        <f t="shared" si="6"/>
        <v>2.8000000000000003</v>
      </c>
      <c r="H38" s="3">
        <f t="shared" si="0"/>
        <v>0.12555453356609664</v>
      </c>
      <c r="J38" s="3">
        <f t="shared" si="4"/>
        <v>2.0750150843841513</v>
      </c>
      <c r="L38" s="3">
        <f t="shared" si="5"/>
        <v>0.74107681585148255</v>
      </c>
    </row>
    <row r="39" spans="1:12" x14ac:dyDescent="0.25">
      <c r="B39" t="s">
        <v>185</v>
      </c>
      <c r="C39">
        <v>1800.75</v>
      </c>
      <c r="D39">
        <v>120.095</v>
      </c>
      <c r="E39">
        <v>16001.1</v>
      </c>
      <c r="F39">
        <v>148.31800000000001</v>
      </c>
      <c r="G39" s="49">
        <f t="shared" si="6"/>
        <v>3.0000000000000004</v>
      </c>
      <c r="H39" s="3">
        <f t="shared" si="0"/>
        <v>0.11253913793426702</v>
      </c>
      <c r="J39" s="3">
        <f t="shared" si="4"/>
        <v>2.1844542250892731</v>
      </c>
      <c r="L39" s="3">
        <f t="shared" si="5"/>
        <v>0.72815140836309089</v>
      </c>
    </row>
    <row r="40" spans="1:12" x14ac:dyDescent="0.25">
      <c r="B40" t="s">
        <v>186</v>
      </c>
      <c r="C40">
        <v>1649.03</v>
      </c>
      <c r="D40">
        <v>132.02799999999999</v>
      </c>
      <c r="E40">
        <v>16026.3</v>
      </c>
      <c r="F40">
        <v>149.72300000000001</v>
      </c>
      <c r="G40" s="49">
        <f t="shared" si="6"/>
        <v>3.2000000000000006</v>
      </c>
      <c r="H40" s="3">
        <f t="shared" si="0"/>
        <v>0.10289524094769223</v>
      </c>
      <c r="J40" s="3">
        <f t="shared" si="4"/>
        <v>2.274043886505229</v>
      </c>
      <c r="L40" s="3">
        <f t="shared" si="5"/>
        <v>0.71063871453288396</v>
      </c>
    </row>
    <row r="41" spans="1:12" x14ac:dyDescent="0.25">
      <c r="B41" t="s">
        <v>187</v>
      </c>
      <c r="C41">
        <v>1529.11</v>
      </c>
      <c r="D41">
        <v>156.42099999999999</v>
      </c>
      <c r="E41">
        <v>16029.7</v>
      </c>
      <c r="F41">
        <v>149.6</v>
      </c>
      <c r="G41" s="49">
        <f t="shared" si="6"/>
        <v>3.4000000000000008</v>
      </c>
      <c r="H41" s="3">
        <f t="shared" si="0"/>
        <v>9.539230303748665E-2</v>
      </c>
      <c r="J41" s="3">
        <f t="shared" si="4"/>
        <v>2.3497573847315563</v>
      </c>
      <c r="L41" s="3">
        <f t="shared" si="5"/>
        <v>0.69110511315633993</v>
      </c>
    </row>
    <row r="42" spans="1:12" x14ac:dyDescent="0.25">
      <c r="B42" t="s">
        <v>188</v>
      </c>
      <c r="C42">
        <v>1405.02</v>
      </c>
      <c r="D42">
        <v>193.143</v>
      </c>
      <c r="E42">
        <v>15997.2</v>
      </c>
      <c r="F42">
        <v>147.68899999999999</v>
      </c>
      <c r="G42" s="49">
        <f t="shared" si="6"/>
        <v>3.600000000000001</v>
      </c>
      <c r="H42" s="3">
        <f t="shared" si="0"/>
        <v>8.7829120096016802E-2</v>
      </c>
      <c r="J42" s="3">
        <f t="shared" si="4"/>
        <v>2.4323621693656556</v>
      </c>
      <c r="L42" s="3">
        <f t="shared" si="5"/>
        <v>0.67565615815712643</v>
      </c>
    </row>
    <row r="43" spans="1:12" x14ac:dyDescent="0.25">
      <c r="B43" t="s">
        <v>189</v>
      </c>
      <c r="C43">
        <v>1294.9000000000001</v>
      </c>
      <c r="D43">
        <v>224.38</v>
      </c>
      <c r="E43">
        <v>16004.2</v>
      </c>
      <c r="F43">
        <v>148.059</v>
      </c>
      <c r="G43" s="49">
        <f t="shared" si="6"/>
        <v>3.8000000000000012</v>
      </c>
      <c r="H43" s="3">
        <f t="shared" si="0"/>
        <v>8.0910011122080461E-2</v>
      </c>
      <c r="J43" s="3">
        <f t="shared" si="4"/>
        <v>2.5144177157000271</v>
      </c>
      <c r="L43" s="3">
        <f t="shared" si="5"/>
        <v>0.66168887255263853</v>
      </c>
    </row>
    <row r="44" spans="1:12" x14ac:dyDescent="0.25">
      <c r="B44" t="s">
        <v>190</v>
      </c>
      <c r="C44">
        <v>1203.3599999999999</v>
      </c>
      <c r="D44">
        <v>250.755</v>
      </c>
      <c r="E44">
        <v>16028</v>
      </c>
      <c r="F44">
        <v>149.37299999999999</v>
      </c>
      <c r="G44" s="49">
        <f t="shared" si="6"/>
        <v>4.0000000000000009</v>
      </c>
      <c r="H44" s="3">
        <f t="shared" si="0"/>
        <v>7.5078612428250549E-2</v>
      </c>
      <c r="J44" s="3">
        <f t="shared" si="4"/>
        <v>2.5892195486779426</v>
      </c>
      <c r="L44" s="3">
        <f t="shared" si="5"/>
        <v>0.64730488716948553</v>
      </c>
    </row>
    <row r="45" spans="1:12" x14ac:dyDescent="0.25">
      <c r="G45" s="49"/>
      <c r="H45" s="3"/>
      <c r="J45" s="3"/>
      <c r="L45" s="3"/>
    </row>
    <row r="46" spans="1:12" x14ac:dyDescent="0.25">
      <c r="G46" s="49"/>
      <c r="H46" s="3"/>
      <c r="J46" s="3"/>
      <c r="L46" s="3"/>
    </row>
    <row r="47" spans="1:12" x14ac:dyDescent="0.25">
      <c r="A47" t="s">
        <v>192</v>
      </c>
      <c r="B47" t="s">
        <v>191</v>
      </c>
      <c r="C47">
        <v>20802.099999999999</v>
      </c>
      <c r="D47">
        <v>207.57499999999999</v>
      </c>
      <c r="E47">
        <v>26169.1</v>
      </c>
      <c r="F47">
        <v>188.34800000000001</v>
      </c>
      <c r="G47" s="49">
        <v>0.2</v>
      </c>
      <c r="H47" s="3">
        <f t="shared" si="0"/>
        <v>0.79491079173529089</v>
      </c>
      <c r="J47" s="3">
        <f>-LN(H47)</f>
        <v>0.22952538227772593</v>
      </c>
      <c r="L47" s="3">
        <f>J47/G47</f>
        <v>1.1476269113886295</v>
      </c>
    </row>
    <row r="48" spans="1:12" x14ac:dyDescent="0.25">
      <c r="B48" t="s">
        <v>193</v>
      </c>
      <c r="C48">
        <v>17392.400000000001</v>
      </c>
      <c r="D48">
        <v>212.23500000000001</v>
      </c>
      <c r="E48">
        <v>26443.7</v>
      </c>
      <c r="F48">
        <v>209.56299999999999</v>
      </c>
      <c r="G48" s="49">
        <f>G47+0.2</f>
        <v>0.4</v>
      </c>
      <c r="H48" s="3">
        <f t="shared" si="0"/>
        <v>0.65771431380631307</v>
      </c>
      <c r="J48" s="3">
        <f t="shared" ref="J48:J66" si="7">-LN(H48)</f>
        <v>0.41898461548408122</v>
      </c>
      <c r="L48" s="3">
        <f t="shared" ref="L48:L66" si="8">J48/G48</f>
        <v>1.0474615387102031</v>
      </c>
    </row>
    <row r="49" spans="2:12" x14ac:dyDescent="0.25">
      <c r="B49" t="s">
        <v>194</v>
      </c>
      <c r="C49">
        <v>14753.7</v>
      </c>
      <c r="D49">
        <v>197.905</v>
      </c>
      <c r="E49">
        <v>26411.4</v>
      </c>
      <c r="F49">
        <v>202.495</v>
      </c>
      <c r="G49" s="49">
        <f t="shared" ref="G49:G66" si="9">G48+0.2</f>
        <v>0.60000000000000009</v>
      </c>
      <c r="H49" s="3">
        <f t="shared" si="0"/>
        <v>0.55861105431745384</v>
      </c>
      <c r="J49" s="3">
        <f t="shared" si="7"/>
        <v>0.58230183634095589</v>
      </c>
      <c r="L49" s="3">
        <f t="shared" si="8"/>
        <v>0.97050306056825963</v>
      </c>
    </row>
    <row r="50" spans="2:12" x14ac:dyDescent="0.25">
      <c r="B50" t="s">
        <v>195</v>
      </c>
      <c r="C50">
        <v>12667.2</v>
      </c>
      <c r="D50">
        <v>184.37700000000001</v>
      </c>
      <c r="E50">
        <v>26427.8</v>
      </c>
      <c r="F50">
        <v>204.292</v>
      </c>
      <c r="G50" s="49">
        <f t="shared" si="9"/>
        <v>0.8</v>
      </c>
      <c r="H50" s="3">
        <f t="shared" si="0"/>
        <v>0.4793134502304392</v>
      </c>
      <c r="J50" s="3">
        <f t="shared" si="7"/>
        <v>0.73540051097277725</v>
      </c>
      <c r="L50" s="3">
        <f t="shared" si="8"/>
        <v>0.91925063871597157</v>
      </c>
    </row>
    <row r="51" spans="2:12" x14ac:dyDescent="0.25">
      <c r="B51" t="s">
        <v>196</v>
      </c>
      <c r="C51">
        <v>10864.5</v>
      </c>
      <c r="D51">
        <v>169.25800000000001</v>
      </c>
      <c r="E51">
        <v>26449.1</v>
      </c>
      <c r="F51">
        <v>200.50800000000001</v>
      </c>
      <c r="G51" s="49">
        <f t="shared" si="9"/>
        <v>1</v>
      </c>
      <c r="H51" s="3">
        <f t="shared" si="0"/>
        <v>0.41077012072244429</v>
      </c>
      <c r="J51" s="3">
        <f t="shared" si="7"/>
        <v>0.88972153793901321</v>
      </c>
      <c r="L51" s="3">
        <f t="shared" si="8"/>
        <v>0.88972153793901321</v>
      </c>
    </row>
    <row r="52" spans="2:12" x14ac:dyDescent="0.25">
      <c r="B52" t="s">
        <v>197</v>
      </c>
      <c r="C52">
        <v>9474.0400000000009</v>
      </c>
      <c r="D52">
        <v>158.82</v>
      </c>
      <c r="E52">
        <v>26445.200000000001</v>
      </c>
      <c r="F52">
        <v>197.11099999999999</v>
      </c>
      <c r="G52" s="49">
        <f t="shared" si="9"/>
        <v>1.2</v>
      </c>
      <c r="H52" s="3">
        <f t="shared" si="0"/>
        <v>0.35825178104155009</v>
      </c>
      <c r="J52" s="3">
        <f t="shared" si="7"/>
        <v>1.026519240781538</v>
      </c>
      <c r="L52" s="3">
        <f t="shared" si="8"/>
        <v>0.85543270065128174</v>
      </c>
    </row>
    <row r="53" spans="2:12" x14ac:dyDescent="0.25">
      <c r="B53" t="s">
        <v>198</v>
      </c>
      <c r="C53">
        <v>8294.08</v>
      </c>
      <c r="D53">
        <v>149.17099999999999</v>
      </c>
      <c r="E53">
        <v>26436.6</v>
      </c>
      <c r="F53">
        <v>198.84800000000001</v>
      </c>
      <c r="G53" s="49">
        <f t="shared" si="9"/>
        <v>1.4</v>
      </c>
      <c r="H53" s="3">
        <f t="shared" si="0"/>
        <v>0.31373474652565009</v>
      </c>
      <c r="J53" s="3">
        <f t="shared" si="7"/>
        <v>1.1592074063692857</v>
      </c>
      <c r="L53" s="3">
        <f t="shared" si="8"/>
        <v>0.82800529026377556</v>
      </c>
    </row>
    <row r="54" spans="2:12" x14ac:dyDescent="0.25">
      <c r="B54" t="s">
        <v>199</v>
      </c>
      <c r="C54">
        <v>7298.8</v>
      </c>
      <c r="D54">
        <v>142.78700000000001</v>
      </c>
      <c r="E54">
        <v>26500.2</v>
      </c>
      <c r="F54">
        <v>205.86</v>
      </c>
      <c r="G54" s="49">
        <f t="shared" si="9"/>
        <v>1.5999999999999999</v>
      </c>
      <c r="H54" s="3">
        <f t="shared" si="0"/>
        <v>0.2754243364201025</v>
      </c>
      <c r="J54" s="3">
        <f t="shared" si="7"/>
        <v>1.2894423290532651</v>
      </c>
      <c r="L54" s="3">
        <f t="shared" si="8"/>
        <v>0.80590145565829074</v>
      </c>
    </row>
    <row r="55" spans="2:12" x14ac:dyDescent="0.25">
      <c r="B55" t="s">
        <v>200</v>
      </c>
      <c r="C55">
        <v>6443.86</v>
      </c>
      <c r="D55">
        <v>134.358</v>
      </c>
      <c r="E55">
        <v>26469.4</v>
      </c>
      <c r="F55">
        <v>200.93299999999999</v>
      </c>
      <c r="G55" s="49">
        <f t="shared" si="9"/>
        <v>1.7999999999999998</v>
      </c>
      <c r="H55" s="3">
        <f t="shared" si="0"/>
        <v>0.24344563911535583</v>
      </c>
      <c r="J55" s="3">
        <f t="shared" si="7"/>
        <v>1.4128616093692521</v>
      </c>
      <c r="L55" s="3">
        <f t="shared" si="8"/>
        <v>0.78492311631625122</v>
      </c>
    </row>
    <row r="56" spans="2:12" x14ac:dyDescent="0.25">
      <c r="B56" t="s">
        <v>201</v>
      </c>
      <c r="C56">
        <v>5718.37</v>
      </c>
      <c r="D56">
        <v>129.26</v>
      </c>
      <c r="E56">
        <v>26560.799999999999</v>
      </c>
      <c r="F56">
        <v>209.94399999999999</v>
      </c>
      <c r="G56" s="49">
        <f t="shared" si="9"/>
        <v>1.9999999999999998</v>
      </c>
      <c r="H56" s="3">
        <f t="shared" si="0"/>
        <v>0.21529359055450137</v>
      </c>
      <c r="J56" s="3">
        <f t="shared" si="7"/>
        <v>1.5357526448900576</v>
      </c>
      <c r="L56" s="3">
        <f t="shared" si="8"/>
        <v>0.7678763224450289</v>
      </c>
    </row>
    <row r="57" spans="2:12" x14ac:dyDescent="0.25">
      <c r="B57" t="s">
        <v>202</v>
      </c>
      <c r="C57">
        <v>5073.95</v>
      </c>
      <c r="D57">
        <v>126.10299999999999</v>
      </c>
      <c r="E57">
        <v>26701.9</v>
      </c>
      <c r="F57">
        <v>210.422</v>
      </c>
      <c r="G57" s="49">
        <f t="shared" si="9"/>
        <v>2.1999999999999997</v>
      </c>
      <c r="H57" s="3">
        <f t="shared" si="0"/>
        <v>0.19002205835539793</v>
      </c>
      <c r="J57" s="3">
        <f t="shared" si="7"/>
        <v>1.660615116952983</v>
      </c>
      <c r="L57" s="3">
        <f t="shared" si="8"/>
        <v>0.7548250531604469</v>
      </c>
    </row>
    <row r="58" spans="2:12" x14ac:dyDescent="0.25">
      <c r="B58" t="s">
        <v>203</v>
      </c>
      <c r="C58">
        <v>4514.54</v>
      </c>
      <c r="D58">
        <v>117.489</v>
      </c>
      <c r="E58">
        <v>26541.8</v>
      </c>
      <c r="F58">
        <v>199.035</v>
      </c>
      <c r="G58" s="49">
        <f t="shared" si="9"/>
        <v>2.4</v>
      </c>
      <c r="H58" s="3">
        <f t="shared" si="0"/>
        <v>0.17009170440588053</v>
      </c>
      <c r="J58" s="3">
        <f t="shared" si="7"/>
        <v>1.7714175496944282</v>
      </c>
      <c r="L58" s="3">
        <f t="shared" si="8"/>
        <v>0.73809064570601179</v>
      </c>
    </row>
    <row r="59" spans="2:12" x14ac:dyDescent="0.25">
      <c r="B59" t="s">
        <v>204</v>
      </c>
      <c r="C59">
        <v>4018.17</v>
      </c>
      <c r="D59">
        <v>113.26300000000001</v>
      </c>
      <c r="E59">
        <v>26367.1</v>
      </c>
      <c r="F59">
        <v>186.267</v>
      </c>
      <c r="G59" s="49">
        <f t="shared" si="9"/>
        <v>2.6</v>
      </c>
      <c r="H59" s="3">
        <f t="shared" si="0"/>
        <v>0.1523933234978439</v>
      </c>
      <c r="J59" s="3">
        <f t="shared" si="7"/>
        <v>1.8812904457585022</v>
      </c>
      <c r="L59" s="3">
        <f t="shared" si="8"/>
        <v>0.72357324836865466</v>
      </c>
    </row>
    <row r="60" spans="2:12" x14ac:dyDescent="0.25">
      <c r="B60" t="s">
        <v>205</v>
      </c>
      <c r="C60">
        <v>3631.51</v>
      </c>
      <c r="D60">
        <v>144.62100000000001</v>
      </c>
      <c r="E60">
        <v>26480.5</v>
      </c>
      <c r="F60">
        <v>193.589</v>
      </c>
      <c r="G60" s="49">
        <f t="shared" si="9"/>
        <v>2.8000000000000003</v>
      </c>
      <c r="H60" s="3">
        <f t="shared" si="0"/>
        <v>0.13713902683106438</v>
      </c>
      <c r="J60" s="3">
        <f t="shared" si="7"/>
        <v>1.9867600733224224</v>
      </c>
      <c r="L60" s="3">
        <f t="shared" si="8"/>
        <v>0.70955716904372224</v>
      </c>
    </row>
    <row r="61" spans="2:12" x14ac:dyDescent="0.25">
      <c r="B61" t="s">
        <v>206</v>
      </c>
      <c r="C61">
        <v>3269.43</v>
      </c>
      <c r="D61">
        <v>139.809</v>
      </c>
      <c r="E61">
        <v>26584.7</v>
      </c>
      <c r="F61">
        <v>206.37799999999999</v>
      </c>
      <c r="G61" s="49">
        <f t="shared" si="9"/>
        <v>3.0000000000000004</v>
      </c>
      <c r="H61" s="3">
        <f t="shared" si="0"/>
        <v>0.12298163981538253</v>
      </c>
      <c r="J61" s="3">
        <f t="shared" si="7"/>
        <v>2.0957202045452021</v>
      </c>
      <c r="L61" s="3">
        <f t="shared" si="8"/>
        <v>0.6985734015150673</v>
      </c>
    </row>
    <row r="62" spans="2:12" x14ac:dyDescent="0.25">
      <c r="B62" t="s">
        <v>207</v>
      </c>
      <c r="C62">
        <v>2954.48</v>
      </c>
      <c r="D62">
        <v>145.18199999999999</v>
      </c>
      <c r="E62">
        <v>26479.3</v>
      </c>
      <c r="F62">
        <v>195.66499999999999</v>
      </c>
      <c r="G62" s="49">
        <f t="shared" si="9"/>
        <v>3.2000000000000006</v>
      </c>
      <c r="H62" s="3">
        <f t="shared" si="0"/>
        <v>0.11157696766908491</v>
      </c>
      <c r="J62" s="3">
        <f t="shared" si="7"/>
        <v>2.193040633228311</v>
      </c>
      <c r="L62" s="3">
        <f t="shared" si="8"/>
        <v>0.68532519788384705</v>
      </c>
    </row>
    <row r="63" spans="2:12" x14ac:dyDescent="0.25">
      <c r="B63" t="s">
        <v>208</v>
      </c>
      <c r="C63">
        <v>2696.91</v>
      </c>
      <c r="D63">
        <v>194.535</v>
      </c>
      <c r="E63">
        <v>26435.599999999999</v>
      </c>
      <c r="F63">
        <v>196.63200000000001</v>
      </c>
      <c r="G63" s="49">
        <f t="shared" si="9"/>
        <v>3.4000000000000008</v>
      </c>
      <c r="H63" s="3">
        <f t="shared" si="0"/>
        <v>0.10201811193995976</v>
      </c>
      <c r="J63" s="3">
        <f t="shared" si="7"/>
        <v>2.2826049134223831</v>
      </c>
      <c r="L63" s="3">
        <f t="shared" si="8"/>
        <v>0.67135438630070077</v>
      </c>
    </row>
    <row r="64" spans="2:12" x14ac:dyDescent="0.25">
      <c r="B64" t="s">
        <v>209</v>
      </c>
      <c r="C64">
        <v>2478.66</v>
      </c>
      <c r="D64">
        <v>246.45599999999999</v>
      </c>
      <c r="E64">
        <v>26448.7</v>
      </c>
      <c r="F64">
        <v>196.19200000000001</v>
      </c>
      <c r="G64" s="49">
        <f t="shared" si="9"/>
        <v>3.600000000000001</v>
      </c>
      <c r="H64" s="3">
        <f t="shared" si="0"/>
        <v>9.3715759186651884E-2</v>
      </c>
      <c r="J64" s="3">
        <f t="shared" si="7"/>
        <v>2.3674889161886692</v>
      </c>
      <c r="L64" s="3">
        <f t="shared" si="8"/>
        <v>0.6576358100524079</v>
      </c>
    </row>
    <row r="65" spans="2:12" x14ac:dyDescent="0.25">
      <c r="B65" t="s">
        <v>210</v>
      </c>
      <c r="C65">
        <v>2262.8000000000002</v>
      </c>
      <c r="D65">
        <v>259.10899999999998</v>
      </c>
      <c r="E65">
        <v>26621.5</v>
      </c>
      <c r="F65">
        <v>210.00299999999999</v>
      </c>
      <c r="G65" s="49">
        <f t="shared" si="9"/>
        <v>3.8000000000000012</v>
      </c>
      <c r="H65" s="3">
        <f t="shared" si="0"/>
        <v>8.4998967000356862E-2</v>
      </c>
      <c r="J65" s="3">
        <f t="shared" si="7"/>
        <v>2.4651161755026463</v>
      </c>
      <c r="L65" s="3">
        <f t="shared" si="8"/>
        <v>0.64871478302701202</v>
      </c>
    </row>
    <row r="66" spans="2:12" x14ac:dyDescent="0.25">
      <c r="B66" t="s">
        <v>211</v>
      </c>
      <c r="C66">
        <v>2083.98</v>
      </c>
      <c r="D66">
        <v>294.041</v>
      </c>
      <c r="E66">
        <v>26643.8</v>
      </c>
      <c r="F66">
        <v>207.88</v>
      </c>
      <c r="G66" s="49">
        <f t="shared" si="9"/>
        <v>4.0000000000000009</v>
      </c>
      <c r="H66" s="3">
        <f t="shared" si="0"/>
        <v>7.8216320494824312E-2</v>
      </c>
      <c r="J66" s="3">
        <f t="shared" si="7"/>
        <v>2.5482769512262498</v>
      </c>
      <c r="L66" s="3">
        <f t="shared" si="8"/>
        <v>0.63706923780656233</v>
      </c>
    </row>
    <row r="67" spans="2:12" x14ac:dyDescent="0.25">
      <c r="G67" s="49"/>
      <c r="H67" s="3"/>
      <c r="J67" s="3"/>
      <c r="L67" s="3"/>
    </row>
    <row r="68" spans="2:12" x14ac:dyDescent="0.25">
      <c r="B68" t="s">
        <v>212</v>
      </c>
      <c r="C68">
        <v>12748.7</v>
      </c>
      <c r="D68">
        <v>163.59399999999999</v>
      </c>
      <c r="E68">
        <v>16041.6</v>
      </c>
      <c r="F68">
        <v>145.98699999999999</v>
      </c>
      <c r="G68" s="49">
        <v>0.2</v>
      </c>
      <c r="H68" s="3">
        <f t="shared" si="0"/>
        <v>0.79472745860762017</v>
      </c>
      <c r="J68" s="3">
        <f>-LN(H68)</f>
        <v>0.22975604246527992</v>
      </c>
      <c r="L68" s="3">
        <f>J68/G68</f>
        <v>1.1487802123263995</v>
      </c>
    </row>
    <row r="69" spans="2:12" x14ac:dyDescent="0.25">
      <c r="B69" t="s">
        <v>213</v>
      </c>
      <c r="C69">
        <v>10738.5</v>
      </c>
      <c r="D69">
        <v>153.34800000000001</v>
      </c>
      <c r="E69">
        <v>15984.1</v>
      </c>
      <c r="F69">
        <v>144.70400000000001</v>
      </c>
      <c r="G69" s="49">
        <f>G68+0.2</f>
        <v>0.4</v>
      </c>
      <c r="H69" s="3">
        <f t="shared" ref="H69:H130" si="10">C69/E69</f>
        <v>0.67182387497575713</v>
      </c>
      <c r="J69" s="3">
        <f t="shared" ref="J69:J87" si="11">-LN(H69)</f>
        <v>0.39775906362067137</v>
      </c>
      <c r="L69" s="3">
        <f t="shared" ref="L69:L87" si="12">J69/G69</f>
        <v>0.99439765905167843</v>
      </c>
    </row>
    <row r="70" spans="2:12" x14ac:dyDescent="0.25">
      <c r="B70" t="s">
        <v>214</v>
      </c>
      <c r="C70">
        <v>9213.58</v>
      </c>
      <c r="D70">
        <v>145.74100000000001</v>
      </c>
      <c r="E70">
        <v>16006.9</v>
      </c>
      <c r="F70">
        <v>145.37899999999999</v>
      </c>
      <c r="G70" s="49">
        <f t="shared" ref="G70:G87" si="13">G69+0.2</f>
        <v>0.60000000000000009</v>
      </c>
      <c r="H70" s="3">
        <f t="shared" si="10"/>
        <v>0.57560052227476899</v>
      </c>
      <c r="J70" s="3">
        <f t="shared" si="11"/>
        <v>0.55234139661219728</v>
      </c>
      <c r="L70" s="3">
        <f t="shared" si="12"/>
        <v>0.92056899435366202</v>
      </c>
    </row>
    <row r="71" spans="2:12" x14ac:dyDescent="0.25">
      <c r="B71" t="s">
        <v>215</v>
      </c>
      <c r="C71">
        <v>7975.57</v>
      </c>
      <c r="D71">
        <v>136.93799999999999</v>
      </c>
      <c r="E71">
        <v>16017.5</v>
      </c>
      <c r="F71">
        <v>145.99799999999999</v>
      </c>
      <c r="G71" s="49">
        <f t="shared" si="13"/>
        <v>0.8</v>
      </c>
      <c r="H71" s="3">
        <f t="shared" si="10"/>
        <v>0.49792851568596846</v>
      </c>
      <c r="J71" s="3">
        <f t="shared" si="11"/>
        <v>0.69729875505999783</v>
      </c>
      <c r="L71" s="3">
        <f t="shared" si="12"/>
        <v>0.87162344382499723</v>
      </c>
    </row>
    <row r="72" spans="2:12" x14ac:dyDescent="0.25">
      <c r="B72" t="s">
        <v>216</v>
      </c>
      <c r="C72">
        <v>6876.81</v>
      </c>
      <c r="D72">
        <v>125.485</v>
      </c>
      <c r="E72">
        <v>15948.2</v>
      </c>
      <c r="F72">
        <v>144.679</v>
      </c>
      <c r="G72" s="49">
        <f t="shared" si="13"/>
        <v>1</v>
      </c>
      <c r="H72" s="3">
        <f t="shared" si="10"/>
        <v>0.43119662407042803</v>
      </c>
      <c r="J72" s="3">
        <f t="shared" si="11"/>
        <v>0.8411910885682109</v>
      </c>
      <c r="L72" s="3">
        <f t="shared" si="12"/>
        <v>0.8411910885682109</v>
      </c>
    </row>
    <row r="73" spans="2:12" x14ac:dyDescent="0.25">
      <c r="B73" t="s">
        <v>217</v>
      </c>
      <c r="C73">
        <v>6033.26</v>
      </c>
      <c r="D73">
        <v>119.461</v>
      </c>
      <c r="E73">
        <v>15952.6</v>
      </c>
      <c r="F73">
        <v>144.91900000000001</v>
      </c>
      <c r="G73" s="49">
        <f t="shared" si="13"/>
        <v>1.2</v>
      </c>
      <c r="H73" s="3">
        <f t="shared" si="10"/>
        <v>0.37819916502639067</v>
      </c>
      <c r="J73" s="3">
        <f t="shared" si="11"/>
        <v>0.97233433051698415</v>
      </c>
      <c r="L73" s="3">
        <f t="shared" si="12"/>
        <v>0.81027860876415347</v>
      </c>
    </row>
    <row r="74" spans="2:12" x14ac:dyDescent="0.25">
      <c r="B74" t="s">
        <v>218</v>
      </c>
      <c r="C74">
        <v>5321.05</v>
      </c>
      <c r="D74">
        <v>115.238</v>
      </c>
      <c r="E74">
        <v>15987</v>
      </c>
      <c r="F74">
        <v>146.23599999999999</v>
      </c>
      <c r="G74" s="49">
        <f t="shared" si="13"/>
        <v>1.4</v>
      </c>
      <c r="H74" s="3">
        <f t="shared" si="10"/>
        <v>0.332836054294114</v>
      </c>
      <c r="J74" s="3">
        <f t="shared" si="11"/>
        <v>1.1001052396827335</v>
      </c>
      <c r="L74" s="3">
        <f t="shared" si="12"/>
        <v>0.78578945691623825</v>
      </c>
    </row>
    <row r="75" spans="2:12" x14ac:dyDescent="0.25">
      <c r="B75" t="s">
        <v>219</v>
      </c>
      <c r="C75">
        <v>4708.5200000000004</v>
      </c>
      <c r="D75">
        <v>109.574</v>
      </c>
      <c r="E75">
        <v>16004</v>
      </c>
      <c r="F75">
        <v>146.47499999999999</v>
      </c>
      <c r="G75" s="49">
        <f t="shared" si="13"/>
        <v>1.5999999999999999</v>
      </c>
      <c r="H75" s="3">
        <f t="shared" si="10"/>
        <v>0.29420894776305928</v>
      </c>
      <c r="J75" s="3">
        <f t="shared" si="11"/>
        <v>1.2234650573987769</v>
      </c>
      <c r="L75" s="3">
        <f t="shared" si="12"/>
        <v>0.7646656608742356</v>
      </c>
    </row>
    <row r="76" spans="2:12" x14ac:dyDescent="0.25">
      <c r="B76" t="s">
        <v>220</v>
      </c>
      <c r="C76">
        <v>4176.59</v>
      </c>
      <c r="D76">
        <v>104.08799999999999</v>
      </c>
      <c r="E76">
        <v>15995.3</v>
      </c>
      <c r="F76">
        <v>146.38499999999999</v>
      </c>
      <c r="G76" s="49">
        <f t="shared" si="13"/>
        <v>1.7999999999999998</v>
      </c>
      <c r="H76" s="3">
        <f t="shared" si="10"/>
        <v>0.26111357711327704</v>
      </c>
      <c r="J76" s="3">
        <f t="shared" si="11"/>
        <v>1.3427998049611343</v>
      </c>
      <c r="L76" s="3">
        <f t="shared" si="12"/>
        <v>0.74599989164507463</v>
      </c>
    </row>
    <row r="77" spans="2:12" x14ac:dyDescent="0.25">
      <c r="B77" t="s">
        <v>221</v>
      </c>
      <c r="C77">
        <v>3723.94</v>
      </c>
      <c r="D77">
        <v>99.813100000000006</v>
      </c>
      <c r="E77">
        <v>16018.5</v>
      </c>
      <c r="F77">
        <v>147.20400000000001</v>
      </c>
      <c r="G77" s="49">
        <f t="shared" si="13"/>
        <v>1.9999999999999998</v>
      </c>
      <c r="H77" s="3">
        <f t="shared" si="10"/>
        <v>0.23247744795080688</v>
      </c>
      <c r="J77" s="3">
        <f t="shared" si="11"/>
        <v>1.4589620567203878</v>
      </c>
      <c r="L77" s="3">
        <f t="shared" si="12"/>
        <v>0.72948102836019402</v>
      </c>
    </row>
    <row r="78" spans="2:12" x14ac:dyDescent="0.25">
      <c r="B78" t="s">
        <v>222</v>
      </c>
      <c r="C78">
        <v>3307.72</v>
      </c>
      <c r="D78">
        <v>95.376599999999996</v>
      </c>
      <c r="E78">
        <v>15975.9</v>
      </c>
      <c r="F78">
        <v>145.97</v>
      </c>
      <c r="G78" s="49">
        <f t="shared" si="13"/>
        <v>2.1999999999999997</v>
      </c>
      <c r="H78" s="3">
        <f t="shared" si="10"/>
        <v>0.20704436056810571</v>
      </c>
      <c r="J78" s="3">
        <f t="shared" si="11"/>
        <v>1.5748222064148372</v>
      </c>
      <c r="L78" s="3">
        <f t="shared" si="12"/>
        <v>0.71582827564310791</v>
      </c>
    </row>
    <row r="79" spans="2:12" x14ac:dyDescent="0.25">
      <c r="B79" t="s">
        <v>223</v>
      </c>
      <c r="C79">
        <v>2959.88</v>
      </c>
      <c r="D79">
        <v>93.854399999999998</v>
      </c>
      <c r="E79">
        <v>16014.9</v>
      </c>
      <c r="F79">
        <v>147.99299999999999</v>
      </c>
      <c r="G79" s="49">
        <f t="shared" si="13"/>
        <v>2.4</v>
      </c>
      <c r="H79" s="3">
        <f t="shared" si="10"/>
        <v>0.18482038601552306</v>
      </c>
      <c r="J79" s="3">
        <f t="shared" si="11"/>
        <v>1.688370811921875</v>
      </c>
      <c r="L79" s="3">
        <f t="shared" si="12"/>
        <v>0.70348783830078132</v>
      </c>
    </row>
    <row r="80" spans="2:12" x14ac:dyDescent="0.25">
      <c r="B80" t="s">
        <v>224</v>
      </c>
      <c r="C80">
        <v>2634.56</v>
      </c>
      <c r="D80">
        <v>86.535700000000006</v>
      </c>
      <c r="E80">
        <v>15919.2</v>
      </c>
      <c r="F80">
        <v>144.81399999999999</v>
      </c>
      <c r="G80" s="49">
        <f t="shared" si="13"/>
        <v>2.6</v>
      </c>
      <c r="H80" s="3">
        <f t="shared" si="10"/>
        <v>0.16549575355545504</v>
      </c>
      <c r="J80" s="3">
        <f t="shared" si="11"/>
        <v>1.7988097427693948</v>
      </c>
      <c r="L80" s="3">
        <f t="shared" si="12"/>
        <v>0.69184990106515176</v>
      </c>
    </row>
    <row r="81" spans="1:12" x14ac:dyDescent="0.25">
      <c r="B81" t="s">
        <v>225</v>
      </c>
      <c r="C81">
        <v>2371.48</v>
      </c>
      <c r="D81">
        <v>87.917100000000005</v>
      </c>
      <c r="E81">
        <v>15969.5</v>
      </c>
      <c r="F81">
        <v>146.37899999999999</v>
      </c>
      <c r="G81" s="49">
        <f t="shared" si="13"/>
        <v>2.8000000000000003</v>
      </c>
      <c r="H81" s="3">
        <f t="shared" si="10"/>
        <v>0.14850057922915558</v>
      </c>
      <c r="J81" s="3">
        <f t="shared" si="11"/>
        <v>1.9071664202139555</v>
      </c>
      <c r="L81" s="3">
        <f t="shared" si="12"/>
        <v>0.68113086436212689</v>
      </c>
    </row>
    <row r="82" spans="1:12" x14ac:dyDescent="0.25">
      <c r="B82" t="s">
        <v>226</v>
      </c>
      <c r="C82">
        <v>2133.16</v>
      </c>
      <c r="D82">
        <v>85.304500000000004</v>
      </c>
      <c r="E82">
        <v>15983.8</v>
      </c>
      <c r="F82">
        <v>146.67400000000001</v>
      </c>
      <c r="G82" s="49">
        <f t="shared" si="13"/>
        <v>3.0000000000000004</v>
      </c>
      <c r="H82" s="3">
        <f t="shared" si="10"/>
        <v>0.13345762584616924</v>
      </c>
      <c r="J82" s="3">
        <f t="shared" si="11"/>
        <v>2.0139712609188467</v>
      </c>
      <c r="L82" s="3">
        <f t="shared" si="12"/>
        <v>0.67132375363961549</v>
      </c>
    </row>
    <row r="83" spans="1:12" x14ac:dyDescent="0.25">
      <c r="B83" t="s">
        <v>227</v>
      </c>
      <c r="C83">
        <v>1922.88</v>
      </c>
      <c r="D83">
        <v>82.8977</v>
      </c>
      <c r="E83">
        <v>15958.5</v>
      </c>
      <c r="F83">
        <v>145.47900000000001</v>
      </c>
      <c r="G83" s="49">
        <f t="shared" si="13"/>
        <v>3.2000000000000006</v>
      </c>
      <c r="H83" s="3">
        <f t="shared" si="10"/>
        <v>0.12049252749318545</v>
      </c>
      <c r="J83" s="3">
        <f t="shared" si="11"/>
        <v>2.1161675404789673</v>
      </c>
      <c r="L83" s="3">
        <f t="shared" si="12"/>
        <v>0.66130235639967716</v>
      </c>
    </row>
    <row r="84" spans="1:12" x14ac:dyDescent="0.25">
      <c r="B84" t="s">
        <v>228</v>
      </c>
      <c r="C84">
        <v>1748.65</v>
      </c>
      <c r="D84">
        <v>94.528499999999994</v>
      </c>
      <c r="E84">
        <v>15996.8</v>
      </c>
      <c r="F84">
        <v>146.90199999999999</v>
      </c>
      <c r="G84" s="49">
        <f t="shared" si="13"/>
        <v>3.4000000000000008</v>
      </c>
      <c r="H84" s="3">
        <f t="shared" si="10"/>
        <v>0.10931248749749951</v>
      </c>
      <c r="J84" s="3">
        <f t="shared" si="11"/>
        <v>2.213544640577255</v>
      </c>
      <c r="L84" s="3">
        <f t="shared" si="12"/>
        <v>0.65104254134625128</v>
      </c>
    </row>
    <row r="85" spans="1:12" x14ac:dyDescent="0.25">
      <c r="B85" t="s">
        <v>229</v>
      </c>
      <c r="C85">
        <v>1620.91</v>
      </c>
      <c r="D85">
        <v>103.699</v>
      </c>
      <c r="E85">
        <v>16021.2</v>
      </c>
      <c r="F85">
        <v>148.274</v>
      </c>
      <c r="G85" s="49">
        <f t="shared" si="13"/>
        <v>3.600000000000001</v>
      </c>
      <c r="H85" s="3">
        <f t="shared" si="10"/>
        <v>0.1011728210121589</v>
      </c>
      <c r="J85" s="3">
        <f t="shared" si="11"/>
        <v>2.2909251252728953</v>
      </c>
      <c r="L85" s="3">
        <f t="shared" si="12"/>
        <v>0.63636809035358188</v>
      </c>
    </row>
    <row r="86" spans="1:12" x14ac:dyDescent="0.25">
      <c r="B86" t="s">
        <v>230</v>
      </c>
      <c r="C86">
        <v>1500.19</v>
      </c>
      <c r="D86">
        <v>115.261</v>
      </c>
      <c r="E86">
        <v>15997.6</v>
      </c>
      <c r="F86">
        <v>146.869</v>
      </c>
      <c r="G86" s="49">
        <f t="shared" si="13"/>
        <v>3.8000000000000012</v>
      </c>
      <c r="H86" s="3">
        <f t="shared" si="10"/>
        <v>9.3775941391208678E-2</v>
      </c>
      <c r="J86" s="3">
        <f t="shared" si="11"/>
        <v>2.3668469442353701</v>
      </c>
      <c r="L86" s="3">
        <f t="shared" si="12"/>
        <v>0.62285445900930769</v>
      </c>
    </row>
    <row r="87" spans="1:12" x14ac:dyDescent="0.25">
      <c r="B87" t="s">
        <v>231</v>
      </c>
      <c r="C87">
        <v>1387.19</v>
      </c>
      <c r="D87">
        <v>144.27500000000001</v>
      </c>
      <c r="E87">
        <v>16032.6</v>
      </c>
      <c r="F87">
        <v>149.20400000000001</v>
      </c>
      <c r="G87" s="49">
        <f t="shared" si="13"/>
        <v>4.0000000000000009</v>
      </c>
      <c r="H87" s="3">
        <f t="shared" si="10"/>
        <v>8.6523084215910082E-2</v>
      </c>
      <c r="J87" s="3">
        <f t="shared" si="11"/>
        <v>2.4473440310995538</v>
      </c>
      <c r="L87" s="3">
        <f t="shared" si="12"/>
        <v>0.61183600777488834</v>
      </c>
    </row>
    <row r="88" spans="1:12" x14ac:dyDescent="0.25">
      <c r="G88" s="49"/>
      <c r="H88" s="3"/>
      <c r="J88" s="3"/>
      <c r="L88" s="3"/>
    </row>
    <row r="89" spans="1:12" x14ac:dyDescent="0.25">
      <c r="G89" s="49"/>
      <c r="H89" s="3"/>
      <c r="J89" s="3"/>
      <c r="L89" s="3"/>
    </row>
    <row r="90" spans="1:12" x14ac:dyDescent="0.25">
      <c r="A90" t="s">
        <v>252</v>
      </c>
      <c r="B90" t="s">
        <v>232</v>
      </c>
      <c r="C90">
        <v>24984.2</v>
      </c>
      <c r="D90">
        <v>256.36399999999998</v>
      </c>
      <c r="E90">
        <v>26675.3</v>
      </c>
      <c r="F90">
        <v>221.57300000000001</v>
      </c>
      <c r="G90" s="49">
        <v>0.2</v>
      </c>
      <c r="H90" s="3">
        <f t="shared" si="10"/>
        <v>0.93660427436617399</v>
      </c>
      <c r="J90" s="3">
        <f>-LN(H90)</f>
        <v>6.5494418538033547E-2</v>
      </c>
      <c r="L90" s="3">
        <f>J90/G90</f>
        <v>0.32747209269016769</v>
      </c>
    </row>
    <row r="91" spans="1:12" x14ac:dyDescent="0.25">
      <c r="B91" t="s">
        <v>233</v>
      </c>
      <c r="C91">
        <v>23818.3</v>
      </c>
      <c r="D91">
        <v>244.226</v>
      </c>
      <c r="E91">
        <v>26654.2</v>
      </c>
      <c r="F91">
        <v>214.23400000000001</v>
      </c>
      <c r="G91" s="49">
        <f>G90+0.2</f>
        <v>0.4</v>
      </c>
      <c r="H91" s="3">
        <f t="shared" si="10"/>
        <v>0.8936040098746163</v>
      </c>
      <c r="J91" s="3">
        <f t="shared" ref="J91:J109" si="14">-LN(H91)</f>
        <v>0.11249254391109918</v>
      </c>
      <c r="L91" s="3">
        <f t="shared" ref="L91:L109" si="15">J91/G91</f>
        <v>0.28123135977774794</v>
      </c>
    </row>
    <row r="92" spans="1:12" x14ac:dyDescent="0.25">
      <c r="B92" t="s">
        <v>234</v>
      </c>
      <c r="C92">
        <v>22605.8</v>
      </c>
      <c r="D92">
        <v>225.19900000000001</v>
      </c>
      <c r="E92">
        <v>26538.7</v>
      </c>
      <c r="F92">
        <v>203.03899999999999</v>
      </c>
      <c r="G92" s="49">
        <f t="shared" ref="G92:G109" si="16">G91+0.2</f>
        <v>0.60000000000000009</v>
      </c>
      <c r="H92" s="3">
        <f t="shared" si="10"/>
        <v>0.85180509972229235</v>
      </c>
      <c r="J92" s="3">
        <f t="shared" si="14"/>
        <v>0.16039753451600303</v>
      </c>
      <c r="L92" s="3">
        <f t="shared" si="15"/>
        <v>0.26732922419333832</v>
      </c>
    </row>
    <row r="93" spans="1:12" x14ac:dyDescent="0.25">
      <c r="B93" t="s">
        <v>235</v>
      </c>
      <c r="C93">
        <v>21515.7</v>
      </c>
      <c r="D93">
        <v>221.11099999999999</v>
      </c>
      <c r="E93">
        <v>26566.400000000001</v>
      </c>
      <c r="F93">
        <v>208.40899999999999</v>
      </c>
      <c r="G93" s="49">
        <f t="shared" si="16"/>
        <v>0.8</v>
      </c>
      <c r="H93" s="3">
        <f t="shared" si="10"/>
        <v>0.8098839135148157</v>
      </c>
      <c r="J93" s="3">
        <f t="shared" si="14"/>
        <v>0.21086435823484045</v>
      </c>
      <c r="L93" s="3">
        <f t="shared" si="15"/>
        <v>0.26358044779355055</v>
      </c>
    </row>
    <row r="94" spans="1:12" x14ac:dyDescent="0.25">
      <c r="B94" t="s">
        <v>236</v>
      </c>
      <c r="C94">
        <v>20438.7</v>
      </c>
      <c r="D94">
        <v>212.36099999999999</v>
      </c>
      <c r="E94">
        <v>26498.3</v>
      </c>
      <c r="F94">
        <v>202.06800000000001</v>
      </c>
      <c r="G94" s="49">
        <f t="shared" si="16"/>
        <v>1</v>
      </c>
      <c r="H94" s="3">
        <f t="shared" si="10"/>
        <v>0.77132117909450804</v>
      </c>
      <c r="J94" s="3">
        <f t="shared" si="14"/>
        <v>0.25965041746091116</v>
      </c>
      <c r="L94" s="3">
        <f t="shared" si="15"/>
        <v>0.25965041746091116</v>
      </c>
    </row>
    <row r="95" spans="1:12" x14ac:dyDescent="0.25">
      <c r="B95" t="s">
        <v>237</v>
      </c>
      <c r="C95">
        <v>19437.599999999999</v>
      </c>
      <c r="D95">
        <v>202.947</v>
      </c>
      <c r="E95">
        <v>26475.9</v>
      </c>
      <c r="F95">
        <v>201.37899999999999</v>
      </c>
      <c r="G95" s="49">
        <f t="shared" si="16"/>
        <v>1.2</v>
      </c>
      <c r="H95" s="3">
        <f t="shared" si="10"/>
        <v>0.73416201148969429</v>
      </c>
      <c r="J95" s="3">
        <f t="shared" si="14"/>
        <v>0.30902555062320086</v>
      </c>
      <c r="L95" s="3">
        <f t="shared" si="15"/>
        <v>0.25752129218600073</v>
      </c>
    </row>
    <row r="96" spans="1:12" x14ac:dyDescent="0.25">
      <c r="B96" t="s">
        <v>238</v>
      </c>
      <c r="C96">
        <v>18498.900000000001</v>
      </c>
      <c r="D96">
        <v>198.96700000000001</v>
      </c>
      <c r="E96">
        <v>26464.799999999999</v>
      </c>
      <c r="F96">
        <v>201.13300000000001</v>
      </c>
      <c r="G96" s="49">
        <f t="shared" si="16"/>
        <v>1.4</v>
      </c>
      <c r="H96" s="3">
        <f t="shared" si="10"/>
        <v>0.69900018137299369</v>
      </c>
      <c r="J96" s="3">
        <f t="shared" si="14"/>
        <v>0.35810427727340527</v>
      </c>
      <c r="L96" s="3">
        <f t="shared" si="15"/>
        <v>0.25578876948100376</v>
      </c>
    </row>
    <row r="97" spans="2:12" x14ac:dyDescent="0.25">
      <c r="B97" t="s">
        <v>239</v>
      </c>
      <c r="C97">
        <v>17615</v>
      </c>
      <c r="D97">
        <v>193.613</v>
      </c>
      <c r="E97">
        <v>26480</v>
      </c>
      <c r="F97">
        <v>203.82</v>
      </c>
      <c r="G97" s="49">
        <f t="shared" si="16"/>
        <v>1.5999999999999999</v>
      </c>
      <c r="H97" s="3">
        <f t="shared" si="10"/>
        <v>0.66521903323262843</v>
      </c>
      <c r="J97" s="3">
        <f t="shared" si="14"/>
        <v>0.40763891927560647</v>
      </c>
      <c r="L97" s="3">
        <f t="shared" si="15"/>
        <v>0.25477432454725407</v>
      </c>
    </row>
    <row r="98" spans="2:12" x14ac:dyDescent="0.25">
      <c r="B98" t="s">
        <v>240</v>
      </c>
      <c r="C98">
        <v>16770.8</v>
      </c>
      <c r="D98">
        <v>188.43199999999999</v>
      </c>
      <c r="E98">
        <v>26457</v>
      </c>
      <c r="F98">
        <v>202.15799999999999</v>
      </c>
      <c r="G98" s="49">
        <f t="shared" si="16"/>
        <v>1.7999999999999998</v>
      </c>
      <c r="H98" s="3">
        <f t="shared" si="10"/>
        <v>0.63388895188418937</v>
      </c>
      <c r="J98" s="3">
        <f t="shared" si="14"/>
        <v>0.45588149464309607</v>
      </c>
      <c r="L98" s="3">
        <f t="shared" si="15"/>
        <v>0.2532674970239423</v>
      </c>
    </row>
    <row r="99" spans="2:12" x14ac:dyDescent="0.25">
      <c r="B99" t="s">
        <v>241</v>
      </c>
      <c r="C99">
        <v>15986.5</v>
      </c>
      <c r="D99">
        <v>185.69200000000001</v>
      </c>
      <c r="E99">
        <v>26474.6</v>
      </c>
      <c r="F99">
        <v>204.78100000000001</v>
      </c>
      <c r="G99" s="49">
        <f t="shared" si="16"/>
        <v>1.9999999999999998</v>
      </c>
      <c r="H99" s="3">
        <f t="shared" si="10"/>
        <v>0.60384292869391798</v>
      </c>
      <c r="J99" s="3">
        <f t="shared" si="14"/>
        <v>0.50444116669792449</v>
      </c>
      <c r="L99" s="3">
        <f t="shared" si="15"/>
        <v>0.2522205833489623</v>
      </c>
    </row>
    <row r="100" spans="2:12" x14ac:dyDescent="0.25">
      <c r="B100" t="s">
        <v>242</v>
      </c>
      <c r="C100">
        <v>15196.9</v>
      </c>
      <c r="D100">
        <v>185.1</v>
      </c>
      <c r="E100">
        <v>26501.3</v>
      </c>
      <c r="F100">
        <v>223.048</v>
      </c>
      <c r="G100" s="49">
        <f t="shared" si="16"/>
        <v>2.1999999999999997</v>
      </c>
      <c r="H100" s="3">
        <f t="shared" si="10"/>
        <v>0.5734397935195632</v>
      </c>
      <c r="J100" s="3">
        <f t="shared" si="14"/>
        <v>0.55610232870899723</v>
      </c>
      <c r="L100" s="3">
        <f t="shared" si="15"/>
        <v>0.25277378577681697</v>
      </c>
    </row>
    <row r="101" spans="2:12" x14ac:dyDescent="0.25">
      <c r="B101" t="s">
        <v>243</v>
      </c>
      <c r="C101">
        <v>14509.4</v>
      </c>
      <c r="D101">
        <v>179.209</v>
      </c>
      <c r="E101">
        <v>26488.799999999999</v>
      </c>
      <c r="F101">
        <v>209.298</v>
      </c>
      <c r="G101" s="49">
        <f t="shared" si="16"/>
        <v>2.4</v>
      </c>
      <c r="H101" s="3">
        <f t="shared" si="10"/>
        <v>0.54775603273836493</v>
      </c>
      <c r="J101" s="3">
        <f t="shared" si="14"/>
        <v>0.60192528689607483</v>
      </c>
      <c r="L101" s="3">
        <f t="shared" si="15"/>
        <v>0.25080220287336452</v>
      </c>
    </row>
    <row r="102" spans="2:12" x14ac:dyDescent="0.25">
      <c r="B102" t="s">
        <v>244</v>
      </c>
      <c r="C102">
        <v>13836.7</v>
      </c>
      <c r="D102">
        <v>175.19200000000001</v>
      </c>
      <c r="E102">
        <v>26473.599999999999</v>
      </c>
      <c r="F102" s="47" t="s">
        <v>253</v>
      </c>
      <c r="G102" s="49">
        <f t="shared" si="16"/>
        <v>2.6</v>
      </c>
      <c r="H102" s="3">
        <f t="shared" si="10"/>
        <v>0.52266031064909957</v>
      </c>
      <c r="J102" s="3">
        <f t="shared" si="14"/>
        <v>0.64882352756173234</v>
      </c>
      <c r="L102" s="3">
        <f t="shared" si="15"/>
        <v>0.24954751060066627</v>
      </c>
    </row>
    <row r="103" spans="2:12" x14ac:dyDescent="0.25">
      <c r="B103" t="s">
        <v>245</v>
      </c>
      <c r="C103">
        <v>13201.1</v>
      </c>
      <c r="D103">
        <v>172.04499999999999</v>
      </c>
      <c r="E103">
        <v>26477.7</v>
      </c>
      <c r="F103">
        <v>205.649</v>
      </c>
      <c r="G103" s="49">
        <f t="shared" si="16"/>
        <v>2.8000000000000003</v>
      </c>
      <c r="H103" s="3">
        <f t="shared" si="10"/>
        <v>0.49857427193449583</v>
      </c>
      <c r="J103" s="3">
        <f t="shared" si="14"/>
        <v>0.69600270983676094</v>
      </c>
      <c r="L103" s="3">
        <f t="shared" si="15"/>
        <v>0.24857239637027173</v>
      </c>
    </row>
    <row r="104" spans="2:12" x14ac:dyDescent="0.25">
      <c r="B104" t="s">
        <v>246</v>
      </c>
      <c r="C104">
        <v>12603.5</v>
      </c>
      <c r="D104">
        <v>170.102</v>
      </c>
      <c r="E104">
        <v>26498</v>
      </c>
      <c r="F104">
        <v>209.566</v>
      </c>
      <c r="G104" s="49">
        <f t="shared" si="16"/>
        <v>3.0000000000000004</v>
      </c>
      <c r="H104" s="3">
        <f t="shared" si="10"/>
        <v>0.47563967091855991</v>
      </c>
      <c r="J104" s="3">
        <f t="shared" si="14"/>
        <v>0.74309470528382515</v>
      </c>
      <c r="L104" s="3">
        <f t="shared" si="15"/>
        <v>0.24769823509460834</v>
      </c>
    </row>
    <row r="105" spans="2:12" x14ac:dyDescent="0.25">
      <c r="B105" t="s">
        <v>247</v>
      </c>
      <c r="C105">
        <v>12044.2</v>
      </c>
      <c r="D105">
        <v>168.756</v>
      </c>
      <c r="E105">
        <v>26545.200000000001</v>
      </c>
      <c r="F105">
        <v>211.87299999999999</v>
      </c>
      <c r="G105" s="49">
        <f t="shared" si="16"/>
        <v>3.2000000000000006</v>
      </c>
      <c r="H105" s="3">
        <f t="shared" si="10"/>
        <v>0.45372421379383093</v>
      </c>
      <c r="J105" s="3">
        <f t="shared" si="14"/>
        <v>0.79026572412241614</v>
      </c>
      <c r="L105" s="3">
        <f t="shared" si="15"/>
        <v>0.24695803878825501</v>
      </c>
    </row>
    <row r="106" spans="2:12" x14ac:dyDescent="0.25">
      <c r="B106" t="s">
        <v>248</v>
      </c>
      <c r="C106">
        <v>11497.6</v>
      </c>
      <c r="D106">
        <v>165.83099999999999</v>
      </c>
      <c r="E106">
        <v>26529.1</v>
      </c>
      <c r="F106">
        <v>208.542</v>
      </c>
      <c r="G106" s="49">
        <f t="shared" si="16"/>
        <v>3.4000000000000008</v>
      </c>
      <c r="H106" s="3">
        <f t="shared" si="10"/>
        <v>0.43339578048256444</v>
      </c>
      <c r="J106" s="3">
        <f t="shared" si="14"/>
        <v>0.83610392577737724</v>
      </c>
      <c r="L106" s="3">
        <f t="shared" si="15"/>
        <v>0.24591291934628737</v>
      </c>
    </row>
    <row r="107" spans="2:12" x14ac:dyDescent="0.25">
      <c r="B107" t="s">
        <v>249</v>
      </c>
      <c r="C107">
        <v>10974.4</v>
      </c>
      <c r="D107">
        <v>161.738</v>
      </c>
      <c r="E107">
        <v>26482.1</v>
      </c>
      <c r="F107">
        <v>202.38399999999999</v>
      </c>
      <c r="G107" s="49">
        <f t="shared" si="16"/>
        <v>3.600000000000001</v>
      </c>
      <c r="H107" s="3">
        <f t="shared" si="10"/>
        <v>0.41440822291283547</v>
      </c>
      <c r="J107" s="3">
        <f t="shared" si="14"/>
        <v>0.88090374529735316</v>
      </c>
      <c r="L107" s="3">
        <f t="shared" si="15"/>
        <v>0.24469548480482026</v>
      </c>
    </row>
    <row r="108" spans="2:12" x14ac:dyDescent="0.25">
      <c r="B108" t="s">
        <v>250</v>
      </c>
      <c r="C108">
        <v>10475.1</v>
      </c>
      <c r="D108">
        <v>156.99299999999999</v>
      </c>
      <c r="E108">
        <v>26465.5</v>
      </c>
      <c r="F108">
        <v>202.52099999999999</v>
      </c>
      <c r="G108" s="49">
        <f t="shared" si="16"/>
        <v>3.8000000000000012</v>
      </c>
      <c r="H108" s="3">
        <f t="shared" si="10"/>
        <v>0.39580208195575373</v>
      </c>
      <c r="J108" s="3">
        <f t="shared" si="14"/>
        <v>0.92684098570685491</v>
      </c>
      <c r="L108" s="3">
        <f t="shared" si="15"/>
        <v>0.24390552255443543</v>
      </c>
    </row>
    <row r="109" spans="2:12" x14ac:dyDescent="0.25">
      <c r="B109" t="s">
        <v>251</v>
      </c>
      <c r="C109">
        <v>10116.1</v>
      </c>
      <c r="D109">
        <v>163.56100000000001</v>
      </c>
      <c r="E109">
        <v>26799.599999999999</v>
      </c>
      <c r="F109">
        <v>220.56399999999999</v>
      </c>
      <c r="G109" s="49">
        <f t="shared" si="16"/>
        <v>4.0000000000000009</v>
      </c>
      <c r="H109" s="3">
        <f t="shared" si="10"/>
        <v>0.37747205182166904</v>
      </c>
      <c r="J109" s="3">
        <f t="shared" si="14"/>
        <v>0.97425874794326284</v>
      </c>
      <c r="L109" s="3">
        <f t="shared" si="15"/>
        <v>0.24356468698581565</v>
      </c>
    </row>
    <row r="110" spans="2:12" x14ac:dyDescent="0.25">
      <c r="G110" s="49"/>
      <c r="H110" s="3"/>
      <c r="J110" s="3"/>
      <c r="L110" s="3"/>
    </row>
    <row r="111" spans="2:12" x14ac:dyDescent="0.25">
      <c r="B111" t="s">
        <v>254</v>
      </c>
      <c r="C111">
        <v>15090.6</v>
      </c>
      <c r="D111">
        <v>174.17599999999999</v>
      </c>
      <c r="E111">
        <v>16074.1</v>
      </c>
      <c r="F111">
        <v>147.03700000000001</v>
      </c>
      <c r="G111" s="49">
        <v>0.2</v>
      </c>
      <c r="H111" s="3">
        <f t="shared" si="10"/>
        <v>0.93881461481513739</v>
      </c>
      <c r="J111" s="3">
        <f>-LN(H111)</f>
        <v>6.3137247577296565E-2</v>
      </c>
      <c r="L111" s="3">
        <f>J111/G111</f>
        <v>0.31568623788648281</v>
      </c>
    </row>
    <row r="112" spans="2:12" x14ac:dyDescent="0.25">
      <c r="B112" t="s">
        <v>255</v>
      </c>
      <c r="C112">
        <v>14373.1</v>
      </c>
      <c r="D112">
        <v>172.38200000000001</v>
      </c>
      <c r="E112">
        <v>16033.5</v>
      </c>
      <c r="F112">
        <v>145.49</v>
      </c>
      <c r="G112" s="49">
        <f>G111+0.2</f>
        <v>0.4</v>
      </c>
      <c r="H112" s="3">
        <f t="shared" si="10"/>
        <v>0.89644182492905478</v>
      </c>
      <c r="J112" s="3">
        <f t="shared" ref="J112:J130" si="17">-LN(H112)</f>
        <v>0.10932187936534384</v>
      </c>
      <c r="L112" s="3">
        <f t="shared" ref="L112:L130" si="18">J112/G112</f>
        <v>0.27330469841335958</v>
      </c>
    </row>
    <row r="113" spans="2:12" x14ac:dyDescent="0.25">
      <c r="B113" t="s">
        <v>256</v>
      </c>
      <c r="C113">
        <v>13686.9</v>
      </c>
      <c r="D113">
        <v>165.34800000000001</v>
      </c>
      <c r="E113">
        <v>16037.3</v>
      </c>
      <c r="F113">
        <v>145.334</v>
      </c>
      <c r="G113" s="49">
        <f t="shared" ref="G113:G130" si="19">G112+0.2</f>
        <v>0.60000000000000009</v>
      </c>
      <c r="H113" s="3">
        <f t="shared" si="10"/>
        <v>0.85344166412051903</v>
      </c>
      <c r="J113" s="3">
        <f t="shared" si="17"/>
        <v>0.1584780880928926</v>
      </c>
      <c r="L113" s="3">
        <f t="shared" si="18"/>
        <v>0.26413014682148761</v>
      </c>
    </row>
    <row r="114" spans="2:12" x14ac:dyDescent="0.25">
      <c r="B114" t="s">
        <v>257</v>
      </c>
      <c r="C114">
        <v>13045.7</v>
      </c>
      <c r="D114">
        <v>157.65299999999999</v>
      </c>
      <c r="E114">
        <v>16047.9</v>
      </c>
      <c r="F114">
        <v>146.26</v>
      </c>
      <c r="G114" s="49">
        <f t="shared" si="19"/>
        <v>0.8</v>
      </c>
      <c r="H114" s="3">
        <f t="shared" si="10"/>
        <v>0.8129225630767889</v>
      </c>
      <c r="J114" s="3">
        <f t="shared" si="17"/>
        <v>0.20711942233877367</v>
      </c>
      <c r="L114" s="3">
        <f t="shared" si="18"/>
        <v>0.25889927792346706</v>
      </c>
    </row>
    <row r="115" spans="2:12" x14ac:dyDescent="0.25">
      <c r="B115" t="s">
        <v>258</v>
      </c>
      <c r="C115">
        <v>12428.1</v>
      </c>
      <c r="D115">
        <v>152.203</v>
      </c>
      <c r="E115">
        <v>16028.6</v>
      </c>
      <c r="F115">
        <v>145.37899999999999</v>
      </c>
      <c r="G115" s="49">
        <f t="shared" si="19"/>
        <v>1</v>
      </c>
      <c r="H115" s="3">
        <f t="shared" si="10"/>
        <v>0.7753702756323072</v>
      </c>
      <c r="J115" s="3">
        <f t="shared" si="17"/>
        <v>0.2544145887175005</v>
      </c>
      <c r="L115" s="3">
        <f t="shared" si="18"/>
        <v>0.2544145887175005</v>
      </c>
    </row>
    <row r="116" spans="2:12" x14ac:dyDescent="0.25">
      <c r="B116" t="s">
        <v>259</v>
      </c>
      <c r="C116">
        <v>11854.5</v>
      </c>
      <c r="D116">
        <v>150.01300000000001</v>
      </c>
      <c r="E116">
        <v>16056.8</v>
      </c>
      <c r="F116">
        <v>146.65600000000001</v>
      </c>
      <c r="G116" s="49">
        <f t="shared" si="19"/>
        <v>1.2</v>
      </c>
      <c r="H116" s="3">
        <f t="shared" si="10"/>
        <v>0.73828533705346022</v>
      </c>
      <c r="J116" s="3">
        <f t="shared" si="17"/>
        <v>0.30342489353214358</v>
      </c>
      <c r="L116" s="3">
        <f t="shared" si="18"/>
        <v>0.25285407794345299</v>
      </c>
    </row>
    <row r="117" spans="2:12" x14ac:dyDescent="0.25">
      <c r="B117" t="s">
        <v>260</v>
      </c>
      <c r="C117">
        <v>11324.9</v>
      </c>
      <c r="D117">
        <v>148.696</v>
      </c>
      <c r="E117">
        <v>16100.5</v>
      </c>
      <c r="F117">
        <v>149.36799999999999</v>
      </c>
      <c r="G117" s="49">
        <f t="shared" si="19"/>
        <v>1.4</v>
      </c>
      <c r="H117" s="3">
        <f t="shared" si="10"/>
        <v>0.70338809353746778</v>
      </c>
      <c r="J117" s="3">
        <f t="shared" si="17"/>
        <v>0.35184648610077612</v>
      </c>
      <c r="L117" s="3">
        <f t="shared" si="18"/>
        <v>0.25131891864341155</v>
      </c>
    </row>
    <row r="118" spans="2:12" x14ac:dyDescent="0.25">
      <c r="B118" t="s">
        <v>261</v>
      </c>
      <c r="C118">
        <v>10780</v>
      </c>
      <c r="D118">
        <v>142.93799999999999</v>
      </c>
      <c r="E118">
        <v>16040.2</v>
      </c>
      <c r="F118">
        <v>145.76</v>
      </c>
      <c r="G118" s="49">
        <f t="shared" si="19"/>
        <v>1.5999999999999999</v>
      </c>
      <c r="H118" s="3">
        <f t="shared" si="10"/>
        <v>0.67206144561788506</v>
      </c>
      <c r="J118" s="3">
        <f t="shared" si="17"/>
        <v>0.39740550570771233</v>
      </c>
      <c r="L118" s="3">
        <f t="shared" si="18"/>
        <v>0.24837844106732021</v>
      </c>
    </row>
    <row r="119" spans="2:12" x14ac:dyDescent="0.25">
      <c r="B119" t="s">
        <v>262</v>
      </c>
      <c r="C119">
        <v>10285.799999999999</v>
      </c>
      <c r="D119">
        <v>139.262</v>
      </c>
      <c r="E119">
        <v>16046.5</v>
      </c>
      <c r="F119">
        <v>145.77199999999999</v>
      </c>
      <c r="G119" s="49">
        <f t="shared" si="19"/>
        <v>1.7999999999999998</v>
      </c>
      <c r="H119" s="3">
        <f t="shared" si="10"/>
        <v>0.64099959492724268</v>
      </c>
      <c r="J119" s="3">
        <f t="shared" si="17"/>
        <v>0.44472645400044564</v>
      </c>
      <c r="L119" s="3">
        <f t="shared" si="18"/>
        <v>0.24707025222246981</v>
      </c>
    </row>
    <row r="120" spans="2:12" x14ac:dyDescent="0.25">
      <c r="B120" t="s">
        <v>263</v>
      </c>
      <c r="C120">
        <v>9818.2099999999991</v>
      </c>
      <c r="D120">
        <v>137.251</v>
      </c>
      <c r="E120">
        <v>16070.7</v>
      </c>
      <c r="F120">
        <v>147.381</v>
      </c>
      <c r="G120" s="49">
        <f t="shared" si="19"/>
        <v>1.9999999999999998</v>
      </c>
      <c r="H120" s="3">
        <f t="shared" si="10"/>
        <v>0.61093854032493911</v>
      </c>
      <c r="J120" s="3">
        <f t="shared" si="17"/>
        <v>0.49275891353614165</v>
      </c>
      <c r="L120" s="3">
        <f t="shared" si="18"/>
        <v>0.24637945676807085</v>
      </c>
    </row>
    <row r="121" spans="2:12" x14ac:dyDescent="0.25">
      <c r="B121" t="s">
        <v>264</v>
      </c>
      <c r="C121">
        <v>9372.7800000000007</v>
      </c>
      <c r="D121">
        <v>134.827</v>
      </c>
      <c r="E121">
        <v>16069</v>
      </c>
      <c r="F121">
        <v>147.40899999999999</v>
      </c>
      <c r="G121" s="49">
        <f t="shared" si="19"/>
        <v>2.1999999999999997</v>
      </c>
      <c r="H121" s="3">
        <f t="shared" si="10"/>
        <v>0.5832833405936898</v>
      </c>
      <c r="J121" s="3">
        <f t="shared" si="17"/>
        <v>0.53908220624468839</v>
      </c>
      <c r="L121" s="3">
        <f t="shared" si="18"/>
        <v>0.24503736647485838</v>
      </c>
    </row>
    <row r="122" spans="2:12" x14ac:dyDescent="0.25">
      <c r="B122" t="s">
        <v>265</v>
      </c>
      <c r="C122">
        <v>8937.2800000000007</v>
      </c>
      <c r="D122">
        <v>130.499</v>
      </c>
      <c r="E122">
        <v>16035.6</v>
      </c>
      <c r="F122">
        <v>145.56899999999999</v>
      </c>
      <c r="G122" s="49">
        <f t="shared" si="19"/>
        <v>2.4</v>
      </c>
      <c r="H122" s="3">
        <f t="shared" si="10"/>
        <v>0.55733991868093491</v>
      </c>
      <c r="J122" s="3">
        <f t="shared" si="17"/>
        <v>0.58457995826033138</v>
      </c>
      <c r="L122" s="3">
        <f t="shared" si="18"/>
        <v>0.24357498260847141</v>
      </c>
    </row>
    <row r="123" spans="2:12" x14ac:dyDescent="0.25">
      <c r="B123" t="s">
        <v>266</v>
      </c>
      <c r="C123">
        <v>8524.5300000000007</v>
      </c>
      <c r="D123">
        <v>127.074</v>
      </c>
      <c r="E123">
        <v>16004.9</v>
      </c>
      <c r="F123">
        <v>144.74700000000001</v>
      </c>
      <c r="G123" s="49">
        <f t="shared" si="19"/>
        <v>2.6</v>
      </c>
      <c r="H123" s="3">
        <f t="shared" si="10"/>
        <v>0.53262001012190019</v>
      </c>
      <c r="J123" s="3">
        <f t="shared" si="17"/>
        <v>0.62994703566987353</v>
      </c>
      <c r="L123" s="3">
        <f t="shared" si="18"/>
        <v>0.24228732141148981</v>
      </c>
    </row>
    <row r="124" spans="2:12" x14ac:dyDescent="0.25">
      <c r="B124" t="s">
        <v>267</v>
      </c>
      <c r="C124">
        <v>8151.8</v>
      </c>
      <c r="D124">
        <v>125.895</v>
      </c>
      <c r="E124">
        <v>16024</v>
      </c>
      <c r="F124">
        <v>145.535</v>
      </c>
      <c r="G124" s="49">
        <f t="shared" si="19"/>
        <v>2.8000000000000003</v>
      </c>
      <c r="H124" s="3">
        <f t="shared" si="10"/>
        <v>0.50872441337993013</v>
      </c>
      <c r="J124" s="3">
        <f t="shared" si="17"/>
        <v>0.67584883660077566</v>
      </c>
      <c r="L124" s="3">
        <f t="shared" si="18"/>
        <v>0.24137458450027699</v>
      </c>
    </row>
    <row r="125" spans="2:12" x14ac:dyDescent="0.25">
      <c r="B125" t="s">
        <v>268</v>
      </c>
      <c r="C125">
        <v>7793.83</v>
      </c>
      <c r="D125">
        <v>128.083</v>
      </c>
      <c r="E125">
        <v>16040.8</v>
      </c>
      <c r="F125">
        <v>145.976</v>
      </c>
      <c r="G125" s="49">
        <f t="shared" si="19"/>
        <v>3.0000000000000004</v>
      </c>
      <c r="H125" s="3">
        <f t="shared" si="10"/>
        <v>0.48587539274849134</v>
      </c>
      <c r="J125" s="3">
        <f t="shared" si="17"/>
        <v>0.72180308147770433</v>
      </c>
      <c r="L125" s="3">
        <f t="shared" si="18"/>
        <v>0.24060102715923473</v>
      </c>
    </row>
    <row r="126" spans="2:12" x14ac:dyDescent="0.25">
      <c r="B126" t="s">
        <v>269</v>
      </c>
      <c r="C126">
        <v>7449.1</v>
      </c>
      <c r="D126">
        <v>125.253</v>
      </c>
      <c r="E126">
        <v>16035.7</v>
      </c>
      <c r="F126">
        <v>145.74799999999999</v>
      </c>
      <c r="G126" s="49">
        <f t="shared" si="19"/>
        <v>3.2000000000000006</v>
      </c>
      <c r="H126" s="3">
        <f t="shared" si="10"/>
        <v>0.46453226238954332</v>
      </c>
      <c r="J126" s="3">
        <f t="shared" si="17"/>
        <v>0.76672426697327245</v>
      </c>
      <c r="L126" s="3">
        <f t="shared" si="18"/>
        <v>0.23960133342914761</v>
      </c>
    </row>
    <row r="127" spans="2:12" x14ac:dyDescent="0.25">
      <c r="B127" t="s">
        <v>270</v>
      </c>
      <c r="C127">
        <v>7121.07</v>
      </c>
      <c r="D127">
        <v>123.499</v>
      </c>
      <c r="E127">
        <v>16050.2</v>
      </c>
      <c r="F127">
        <v>146.69300000000001</v>
      </c>
      <c r="G127" s="49">
        <f t="shared" si="19"/>
        <v>3.4000000000000008</v>
      </c>
      <c r="H127" s="3">
        <f t="shared" si="10"/>
        <v>0.44367484517326883</v>
      </c>
      <c r="J127" s="3">
        <f t="shared" si="17"/>
        <v>0.81266331552585891</v>
      </c>
      <c r="L127" s="3">
        <f t="shared" si="18"/>
        <v>0.23901862221348785</v>
      </c>
    </row>
    <row r="128" spans="2:12" x14ac:dyDescent="0.25">
      <c r="B128" t="s">
        <v>271</v>
      </c>
      <c r="C128">
        <v>6805.67</v>
      </c>
      <c r="D128">
        <v>122.39400000000001</v>
      </c>
      <c r="E128">
        <v>16028.6</v>
      </c>
      <c r="F128">
        <v>145.83600000000001</v>
      </c>
      <c r="G128" s="49">
        <f t="shared" si="19"/>
        <v>3.600000000000001</v>
      </c>
      <c r="H128" s="3">
        <f t="shared" si="10"/>
        <v>0.4245954107033677</v>
      </c>
      <c r="J128" s="3">
        <f t="shared" si="17"/>
        <v>0.85661853828913348</v>
      </c>
      <c r="L128" s="3">
        <f t="shared" si="18"/>
        <v>0.23794959396920368</v>
      </c>
    </row>
    <row r="129" spans="1:12" x14ac:dyDescent="0.25">
      <c r="B129" t="s">
        <v>272</v>
      </c>
      <c r="C129">
        <v>6586.74</v>
      </c>
      <c r="D129">
        <v>127.04</v>
      </c>
      <c r="E129">
        <v>16216.3</v>
      </c>
      <c r="F129">
        <v>154.67400000000001</v>
      </c>
      <c r="G129" s="49">
        <f t="shared" si="19"/>
        <v>3.8000000000000012</v>
      </c>
      <c r="H129" s="3">
        <f t="shared" si="10"/>
        <v>0.40618020140229277</v>
      </c>
      <c r="J129" s="3">
        <f t="shared" si="17"/>
        <v>0.9009583720323685</v>
      </c>
      <c r="L129" s="3">
        <f t="shared" si="18"/>
        <v>0.23709430842957058</v>
      </c>
    </row>
    <row r="130" spans="1:12" x14ac:dyDescent="0.25">
      <c r="B130" t="s">
        <v>273</v>
      </c>
      <c r="C130">
        <v>6277.01</v>
      </c>
      <c r="D130">
        <v>125.242</v>
      </c>
      <c r="E130">
        <v>16114.8</v>
      </c>
      <c r="F130">
        <v>148.27000000000001</v>
      </c>
      <c r="G130" s="49">
        <f t="shared" si="19"/>
        <v>4.0000000000000009</v>
      </c>
      <c r="H130" s="3">
        <f t="shared" si="10"/>
        <v>0.38951833097525257</v>
      </c>
      <c r="J130" s="3">
        <f t="shared" si="17"/>
        <v>0.94284435194113581</v>
      </c>
      <c r="L130" s="3">
        <f t="shared" si="18"/>
        <v>0.2357110879852839</v>
      </c>
    </row>
    <row r="131" spans="1:12" x14ac:dyDescent="0.25">
      <c r="G131" s="49"/>
      <c r="H131" s="3"/>
      <c r="J131" s="3"/>
      <c r="L131" s="3"/>
    </row>
    <row r="132" spans="1:12" x14ac:dyDescent="0.25">
      <c r="G132" s="49"/>
      <c r="H132" s="3"/>
      <c r="J132" s="3"/>
      <c r="L132" s="3"/>
    </row>
    <row r="133" spans="1:12" x14ac:dyDescent="0.25">
      <c r="A133" t="s">
        <v>274</v>
      </c>
      <c r="B133" t="s">
        <v>275</v>
      </c>
      <c r="C133">
        <v>2597.17</v>
      </c>
      <c r="D133">
        <v>150.38800000000001</v>
      </c>
      <c r="E133">
        <v>26722.1</v>
      </c>
      <c r="F133">
        <v>229.36600000000001</v>
      </c>
      <c r="G133" s="49">
        <v>0.2</v>
      </c>
      <c r="H133" s="3">
        <f t="shared" ref="H133:H139" si="20">C133/E133</f>
        <v>9.7191837467863681E-2</v>
      </c>
      <c r="J133" s="3"/>
      <c r="L133" s="3"/>
    </row>
    <row r="134" spans="1:12" x14ac:dyDescent="0.25">
      <c r="B134" t="s">
        <v>276</v>
      </c>
      <c r="C134">
        <v>1124.3599999999999</v>
      </c>
      <c r="D134">
        <v>134.56399999999999</v>
      </c>
      <c r="E134">
        <v>26549.4</v>
      </c>
      <c r="F134">
        <v>216.56</v>
      </c>
      <c r="G134" s="49">
        <f>G133+0.2</f>
        <v>0.4</v>
      </c>
      <c r="H134" s="3">
        <f t="shared" si="20"/>
        <v>4.2349732950650476E-2</v>
      </c>
      <c r="J134" s="3"/>
      <c r="L134" s="3"/>
    </row>
    <row r="135" spans="1:12" x14ac:dyDescent="0.25">
      <c r="B135" t="s">
        <v>277</v>
      </c>
      <c r="C135">
        <v>748.18</v>
      </c>
      <c r="D135">
        <v>134.52000000000001</v>
      </c>
      <c r="E135">
        <v>26482.2</v>
      </c>
      <c r="F135">
        <v>211.952</v>
      </c>
      <c r="G135" s="49">
        <f t="shared" ref="G135:G139" si="21">G134+0.2</f>
        <v>0.60000000000000009</v>
      </c>
      <c r="H135" s="3">
        <f t="shared" si="20"/>
        <v>2.825218448618317E-2</v>
      </c>
      <c r="J135" s="3"/>
      <c r="L135" s="3"/>
    </row>
    <row r="136" spans="1:12" x14ac:dyDescent="0.25">
      <c r="G136" s="49"/>
      <c r="H136" s="3"/>
      <c r="J136" s="3"/>
      <c r="L136" s="3"/>
    </row>
    <row r="137" spans="1:12" x14ac:dyDescent="0.25">
      <c r="B137" t="s">
        <v>278</v>
      </c>
      <c r="C137">
        <v>1790.22</v>
      </c>
      <c r="D137">
        <v>92.768799999999999</v>
      </c>
      <c r="E137">
        <v>16162.6</v>
      </c>
      <c r="F137">
        <v>156.73699999999999</v>
      </c>
      <c r="G137" s="49">
        <v>0.2</v>
      </c>
      <c r="H137" s="3">
        <f t="shared" si="20"/>
        <v>0.11076311979508248</v>
      </c>
      <c r="J137" s="3"/>
    </row>
    <row r="138" spans="1:12" x14ac:dyDescent="0.25">
      <c r="B138" t="s">
        <v>279</v>
      </c>
      <c r="C138">
        <v>813.04100000000005</v>
      </c>
      <c r="D138">
        <v>77.669600000000003</v>
      </c>
      <c r="E138">
        <v>16134.6</v>
      </c>
      <c r="F138">
        <v>157.02500000000001</v>
      </c>
      <c r="G138" s="49">
        <f>G137+0.2</f>
        <v>0.4</v>
      </c>
      <c r="H138" s="3">
        <f t="shared" si="20"/>
        <v>5.0391146976063866E-2</v>
      </c>
      <c r="J138" s="3"/>
    </row>
    <row r="139" spans="1:12" x14ac:dyDescent="0.25">
      <c r="B139" t="s">
        <v>280</v>
      </c>
      <c r="C139">
        <v>545.58900000000006</v>
      </c>
      <c r="D139">
        <v>75.857399999999998</v>
      </c>
      <c r="E139">
        <v>16026.8</v>
      </c>
      <c r="F139">
        <v>149.08600000000001</v>
      </c>
      <c r="G139" s="49">
        <f t="shared" si="21"/>
        <v>0.60000000000000009</v>
      </c>
      <c r="H139" s="3">
        <f t="shared" si="20"/>
        <v>3.404229166146705E-2</v>
      </c>
      <c r="J139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Diagramme</vt:lpstr>
      </vt:variant>
      <vt:variant>
        <vt:i4>1</vt:i4>
      </vt:variant>
    </vt:vector>
  </HeadingPairs>
  <TitlesOfParts>
    <vt:vector size="11" baseType="lpstr">
      <vt:lpstr>Kalibrierung</vt:lpstr>
      <vt:lpstr>Packungsdichten</vt:lpstr>
      <vt:lpstr>Auswertung</vt:lpstr>
      <vt:lpstr>Suche nach I_0</vt:lpstr>
      <vt:lpstr>Packungsdichten_alt</vt:lpstr>
      <vt:lpstr>Path length packaging</vt:lpstr>
      <vt:lpstr>Suchen25</vt:lpstr>
      <vt:lpstr>Kalibirierung_alt</vt:lpstr>
      <vt:lpstr>Tabelle1</vt:lpstr>
      <vt:lpstr>Tabelle2</vt:lpstr>
      <vt:lpstr>Diagramm1</vt:lpstr>
    </vt:vector>
  </TitlesOfParts>
  <Company>Fraunhofer IIS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Uhlmann</dc:creator>
  <cp:lastModifiedBy>Norman Uhlmann</cp:lastModifiedBy>
  <cp:lastPrinted>2017-05-12T16:29:45Z</cp:lastPrinted>
  <dcterms:created xsi:type="dcterms:W3CDTF">2016-05-11T14:46:31Z</dcterms:created>
  <dcterms:modified xsi:type="dcterms:W3CDTF">2017-05-18T16:49:25Z</dcterms:modified>
</cp:coreProperties>
</file>