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biffpm/Dropbox (MIT)/Egypt_Analysis_Replication/datasets/open_ended_manuel/TreatmentForOther/Endline/"/>
    </mc:Choice>
  </mc:AlternateContent>
  <xr:revisionPtr revIDLastSave="0" documentId="13_ncr:1_{B1BF0BF0-01A6-8845-80B1-D727B1353B48}" xr6:coauthVersionLast="46" xr6:coauthVersionMax="46" xr10:uidLastSave="{00000000-0000-0000-0000-000000000000}"/>
  <bookViews>
    <workbookView xWindow="0" yWindow="500" windowWidth="28800" windowHeight="16340" xr2:uid="{00000000-000D-0000-FFFF-FFFF00000000}"/>
  </bookViews>
  <sheets>
    <sheet name="episodes_content_end" sheetId="1" r:id="rId1"/>
    <sheet name="Sheet1" sheetId="2" r:id="rId2"/>
  </sheets>
  <definedNames>
    <definedName name="_xlnm._FilterDatabase" localSheetId="0" hidden="1">episodes_content_end!$A$1:$E$1001</definedName>
    <definedName name="ExternalData_1" localSheetId="0">episodes_content_end!$A$1:$B$1001</definedName>
    <definedName name="Google_Sheet_Link_1564564623_698435639" hidden="1">ExternalData_1</definedName>
  </definedNames>
  <calcPr calcId="191029"/>
  <extLst>
    <ext uri="GoogleSheetsCustomDataVersion1">
      <go:sheetsCustomData xmlns:go="http://customooxmlschemas.google.com/" r:id="rId6" roundtripDataSignature="AMtx7mgFnP/hsTkDJ9wMj3Pc3rMerXon1A=="/>
    </ext>
  </extLst>
</workbook>
</file>

<file path=xl/calcChain.xml><?xml version="1.0" encoding="utf-8"?>
<calcChain xmlns="http://schemas.openxmlformats.org/spreadsheetml/2006/main">
  <c r="C1001" i="1" l="1"/>
  <c r="C1000" i="1"/>
  <c r="C999" i="1"/>
  <c r="C998" i="1"/>
  <c r="C997" i="1"/>
  <c r="C996" i="1"/>
  <c r="C995" i="1"/>
  <c r="C994" i="1"/>
  <c r="C993" i="1"/>
  <c r="C992" i="1"/>
  <c r="C991" i="1"/>
  <c r="C990" i="1"/>
  <c r="C989" i="1"/>
  <c r="C988" i="1"/>
  <c r="C987" i="1"/>
  <c r="C986" i="1"/>
  <c r="C985" i="1"/>
  <c r="C391" i="1"/>
  <c r="C983" i="1"/>
  <c r="C982" i="1"/>
  <c r="C981" i="1"/>
  <c r="C980" i="1"/>
  <c r="C979" i="1"/>
  <c r="C978" i="1"/>
  <c r="C977" i="1"/>
  <c r="C976" i="1"/>
  <c r="C975" i="1"/>
  <c r="C974" i="1"/>
  <c r="C973" i="1"/>
  <c r="C972" i="1"/>
  <c r="C971" i="1"/>
  <c r="C718"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8"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515"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418"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439" i="1"/>
  <c r="C628" i="1"/>
  <c r="C627" i="1"/>
  <c r="C626" i="1"/>
  <c r="C625" i="1"/>
  <c r="C624" i="1"/>
  <c r="C623" i="1"/>
  <c r="C622" i="1"/>
  <c r="C621" i="1"/>
  <c r="C620" i="1"/>
  <c r="C619" i="1"/>
  <c r="C618" i="1"/>
  <c r="C617" i="1"/>
  <c r="C616" i="1"/>
  <c r="C615" i="1"/>
  <c r="C614" i="1"/>
  <c r="C613" i="1"/>
  <c r="C612" i="1"/>
  <c r="C611" i="1"/>
  <c r="C606" i="1"/>
  <c r="C609" i="1"/>
  <c r="C608" i="1"/>
  <c r="C607" i="1"/>
  <c r="C629"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746"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610" i="1"/>
  <c r="C463" i="1"/>
  <c r="C462" i="1"/>
  <c r="C461" i="1"/>
  <c r="C460" i="1"/>
  <c r="C459" i="1"/>
  <c r="C458" i="1"/>
  <c r="C457" i="1"/>
  <c r="C456" i="1"/>
  <c r="C455" i="1"/>
  <c r="C454" i="1"/>
  <c r="C453" i="1"/>
  <c r="C452" i="1"/>
  <c r="C451" i="1"/>
  <c r="C450" i="1"/>
  <c r="C449" i="1"/>
  <c r="C448" i="1"/>
  <c r="C447" i="1"/>
  <c r="C446" i="1"/>
  <c r="C445" i="1"/>
  <c r="C444" i="1"/>
  <c r="C443" i="1"/>
  <c r="C442" i="1"/>
  <c r="C441" i="1"/>
  <c r="C440" i="1"/>
  <c r="C984" i="1"/>
  <c r="C438" i="1"/>
  <c r="C437" i="1"/>
  <c r="C436" i="1"/>
  <c r="C435" i="1"/>
  <c r="C434" i="1"/>
  <c r="C433" i="1"/>
  <c r="C432" i="1"/>
  <c r="C431" i="1"/>
  <c r="C430" i="1"/>
  <c r="C429" i="1"/>
  <c r="C428" i="1"/>
  <c r="C427" i="1"/>
  <c r="C426" i="1"/>
  <c r="C425" i="1"/>
  <c r="C424" i="1"/>
  <c r="C423" i="1"/>
  <c r="C422" i="1"/>
  <c r="C421" i="1"/>
  <c r="C420" i="1"/>
  <c r="C419" i="1"/>
  <c r="C61" i="1"/>
  <c r="C417" i="1"/>
  <c r="C416" i="1"/>
  <c r="C415" i="1"/>
  <c r="C414" i="1"/>
  <c r="C413" i="1"/>
  <c r="C412" i="1"/>
  <c r="C411" i="1"/>
  <c r="C410" i="1"/>
  <c r="C409" i="1"/>
  <c r="C408" i="1"/>
  <c r="C407" i="1"/>
  <c r="C406" i="1"/>
  <c r="C405" i="1"/>
  <c r="C404" i="1"/>
  <c r="C403" i="1"/>
  <c r="C402" i="1"/>
  <c r="C338" i="1"/>
  <c r="C400" i="1"/>
  <c r="C399" i="1"/>
  <c r="C398" i="1"/>
  <c r="C397" i="1"/>
  <c r="C396" i="1"/>
  <c r="C395" i="1"/>
  <c r="C394" i="1"/>
  <c r="C393" i="1"/>
  <c r="C392" i="1"/>
  <c r="C464"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295"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67"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970"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691" i="1"/>
  <c r="C240" i="1"/>
  <c r="C239" i="1"/>
  <c r="C238" i="1"/>
  <c r="C237" i="1"/>
  <c r="C236" i="1"/>
  <c r="C235" i="1"/>
  <c r="C234" i="1"/>
  <c r="C233" i="1"/>
  <c r="C232" i="1"/>
  <c r="C231" i="1"/>
  <c r="C230" i="1"/>
  <c r="C229" i="1"/>
  <c r="C228" i="1"/>
  <c r="C227" i="1"/>
  <c r="C226" i="1"/>
  <c r="C225" i="1"/>
  <c r="C224" i="1"/>
  <c r="C223" i="1"/>
  <c r="C222" i="1"/>
  <c r="C40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241" i="1"/>
  <c r="C221" i="1"/>
  <c r="C146" i="1"/>
  <c r="C145" i="1"/>
  <c r="C144" i="1"/>
  <c r="C148"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147"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143" i="1"/>
  <c r="C7" i="1"/>
  <c r="C6" i="1"/>
  <c r="C5" i="1"/>
  <c r="C4" i="1"/>
  <c r="C3" i="1"/>
  <c r="C2" i="1"/>
</calcChain>
</file>

<file path=xl/sharedStrings.xml><?xml version="1.0" encoding="utf-8"?>
<sst xmlns="http://schemas.openxmlformats.org/spreadsheetml/2006/main" count="1005" uniqueCount="929">
  <si>
    <t>index</t>
  </si>
  <si>
    <t>answer</t>
  </si>
  <si>
    <t>Translated</t>
  </si>
  <si>
    <t>حق المرأة فى رفض خدمة حماتها</t>
  </si>
  <si>
    <t>قصص كفاح للمرأة</t>
  </si>
  <si>
    <t>عن الحريه الشخصه فى طريقه تربيه الاطفال وتعليق الامهات انها مش بتضغط الاولاد للحصول على تارجت فى الدرجات معين</t>
  </si>
  <si>
    <t>مناقشه قضايا وقصص تخص المرآه</t>
  </si>
  <si>
    <t>العصبيه بين الزوجين</t>
  </si>
  <si>
    <t>تحفيز وجذب انتباة المواطنين والمسئولين نحو قضايا المرأة</t>
  </si>
  <si>
    <t>جيد</t>
  </si>
  <si>
    <t>عن ختان البنات و الزواج المبكر</t>
  </si>
  <si>
    <t>العنف ضد المرأة وختان الاناث وتعليم البنات</t>
  </si>
  <si>
    <t>هادف ومفيد</t>
  </si>
  <si>
    <t>ضمان حقوق المرأة</t>
  </si>
  <si>
    <t>تساعد في حل القضايا مثل المتعلقه بالاطفال والمرأه</t>
  </si>
  <si>
    <t>ختان البنات</t>
  </si>
  <si>
    <t>حلقة البنات والانترنت وحلقة يعنى ايه راجل ، حلقة ازاى تكونى شخصيه مهمه وحلقة الجوازه التانيه</t>
  </si>
  <si>
    <t>ختان الاناث</t>
  </si>
  <si>
    <t>تعليمي و يكون في نقاش و فكر</t>
  </si>
  <si>
    <t>واقعى جدا واجتماعى</t>
  </si>
  <si>
    <t>قصص عن حاجات حقيقيه حصلت مع ناس.. وشويه حلول وتوعيه للناس</t>
  </si>
  <si>
    <t>عن التحرش. حقوق المرأة</t>
  </si>
  <si>
    <t>التحرش</t>
  </si>
  <si>
    <t>مفيدة</t>
  </si>
  <si>
    <t>الفرق بين الطلاق و الخلع .. ان كلا الطريقين للانفصال لا يتعارضوا مع حقوق الاطفال من نفقة و سكن حضانه</t>
  </si>
  <si>
    <t>فاكرة حلقة عن تمويل المشروعات الصغيرة</t>
  </si>
  <si>
    <t>موضوعيه واقعيه ومن حياتنا بالفعل</t>
  </si>
  <si>
    <t>توعيه للمرأه واي التصرف اللي ممكن يتعمل ف مواقف بتتحط فيها والآثار السلبيه اللي حصلت للمرأه نتيجه كرونا</t>
  </si>
  <si>
    <t>كان تقريبا عن الطلاق</t>
  </si>
  <si>
    <t>التنمر</t>
  </si>
  <si>
    <t>ختان البنت و شغل المرأة و ابتحرش</t>
  </si>
  <si>
    <t>مشاكل الكورونا، قضايا التحرش الجنسي، تربية الأولاد مجتمعيا</t>
  </si>
  <si>
    <t>توعوية قانونية</t>
  </si>
  <si>
    <t>ازاي البنت او الست عموماً تعرف أن لها حقوق زي ما عليها واجبات ازاي تبقى اقوى و تواجه اي صعوبات بتقابلها ف حياتها سواء زوجة أو بنت</t>
  </si>
  <si>
    <t>كلام عن التحرش الجنسى للسيدات والأطفال وختان الإناث وغيرها من قضايا المرأة في العموم</t>
  </si>
  <si>
    <t>مفيد</t>
  </si>
  <si>
    <t>الختان وكذا حاجة بس مش متذكرة</t>
  </si>
  <si>
    <t>التحرش. الاغتصاب.</t>
  </si>
  <si>
    <t>توعوية</t>
  </si>
  <si>
    <t>رائعة، المختصرة المفيد، مفيدة جدا خصوصا للمرأة العاملة، مركزة</t>
  </si>
  <si>
    <t>شوفت حلقه الزوجه ال زوجها ضربها وفتحت باب الشقه وهربت منه والجيران  حاولوا يرجعوها</t>
  </si>
  <si>
    <t>ختان الإناث والتحرش وأثر كورونا والعنف بالمرأة</t>
  </si>
  <si>
    <t>رائع جداا ومفيد</t>
  </si>
  <si>
    <t>افضل سن للمراه</t>
  </si>
  <si>
    <t>عن العنف ضد المراة والاغتصاب</t>
  </si>
  <si>
    <t>قضايا واقعية حقيقية وابعادها وتحليلها والحصول على حل لها والجميل بساطة الحوار المدعم بالسياق القانونى المبسط والواضح الذى يفيد واخرج من خلال الحلقات بسند قانونى اعلمة وممكن أفيد نفسى او غيرى به</t>
  </si>
  <si>
    <t>مشكلة التحرش</t>
  </si>
  <si>
    <t>حلقات عن الطلاق والخلافات الزوجية بعد الطلاق ع الأبناء</t>
  </si>
  <si>
    <t>قضية التحرش</t>
  </si>
  <si>
    <t>زواج القصر والعنف الأسري</t>
  </si>
  <si>
    <t>الختان .الجهاز والمغالاة.التحرش</t>
  </si>
  <si>
    <t>حقوق المرأة</t>
  </si>
  <si>
    <t>حلقه الختان ومشكله المتزوجين ف بيت عيله والاستقلاليه الماديه للمرا والنفقه</t>
  </si>
  <si>
    <t>ازاي اعتني بنفسي بعد سن الأربعين وان دية بداية الحياة وقواعد دخول المطبخ</t>
  </si>
  <si>
    <t>اسلوب سرد الاستاذة نهاد حلو وبيعجبني</t>
  </si>
  <si>
    <t>محتوى هادف ومفيد</t>
  </si>
  <si>
    <t>حلقة عن الطلاق وحلقات عن ازاي أدير منزلي وانا موظفة</t>
  </si>
  <si>
    <t>العنف ضد المراءه والتحرش الجنسى</t>
  </si>
  <si>
    <t>قضايا المراة  والمحاكم</t>
  </si>
  <si>
    <t>قصص لنماذج لسيدات ناجحه في تحقيق ذاتها</t>
  </si>
  <si>
    <t>الإنترنت وتأثيره في حياه الشباب</t>
  </si>
  <si>
    <t>دفاع عن حقوق المرأه</t>
  </si>
  <si>
    <t>مشاكل تواجه المرأة والرأي القانوني والإنساني يعرض بشكل رائع وجذاب</t>
  </si>
  <si>
    <t>مشاكل السيدات واتفرجت وهى ضيفه من وقت قصير ولكن مش متذكره البرنامج ممكن عمرو اديب الحكايه وبتتكلم عن اغتصاب فتاه فندق فيرمونت تقريبا وانها بتطلب بلاغ اى فتاه عن اى موقف بتتعرض له وانها حيتم حمايتها واتخاذ الاجراءات القانونيه ضد المذنب</t>
  </si>
  <si>
    <t>مسلسل لدعم المرأة</t>
  </si>
  <si>
    <t>كلمه انا لما باتعصب مش باشوف قدامي دي اكتر حلقه اتاثرت بيهاكمان حلقه يا ريتني عرفتك من زمان بتاع سن الاربعينازاي جوز حضرتك وقف معاكيضروره شغل المرأه علشان تبقي مستقله اقتصاديا وتملك قرارها التحرش وبالبنات الصغيرينوحجات كتيره جدا</t>
  </si>
  <si>
    <t>بتتكلم عن حقوق المرأة ازاي تكون منطقية وقوية</t>
  </si>
  <si>
    <t>كانت بتحكي قصة تقريبا عن بنت</t>
  </si>
  <si>
    <t>كيف أكون سعيده بالرغم من ان البيئة المحيطه مزعجه</t>
  </si>
  <si>
    <t>الاعتداء بالعنف على المرأة</t>
  </si>
  <si>
    <t>ختان الاناث، الطلاق و الخلع ،مشاريع الشباب</t>
  </si>
  <si>
    <t>الطلاق والخلع ومشاكل المراة</t>
  </si>
  <si>
    <t>برنامج توعوي بقضايا المرأه</t>
  </si>
  <si>
    <t>عن قضايا المراه وقضايا اغتصاب</t>
  </si>
  <si>
    <t>رفض العنف ضد المرأه تشجيع البنات اللي سبق التحرش بهن بالايلاغ</t>
  </si>
  <si>
    <t>الحضانه و الرؤيا</t>
  </si>
  <si>
    <t>مشاكل المطلقات ، التحرش والاعتداءات</t>
  </si>
  <si>
    <t>العنف مع المرأه فى الحظر</t>
  </si>
  <si>
    <t>تقريبا كان عن حضانة الاطفال</t>
  </si>
  <si>
    <t>محتوى مفيد عرفت حقوق قانونيه للزوجه يارتنى عرفتها قبل الطلاق</t>
  </si>
  <si>
    <t>حكاية عم سيد وبنته.. وختان ااناث. وغير ذلك</t>
  </si>
  <si>
    <t>محتوي غالبا عن قضايا المرأه والمجتمع وكيف تحصل المرأه علي حقوقها</t>
  </si>
  <si>
    <t>عن الزوجة الثانية</t>
  </si>
  <si>
    <t>العنف ضد المرأة</t>
  </si>
  <si>
    <t>لماذا المصريون بيكتبوا قائمةعند الزواج والأجانب لا.. واحكام الرؤية ونسب الطفل لأمهفس حالة عدم تسجيله باسم ابوه</t>
  </si>
  <si>
    <t>درو النساء في المجتمع الإسلامي ايام الرسول</t>
  </si>
  <si>
    <t>التحرش و الختان والعنف وضرب الزوجات</t>
  </si>
  <si>
    <t>العنف الأسري والتحرش الجنسي</t>
  </si>
  <si>
    <t>عجبتنى جدا وخصوصا العنف الجنسي للأطفال وطرق التعلم</t>
  </si>
  <si>
    <t>كانت عن الانترنت والبنات</t>
  </si>
  <si>
    <t>عن الختان والتحرش الجنسى والزواج والانترنت</t>
  </si>
  <si>
    <t>حقوق المرأه وكيفيه مواجهة التحرش الجنسي والاغتصاب ودور الرجل في الوقوف ضد العنف ضد المراه</t>
  </si>
  <si>
    <t>الصلاق و التحرش الناشز</t>
  </si>
  <si>
    <t>حقوق المرأة ورفض الضرب والإهانة</t>
  </si>
  <si>
    <t>الخلع - والطلاق للضرر - الختان - التحرش</t>
  </si>
  <si>
    <t>محتوى هادف والاستاذ بتكلمنا لكننا قاعدين مع بعض مش على الشاشة</t>
  </si>
  <si>
    <t>كلام عن حقوق المرأة</t>
  </si>
  <si>
    <t>حلقات تكلمت عن</t>
  </si>
  <si>
    <t>الطلاق</t>
  </si>
  <si>
    <t>كان فيه من قريب حلقة عن موضوع مهم جدا اللي هو الختان</t>
  </si>
  <si>
    <t>كانت عن قضايا اختطاف واغتصاب واشياء من هذا القبيل</t>
  </si>
  <si>
    <t>نماذج تاريخيه لسيدات رائدات - استشارات قانونية</t>
  </si>
  <si>
    <t>المراة وتمكين المراة والمهارات الشخصية والتعامل مع الرجال والمتحرشين والسيدات الناجحة</t>
  </si>
  <si>
    <t>عن التحرش الجنسى. وتاثير كورنا عن عمل المراة</t>
  </si>
  <si>
    <t>الثقه بالنفس والتخسيس وانماط الشخصيه وكل الحلقات</t>
  </si>
  <si>
    <t>قضية ختان الاناث</t>
  </si>
  <si>
    <t>نصايح للمرأه ومواقف نهاد فالحياه</t>
  </si>
  <si>
    <t>قضايا المرأة</t>
  </si>
  <si>
    <t>مفيد وهادف</t>
  </si>
  <si>
    <t>الختان والعنف الاسري</t>
  </si>
  <si>
    <t>المحتوي عن مشاكل الاسره والعنف ضد الأبناء</t>
  </si>
  <si>
    <t>رؤيه الأطفال بعد الانفصال</t>
  </si>
  <si>
    <t>ممتازه خفيفة على القلب بيوعي المراه بشكل خاص مفيد لكل الناس</t>
  </si>
  <si>
    <t>الاغتصاب . العنف ضد المرأة.حكايه صفيه . شرعيه كتب الكتاب</t>
  </si>
  <si>
    <t>الجانب القانوني في مشاكل المرأة</t>
  </si>
  <si>
    <t>اتذكر ان اسم الحللقه  ككان اسممها الزواجه  االتافهه وووحدده  تانى كان  اسممها الماذون وببنتى</t>
  </si>
  <si>
    <t>محتوى هادف جدا لدعم وتشجيع المراه والاوضاع بعد كرونا</t>
  </si>
  <si>
    <t>حقوق المراة</t>
  </si>
  <si>
    <t>التحرش داخل العمل وكيف يمكن علاجه ومازلت غير مقتنع   وكذلك أثر فيرس كرونا والبيت والعمل والتوفيق بينهمببعض الحلول</t>
  </si>
  <si>
    <t>عن شغل المرأة وهي معاها اطفال وان في مصر احيانا بيرفضوا الست اللي بتقدم للشغل اول ما يعرفوا ان معاها طفل</t>
  </si>
  <si>
    <t>قضايا المرأة اختصاب و ضرب</t>
  </si>
  <si>
    <t>النساء تحت التهديد بالطلاق</t>
  </si>
  <si>
    <t>قضايا التحرش والعنف ضد المراه</t>
  </si>
  <si>
    <t>لما بتعصب مابشوفش قدامي والجوازه التانيه أهميه عمل المراءه للست والراجل</t>
  </si>
  <si>
    <t>عن مشاكل عامة او مرأة طيعا او استفسار قانونى</t>
  </si>
  <si>
    <t>الختان</t>
  </si>
  <si>
    <t>كانت عن القوانين وازاي مخليش حد يستغلني وكلام عن العقارات</t>
  </si>
  <si>
    <t>عن الزواج العرفي وحالة عن زوحة ثانية</t>
  </si>
  <si>
    <t>حقوق المراه و قضاياها و كيفيه الحل</t>
  </si>
  <si>
    <t>حلقات كلها معلومات قانونيه وللحياه ممتاااااااازه</t>
  </si>
  <si>
    <t>التحرش والاغتصاب والعنف اتجاة المرأة من الزوج اهمية العمل للمرأة والخلع والطلاق والفرق بينهم</t>
  </si>
  <si>
    <t>موضوع التحرش اثر فيا جدا وافادني</t>
  </si>
  <si>
    <t>الماكياج /علاقتها باولادها /الطلاق في امريكا</t>
  </si>
  <si>
    <t>عن التحرش</t>
  </si>
  <si>
    <t>التعامل بين المخطوبين</t>
  </si>
  <si>
    <t>الزوجات التي لا تكتمل وتجارب الاستاذة في معرفه امتي تعرف ان الرجل مَش هيكمل مع زوجته</t>
  </si>
  <si>
    <t>عن ازاي تتعامل قانونيا ع التحرش</t>
  </si>
  <si>
    <t>بيتكلم عن مواقف تتعرض لها السيدات وكيفيه التعامل معها</t>
  </si>
  <si>
    <t>حقوقي في حاله عنف الزوج معايا</t>
  </si>
  <si>
    <t>واحدة من الحلقات كانت بتتكلم عن ازاى اتصرف لو عرفت ان الى قدامى متحرش</t>
  </si>
  <si>
    <t>اختان البنات</t>
  </si>
  <si>
    <t>حلقات عن نماذج نجاح لنساء في مجالات مختلفة وحلقات عن توعية قانونية للمرأة وعن توعية للمرأة بكيفية التعامل مع زوجها في مواقف معينة</t>
  </si>
  <si>
    <t>المطلقات</t>
  </si>
  <si>
    <t>الاجابة علي الاسئلة و النصائح التي تقدمها</t>
  </si>
  <si>
    <t>زواج القاصرات والختان للإناث والنصائح اللى حضرتك بتديها للست علشان تبقى قوية وتعرف تواجه المجتمع</t>
  </si>
  <si>
    <t>حلقة ختان البنات</t>
  </si>
  <si>
    <t>عن العنف الاسري</t>
  </si>
  <si>
    <t>هادف جدا وبيزود وعى المرأه وحقوقها فى المجتمع</t>
  </si>
  <si>
    <t>برنامج نسائى بيلقى الضوء عل  حكايات لشابات وسيدات وطريق نجاحهم والمعوقات إلى قابلتهم وبيلقى الضوء عل  المشاكل إلى بتواجه السيدات عموما فى مصر</t>
  </si>
  <si>
    <t>ختان الاناث وضرب الرجل لزوجته ومدى قبولها لذلك</t>
  </si>
  <si>
    <t>الاغتصاب. التحرش الجنسي بالاطفال، التحرش فى العمل، العنف الاسري،</t>
  </si>
  <si>
    <t>الاثار السلبيه لكورونا، اافرق بين الخلع والطلاق. اهميه الشغل من البيت، التحرش في العمل</t>
  </si>
  <si>
    <t>تحرش</t>
  </si>
  <si>
    <t>الحلقه الخاصه بالتحرش والحلقه الخاصه بفيرس كرونا وتأثيرها والحلقه الخاصه بتنظيم الوقت للمرا العامله بين الشغل والبيت</t>
  </si>
  <si>
    <t>التحرش والعنف</t>
  </si>
  <si>
    <t>عن قضايا المرأه</t>
  </si>
  <si>
    <t>توفيق بين الشغل والمطبخ. العنف الزوجي</t>
  </si>
  <si>
    <t>حق الزوجة في النفقة</t>
  </si>
  <si>
    <t>عن عمل المرأة، الورث، خدمة الزوج وأهله</t>
  </si>
  <si>
    <t>عادي برنامج كويس و ليه هدف فشدني اني اتفرج عليه</t>
  </si>
  <si>
    <t>في العموم تتناول قصه تحمل رساله هادفة</t>
  </si>
  <si>
    <t>زواج القاصرات</t>
  </si>
  <si>
    <t>قضايا اجتماعية</t>
  </si>
  <si>
    <t>حلقة ختان الاناث</t>
  </si>
  <si>
    <t>حقوق الست وكيفية تطبيقها مع الوقائع والأضرار الابتتعرض لها</t>
  </si>
  <si>
    <t>الضرب ، زواج القصر ، التحرش</t>
  </si>
  <si>
    <t>مشاكل اسريه</t>
  </si>
  <si>
    <t>قصص هادفة عن المرأة</t>
  </si>
  <si>
    <t>كانت بتتكلم عن الختان للاناث وعن حقوق المرأة ف المعيشة الزوجية</t>
  </si>
  <si>
    <t>محتوى توعية للأسره وحقوق المراه وعلاقتها بالمجتمع</t>
  </si>
  <si>
    <t>الختان _يعني ايه راجل</t>
  </si>
  <si>
    <t>دعم المرأة</t>
  </si>
  <si>
    <t>ممتعة ومفيدة</t>
  </si>
  <si>
    <t>العنف اثناء الخطوبة</t>
  </si>
  <si>
    <t>هادف جدا</t>
  </si>
  <si>
    <t>تطرق لأمور قانونيه تخص المرأة ومشكلاتها عند الانفصال الزوجي</t>
  </si>
  <si>
    <t>أسلوبها شيق جدا فى الحديث عن المرأة فى الثقافة المصرية</t>
  </si>
  <si>
    <t>معلومات قيمة واداء جذاب</t>
  </si>
  <si>
    <t>تقريبا كان عن العنف ضد المرأة</t>
  </si>
  <si>
    <t>كان عن لبس البنات هل سبب للتحرش</t>
  </si>
  <si>
    <t>التحرش فى العمل العنف ضد المرأة الاغتصاب وكيفية التصرف فى حالة التحرش لزميلتى فى العمل</t>
  </si>
  <si>
    <t>هو برنامج يناقش قضايا قانونية وشرعية تهم المرأة بكل جوانبها</t>
  </si>
  <si>
    <t>أسلوب ممتع فى شكل قصصى</t>
  </si>
  <si>
    <t>كويس</t>
  </si>
  <si>
    <t>العنف ضد المرأة و التحرش و شغل الستات و تاثير كورونا</t>
  </si>
  <si>
    <t>حلقات عن حالات زواج القاصرات وحلقات عن الحقوق بعد الطلاق</t>
  </si>
  <si>
    <t>الزواج المبكر / الحضانه / الطلاق</t>
  </si>
  <si>
    <t>الطلاق والقايمة وتوريث</t>
  </si>
  <si>
    <t>كانت حلقه بتتكلم عن الاغتصاب و ان البنت لازم تتكلم متسكتش عن حقها و ازاى تحافظ على اثار عشان تبقى دليل معاها متخدش شاور و تحتفظ بالهدوم على حالتها</t>
  </si>
  <si>
    <t>عمل المرأة</t>
  </si>
  <si>
    <t>قضايا التحرش</t>
  </si>
  <si>
    <t>حلقه عن الختان وحلقات التحرش وحلقات البث المباشر على تيوب</t>
  </si>
  <si>
    <t>تسجيل عقود شراء الشقق</t>
  </si>
  <si>
    <t>ممتع ويدعو إلى الحماس والتفائل</t>
  </si>
  <si>
    <t>من قريب شفت حلقه الجميله نهاد مع الستات ميعرفوش يكدبوا عن الاغتصاب والتحرش واتكلمت عن ازاي القانون بيتعامل كانت حلقه جميله واستفدت منها جدا دي اخر مره شفتها فيها</t>
  </si>
  <si>
    <t>توعيه للمراءه بحقوقها فيالقانون  طريقه حل المشكلات الاجتماعيه</t>
  </si>
  <si>
    <t>مفيد و مهم</t>
  </si>
  <si>
    <t>عل ما اذكر كانت تدور حول الوعي بشكل عام سواء للمرأة او الرجل</t>
  </si>
  <si>
    <t>حلقة عن التحرش وحلقة عن أثر الحظر على الاسرة</t>
  </si>
  <si>
    <t>يناقش قضايا مهمه</t>
  </si>
  <si>
    <t>مناقشة أسئلة من علي صفحة البرنامج والرد عليها ومناقشة موضوع الختان والزواج المبكر</t>
  </si>
  <si>
    <t>عجبتنى الحلقه اللى بتتكلم عن ختان الاناث</t>
  </si>
  <si>
    <t>هادف ومفيد للسيدات لانه في نصح وارشاد</t>
  </si>
  <si>
    <t>نصائح قانونية بشكل سردي ممتع</t>
  </si>
  <si>
    <t>الواقعية المواجهة والقوة.. بالنسبة لي هي مثال للست القوية الجدعة اللي عارفة ان اول خطوة لحل المشكلة هي مواجهتها</t>
  </si>
  <si>
    <t>قانون المرأة ف مصر ، احوال البنت المصرية ، ختان البنات</t>
  </si>
  <si>
    <t>انتخابات النواب لما قالت ممكن البنات تقدم وتكون سن صغير</t>
  </si>
  <si>
    <t>توفير وقتك داخل المطبخ</t>
  </si>
  <si>
    <t>حق المرأة في الميراث</t>
  </si>
  <si>
    <t>وصف مواقف وحل مشكلات وتحارب</t>
  </si>
  <si>
    <t>الخلع</t>
  </si>
  <si>
    <t>التحرش والاغتصاب والختان والعنف المنزلي</t>
  </si>
  <si>
    <t>التحرش الجنسي وكيفية مواجهته</t>
  </si>
  <si>
    <t>جيد جدا</t>
  </si>
  <si>
    <t>حلقات عن كيفيه التواصل بين الافراد في الاسره وتقبل الاخر ووسائل التواصل الاجتماعي</t>
  </si>
  <si>
    <t>قضايا خلع ومشاكل عائلية</t>
  </si>
  <si>
    <t>اكتر حلقه فاكراها كانت بتتكلم عن الختان</t>
  </si>
  <si>
    <t>تتكلم عن المرأة وقضايا تخصها وتخص احتكاكها بالمجتمع</t>
  </si>
  <si>
    <t>طرق اختصار الوقت في تحضير الاكل</t>
  </si>
  <si>
    <t>ممتاز</t>
  </si>
  <si>
    <t>لا أتذكر تماما ولكنه كان عن المرأه و الفتيات و العنف ضد المرأه</t>
  </si>
  <si>
    <t>الجوازات الناجحة و موضوع حلقه الجوازه الثانيه</t>
  </si>
  <si>
    <t>بتتكلم عن حقوق المرأة و الصعاب اللي بتواجهها وازاي تقدر تتحسن و تبني ثقة بنفسها و بتتكلم عن الطموح و الحقوق والواجبات لينا</t>
  </si>
  <si>
    <t>عن التحرش وازاي نتصرف ونواجه التحرش</t>
  </si>
  <si>
    <t>حلقة اسطوانات الرجاله ودور الاب في تربية ولاده والزوجة التانية وقرفها</t>
  </si>
  <si>
    <t>مهم</t>
  </si>
  <si>
    <t>رائع</t>
  </si>
  <si>
    <t>التحرش الجنسي وختان الاناث والعنف ضد المراه</t>
  </si>
  <si>
    <t>قضايا المراه والتحرش الجنسي</t>
  </si>
  <si>
    <t>مشكله عن بنت صغيره استغلها راجل عجوز</t>
  </si>
  <si>
    <t>عن الزواج المبكر وعن حق المرأة في تطليق نفسها</t>
  </si>
  <si>
    <t>حلقات مشاكل الطلاق. العنف مع الزوجات.الختان.كيف تختارين عريس. حقوق الزوجة بعد الانفصال</t>
  </si>
  <si>
    <t>نهاد وبناتها وازاي البنت بتحلي امها وحلقة تانية عن سن الياس</t>
  </si>
  <si>
    <t>جيده</t>
  </si>
  <si>
    <t>مشاكل قائمة المنقولات و زواج القاصرات بعقود عرفية</t>
  </si>
  <si>
    <t>نصائح و معلومات</t>
  </si>
  <si>
    <t>قضايا المرأة والتحرش ،وقضايا المرأة وتمكينها فالعمل ،وقضايا الأحوال الشخصية المطلقات والأرامل وحقوقهن</t>
  </si>
  <si>
    <t>حلقات الي اتكلمت فيها عن السوشيال ميديا وتأثيره وحلقات عن حالات الطلاق</t>
  </si>
  <si>
    <t>كان كويس جدا واستفدت منها كتير . بس انا مش بتفرج كتير ع التلفزيون فمعرفتش اتابع</t>
  </si>
  <si>
    <t>حلقه انها ازاى خسيت عجبتنى جدا</t>
  </si>
  <si>
    <t>العنف ضد النساء في الحظر-الختان-زواج القاصرات -أهمية الشغل للنساء</t>
  </si>
  <si>
    <t>التحرش الجنسى بالأطفال.التحرش بزملاء العمل.جرائم الاغتصاب. الفرق بين الخلع والطلاق</t>
  </si>
  <si>
    <t>الختان، العنف ضد المرأه،</t>
  </si>
  <si>
    <t>محتوي مفيد وهادف</t>
  </si>
  <si>
    <t>العنف والتحرش والاغتصاب ودعم المرأة ف العمل</t>
  </si>
  <si>
    <t>حلقات هادفه ومفيده</t>
  </si>
  <si>
    <t>كعب عالى على الوظيفة التحرش ضرب الزوجة و ما بعد الطلاق على الاطفال</t>
  </si>
  <si>
    <t>ازاي اكون سعيده</t>
  </si>
  <si>
    <t>الفرق بين الخلع والطلاق - ختان الاناث - التحرش - اهمية عمل المرأة  -</t>
  </si>
  <si>
    <t>توعية المرآة بحقوقها</t>
  </si>
  <si>
    <t>عن تنظيمها ليومها  الاسري مع العمل</t>
  </si>
  <si>
    <t>النفقه والحقوق في قضايا الطلاق والخلع</t>
  </si>
  <si>
    <t>العنف ضد المره ودعمها</t>
  </si>
  <si>
    <t>بحب اسمع المشكله او القضيه وبعدين تقول رايها فى التحايل</t>
  </si>
  <si>
    <t>عن الختان و الجواز الثانى</t>
  </si>
  <si>
    <t>عن الميراث والجوازه التانيه وازاى ابقى شخصيه مهمه وغيرها</t>
  </si>
  <si>
    <t>عن الطلاق وحضانه الاطفال</t>
  </si>
  <si>
    <t>عن الطلاق ومواجهه المرأة الطلاق</t>
  </si>
  <si>
    <t>العنف ضد المرأة/التحرش فى العمل/اثار كورونا السلبية/شغل المرأة</t>
  </si>
  <si>
    <t>من ضمنها بعض المشكلات التي كانت تواجه المرأة ومما اتذكر جيدا قضيه ختان الاناث والفقه والقضيه العمل وبعض المشكلات التي كانت تعرض من المشاهدات مثل قضيه السيده التي تزوجت عن حب وبعدها بدأ زوجها بالاختلاف علي الشغل وضربها وتأثر إخوتها البنات من الموقف وتأثيره علي الاخت التي أرادت السفر وغيرهما</t>
  </si>
  <si>
    <t>عن العقود والختان ومع الستات</t>
  </si>
  <si>
    <t>العنف ضد المرأه والتحرش بالمراه</t>
  </si>
  <si>
    <t>مهم جدا ومبسط ومفيد</t>
  </si>
  <si>
    <t>كان محتوي الحلقة عن ختان الاناث</t>
  </si>
  <si>
    <t>المواريث والختان</t>
  </si>
  <si>
    <t>اخر حاجة كانت عن الختان</t>
  </si>
  <si>
    <t>قضايا المرأة في الاسرة</t>
  </si>
  <si>
    <t>بتوضح حقوق المرأة القانونيه</t>
  </si>
  <si>
    <t>مشاكل خاصه بلعنف الأسرى و التحرش</t>
  </si>
  <si>
    <t>الميراث</t>
  </si>
  <si>
    <t>ختان البنات  والتوكيل العام</t>
  </si>
  <si>
    <t>حلقات عن التحرش والعنف ضد المرأة وختان الاناث</t>
  </si>
  <si>
    <t>توعية عن فيروس كورونا حلقة توعية ضد ختان الاناث</t>
  </si>
  <si>
    <t>ان القانون ف صف المرأة</t>
  </si>
  <si>
    <t>عن قضيه التحرش وشغل المراه</t>
  </si>
  <si>
    <t>عن قضايا حياتيه ف مجال القانون وعن توعيه المرأه</t>
  </si>
  <si>
    <t>مفيد وشيق</t>
  </si>
  <si>
    <t>حلقة لما اضطرت تترك مكتب المحاماه و ربنا عوضها</t>
  </si>
  <si>
    <t>مشاكل عن المرأة</t>
  </si>
  <si>
    <t>التحرش و اثر الكرونا علي المرأه</t>
  </si>
  <si>
    <t>كانت عبارة عن انها بتجمع اولادها ويتناقشو ف مواضيع مهمه بس بطريقه حلوة المعامله مابينهم معامله اصحاب رغم كل اختلافات السن</t>
  </si>
  <si>
    <t>مشاكل المراه</t>
  </si>
  <si>
    <t>الدعم القانونى امرأة المعنفة</t>
  </si>
  <si>
    <t>سن الاربعين</t>
  </si>
  <si>
    <t>حلقة التحرش الجنسى بالاطفال وكيفية حمايتهم وايضا تعريف التحرش الجنسى نفسه وانواعه</t>
  </si>
  <si>
    <t>كانت مفيده وواقعيه لمشاكل المراه</t>
  </si>
  <si>
    <t>صادق لما نراه في المجتمع الحالي</t>
  </si>
  <si>
    <t>عن قضايا المرأة بشكل عام</t>
  </si>
  <si>
    <t>الميراث والعنف الاسري</t>
  </si>
  <si>
    <t>حقوق المرأة والعنف ضد المرأة</t>
  </si>
  <si>
    <t>حلقات تناقشط مشكله الختان وغيرها من المشاكل الي بتواجه المرأه كمان عرفت معلومات عن المجلس القومي للمراه</t>
  </si>
  <si>
    <t>محتوي مؤثر وإذا تطبق في اغلب المجالات لكان للمرأه شان اخر اعلي وافضل لكن هناك قوانين تقنن حجم المراه قوانين مجتمعيه علي الاغلب</t>
  </si>
  <si>
    <t>العنف ضد المرأة  وقضايا التحرش</t>
  </si>
  <si>
    <t>ختان الاناث،، والرجال عاوزه ايه وازاي أبلغ عن التحرش</t>
  </si>
  <si>
    <t>فكرة بعضهم... حلقة كانت بتتكلم عن التحرش وحلقة كانت بتتكلم عن حكاية البنت اللي اتكلم عنها الفيس بوك وفيه حلقة سمعتها من خلال الفيس بوك بتتكلم عن  إزاي نختار نتجوز صح وشوفت تقريبا أغلب حلقات اليوتيوب اللي كانت في رمضان كانت جميلة جدا</t>
  </si>
  <si>
    <t>ازاي تبقي سعيده برغم إزعاج اللي حواليكي وحماية الفتيات بالتربية وليس الختان اختيار الزوج الصح</t>
  </si>
  <si>
    <t>الختان. التحرش</t>
  </si>
  <si>
    <t>الحلقات بتتكلم ع قضايا ودور المرأة ف المجتمع وكيف تواجه كل التحديات اللى بواجهة بشجاعه</t>
  </si>
  <si>
    <t>عن البنات وحكايتهم</t>
  </si>
  <si>
    <t>عن دعم المراه والعنف ضد المراه</t>
  </si>
  <si>
    <t>عن زواج القاصرات و الختان للبنات وقضايا الاغتصاب</t>
  </si>
  <si>
    <t>التحرش الجنسي بكل اشكاله</t>
  </si>
  <si>
    <t>الختان ....جواز البنات.....الاغتصاب</t>
  </si>
  <si>
    <t>العنف الاسري</t>
  </si>
  <si>
    <t>حرية المظهر</t>
  </si>
  <si>
    <t>عن التحرش الجنسي بالأطفال والتحرش الجنسي بالمرأة والتحرش في العمل بالموظفات الجدد والفرق بين الخلع والطلاق</t>
  </si>
  <si>
    <t>حاجات بخصوص الكورونا والمشاكل اللي ترتبت عليها</t>
  </si>
  <si>
    <t>قضايا الطلاق  ، قضايا نفقة ، مشاكل أسرية</t>
  </si>
  <si>
    <t>عبارة عن مناقشة للدور المرأة وحقوقها القانونية ودورها كامرة عاملة</t>
  </si>
  <si>
    <t>تتناول قضايا اجتماعية</t>
  </si>
  <si>
    <t>صحة التوقيع والتسجيل للعقود. التحرش. قائمة الزواج</t>
  </si>
  <si>
    <t>موضوع الختان والتحرش</t>
  </si>
  <si>
    <t>العنف ضد المرأة فى العمل وخارجه وكيفيه مواجهته</t>
  </si>
  <si>
    <t>العنف الأسري.. التربية</t>
  </si>
  <si>
    <t>التحرش وكيفية التصدى له</t>
  </si>
  <si>
    <t>حقوق المرأة وقضايا المرأة</t>
  </si>
  <si>
    <t>الختان ، التحرش ، بعض حلقات تحكي عن حالات عنف للمرآة</t>
  </si>
  <si>
    <t>مشاكل الطلاق والعنف ضد المرأة</t>
  </si>
  <si>
    <t>ميراث المراة تمكين المراة عمل المراة</t>
  </si>
  <si>
    <t>محتوى مهم وداعم للمراه</t>
  </si>
  <si>
    <t>توعيه</t>
  </si>
  <si>
    <t>نفقة المطلقه .. الايجار القديم . الاغتصاب . التحرش . كتير</t>
  </si>
  <si>
    <t>أستاذة نهاد طريقتها مختلفة في سرد القضيه أو موضوع الحلقة لأنها لتتمتع بحيادية فريدة من نوعها وغالبا ده اللي بيجذبني لحوارتها اكتر قضية كانت مؤثرة فيا واللي عرفتني عليها كانت حلقة سمعتها من فترة طويلة كانت بتتكلم عن زواج الأجنبية اللي غالبا كل العرب بيحلمو بيه ونفسهم يسافرون ويتجوزا أجنبية ياخدو جنسية بلدها ومن بعدها بدأت اتابعها بشكل شبه منتظم وده لان مش دايما متاح ليا اشاهد التليفزيون أو اكون اون لاين طول الوقت عشان الدراسه او الشغل لكن بحاول اتابعها قدر الإمكان واتمنى الفترة الجاية يكون عندى وقت أطول لمتابعتها</t>
  </si>
  <si>
    <t>ميراث الاناث</t>
  </si>
  <si>
    <t>حق المرأة في التعليم</t>
  </si>
  <si>
    <t>التحرش، الزواج العرفي</t>
  </si>
  <si>
    <t>المرأه</t>
  </si>
  <si>
    <t>التأثير السلبي للختان على الحياة الزوجية والعنف ضد المرأة</t>
  </si>
  <si>
    <t>مشاركه المراه ف البرلمان</t>
  </si>
  <si>
    <t>الختان.  والاغتصاب  زواج البنات</t>
  </si>
  <si>
    <t>حقوق المراه في الزواج ومشوار الأستاذة نهاد الاممي</t>
  </si>
  <si>
    <t>هادف و ذو فكرة</t>
  </si>
  <si>
    <t>بتتكلم ف حل للقضايا الاسريه والمدنيه</t>
  </si>
  <si>
    <t>كان بيتكلم عن العنف ضد المرأة</t>
  </si>
  <si>
    <t>حلقه تتحدث عن ضرب الرجل للمراه وحلقه عن  قضية الفرمونت وحلقه عن حياتنا هتتغير اذاي بعد الكرونا  وحلقات أخري لم أتذكرها</t>
  </si>
  <si>
    <t>قاضيا كتير تخص المراء العنف والفرق بين الخلع والطلاق</t>
  </si>
  <si>
    <t>دور العمل للمرأة</t>
  </si>
  <si>
    <t>ختان البنات و العنف ضد المرأه</t>
  </si>
  <si>
    <t>الاثار السلبيه لكورونا، التحرش ف العمل،  العنف ضد المرأة</t>
  </si>
  <si>
    <t>اتعلمت ازاي اعمل كيان ل نفسي وابقي شخصيه مهمه بدون م انتظر اي حد.. اكون نفسي و بس قبل اي حاجه..و حلقات التحرش الجنسي نش بس ب اللنس لاء الالفاظ ايضا و ازاي اتحاوز دا</t>
  </si>
  <si>
    <t>التحرش الجنسي وازاي نتعامل معاه</t>
  </si>
  <si>
    <t>مناقشه لقضايا تهم المرأه وأمور تقابلها وكيف تواجه ذلك</t>
  </si>
  <si>
    <t>محتوى الحلقه كان عن ختان الاناث وخطورته وعن تاثيره النفسى والسلبى على الاناث والمجتمع</t>
  </si>
  <si>
    <t>اتذكر حلقة طالب الجامعة الامريكية</t>
  </si>
  <si>
    <t>ازاي تبقي شخصيه مهمه الختان والانترنت نساء الحظر</t>
  </si>
  <si>
    <t>تقريبا كانت بتتكلم عن حكايات وقضايا وموقف القانون منها تقريبا مش فاكره بالظبط</t>
  </si>
  <si>
    <t>دعم حقوق المرأة والمطالبة بها والتعريف بالقضايا المختلفة التى تخص المرأة</t>
  </si>
  <si>
    <t>العنف ضد المرأة والأطفال من قبل الزوج</t>
  </si>
  <si>
    <t>الفرق بين الطلاق والخلع  / التحرش ف الشغل ومواجهته</t>
  </si>
  <si>
    <t>اتفرجت علي حلقات عن موضوع التحرش</t>
  </si>
  <si>
    <t>الختان  وعقاب القائمين عليه والتحرش فىالعمل وكيفية مواجهتها والعنف ضد المرأة وهذا مانعانيه</t>
  </si>
  <si>
    <t>داءما كلام مفيد جدا وحتى الفيديوهات الترفيهيه لذيذة وممتعه هو اسلوب نهاد بيعجبنى وهى بتتكلم في موضوعات مختلفه وشيقه ومفيدة جدا بتعلم المراءة كيف تحمى نفسها بنفسها</t>
  </si>
  <si>
    <t>قضايا تخص المرأة زي التحرش</t>
  </si>
  <si>
    <t>شوفت حلقة عن ختان البنات وعن قضايا الأسرة والطلاق اكتر من قضية مش فاكره الحلقات كويس</t>
  </si>
  <si>
    <t>محتوى مبسط واضح اعلامى مهنى لكن كثرة المتابعة تسبب الاكتئاب احيانا</t>
  </si>
  <si>
    <t>عن فروقات التعليم بين الحكومي والخاص تقريبا وعن الخطوبات وطريقه التعامل</t>
  </si>
  <si>
    <t>اتفرجت علي حلقه الختان و عنف ضد المراة</t>
  </si>
  <si>
    <t>التحرش والطلاق</t>
  </si>
  <si>
    <t>الاوضاع القانونية لبعض قضايا المرأة، التحرش،</t>
  </si>
  <si>
    <t>اضطهاد المراه من الزوج،عدم تمكين المرأة،سكوتها عن حقوقها</t>
  </si>
  <si>
    <t>أنا من المعجبين بالاستاذة نهاد من زمان اتغرجت على حلقات ترتيب المنزل و ازاى ادير وقتى و الاغتصاب و ازاى اعرف احمى نفسى و عيلتى و كتير من الحلقات التى لا يتسع ذكرها ا</t>
  </si>
  <si>
    <t>عن حقوق المرأه</t>
  </si>
  <si>
    <t>مناهضه الختان    رفض العنف</t>
  </si>
  <si>
    <t>الختان والعنف ضد المرأه وغير ذلك</t>
  </si>
  <si>
    <t>استفدت منها كثيرا</t>
  </si>
  <si>
    <t>حقوق المرأة عند الطلاق، تمكين  الزوجة من الشقة، القانون الجديد والرؤيه الاطفال</t>
  </si>
  <si>
    <t>ازاى تبقى شخصية مهمة</t>
  </si>
  <si>
    <t>الختان.. ويعني أيه كلمة رجل</t>
  </si>
  <si>
    <t>قضايا الطلاق</t>
  </si>
  <si>
    <t>الرؤية</t>
  </si>
  <si>
    <t>برنامج ناجح بيزيد وعى المرأة بحقوقها</t>
  </si>
  <si>
    <t>اجتماعي ثقافي</t>
  </si>
  <si>
    <t>عن حريه اللبس والمظهر ‘جمال المرأه بعد الاربعين‘ تحقيق عن موضوع فتاه الفيرمونت‘ العند والتسبب في خراب البيوت بسبب تصلب الرإي وحلقات اخري</t>
  </si>
  <si>
    <t>عن الحياه ما بعد الزواج و الحقوق</t>
  </si>
  <si>
    <t>مهمتم بالمراءه وقضايها</t>
  </si>
  <si>
    <t>جيد وكان خاص بختان الإناث و مخاطر كورونا</t>
  </si>
  <si>
    <t>قانونية و حياتية</t>
  </si>
  <si>
    <t>قريب إلى حد ما إلى الأحداث</t>
  </si>
  <si>
    <t>عن العنف ضد المراة والختان والتحرش ونماذج لنجاح لفتيات</t>
  </si>
  <si>
    <t>وجبات الزوج و عن بناء المستقبل ، و حلقة عن المجتمع المدني</t>
  </si>
  <si>
    <t>شوفت حلقة كانت بتحكي عن اصحاب الهمم وفي حلقات عن التحرش</t>
  </si>
  <si>
    <t>الكلام عن قضايا متعددة تخص المراة</t>
  </si>
  <si>
    <t>كلام عن حقوق المرأة والقضايا</t>
  </si>
  <si>
    <t>دعم المرأة وتوعيتها قانونيا ونفسيا إلي حد ما</t>
  </si>
  <si>
    <t>قضايا المرأة تحديدا عن الخلع</t>
  </si>
  <si>
    <t>المحاكم والاسرة</t>
  </si>
  <si>
    <t>قانوني توعوي عن حقوق المرأة المطلقة</t>
  </si>
  <si>
    <t>حقوق المرآه والعنف الاسري ضد المرآه</t>
  </si>
  <si>
    <t>عن قضايا المرأة ومواضيع قانونية</t>
  </si>
  <si>
    <t>الاختلافات بين سيكلوجية المراه وسيكلوجية الرجل</t>
  </si>
  <si>
    <t>كل الحلقات بتعلم المرأة ازاي تواجه سلبيات المجتمع بمختلف أشكالها سواء كانت عنف أو تحرش و خطورة ختان الاناث نفسيا وجسديا</t>
  </si>
  <si>
    <t>40 سن النضوج وابدا افكر فى نفسى واللى يريحنى، ولا اشغل نفسى باراء الاخرين</t>
  </si>
  <si>
    <t>بيتكلم عن حرية المرأة وحقوقها وازاى تقدر تتعامل مع المجتمع بدون ما تتنازل عن حقوقها ولا تقصر فى اى من واجباتها وكمان ازاى تتعامل مع الراجل كشريك له حقوق وعليه واجبات</t>
  </si>
  <si>
    <t>عن التحرش الجنسى . وعن اهانة المراة العاملة من الزوج و تحملها للمسؤولية</t>
  </si>
  <si>
    <t>التحرش والعنف ضد المرأه</t>
  </si>
  <si>
    <t>الطلاق. الشغل وتنظيم الوقت. فيرس كورونا</t>
  </si>
  <si>
    <t>الضرب و التحرش الجنسي</t>
  </si>
  <si>
    <t>توعيه اعطاء طاقه ايجابيه</t>
  </si>
  <si>
    <t>يعني ايه راجل او ازاي تبقي راجل</t>
  </si>
  <si>
    <t>حلقات تتكلم عن قضايا المرأة وفى حلقة أن مش كل اللي يقولك انتي زي بنتي يبقي زي ابوكي</t>
  </si>
  <si>
    <t>المحتوي جيد جدا لحلقات التي شاهدتها</t>
  </si>
  <si>
    <t>موضوع التحرش</t>
  </si>
  <si>
    <t>بتتكلم عن قضايا المجتمع ومنها قضايا المرأة</t>
  </si>
  <si>
    <t>علاقه ام الزوج بالزوجه ابنها</t>
  </si>
  <si>
    <t>د. جمال سرور وختان البنات ورسول الله صلى الله عليه وسلم وبناته  ..   زواج البنات وتنظيم الوقت والبيت والشغل ستره للبنات</t>
  </si>
  <si>
    <t>قضايا تتعلق بالمرأة و البنات و مناقشة قضايا زيةالفيرمونت</t>
  </si>
  <si>
    <t>مفيد وبيقدم الوعي للناس</t>
  </si>
  <si>
    <t>إن البنات اصبحت تميل للراجل اللي شكله ناعم خوفاً من العنف</t>
  </si>
  <si>
    <t>زواج الفاصرات والفرق بين الزواج المصري والغربي والطلاق</t>
  </si>
  <si>
    <t>العنف ضد المرأة /  ختان البنات /المواريث</t>
  </si>
  <si>
    <t>نوعيه قانونيه وقضايا المراه</t>
  </si>
  <si>
    <t>العنف مع المرأة وهدر حقها وبعض مشاكل الميراث بالنسبة للمرأة</t>
  </si>
  <si>
    <t>معنى الرجولة و ازاي تبقي راجل بعقلك و احترامك و حنانك لانثاك بدل ما تستخدم سطوتك و عضلاتك، ختان الاناث و تأثير الانترنت ف الوعى عند الفتيات</t>
  </si>
  <si>
    <t>ختان الإناث</t>
  </si>
  <si>
    <t>الختان/التحرش/البنات والإنترنت</t>
  </si>
  <si>
    <t>الحديث عن قضايا الأحوال الشخصية وإجابات الأسئلة الواردة للبرنامج</t>
  </si>
  <si>
    <t>بصراحه برنامج مفيد جداا بيحسسنى بقيتى ودورى ووجباتى وحقوقي مش متابعاه علي التليفزيون اوى بس برجع اتفرج عليه ع اليوتيوب او الفيس بوك شكراا علي تعبكم معانا ونرجوا الاستمرار</t>
  </si>
  <si>
    <t>العنف ضد المرأه</t>
  </si>
  <si>
    <t>العنف ضد المرأة ختان الاناث</t>
  </si>
  <si>
    <t>الختان والانترنت وحلقه يعنى ايه راجل</t>
  </si>
  <si>
    <t>ولكنها جيدة</t>
  </si>
  <si>
    <t>اكتر حلقه فاكرها الخاصة بموضوع الختان</t>
  </si>
  <si>
    <t>عن حقوق المرأة</t>
  </si>
  <si>
    <t>المحتوى كان بيعرض بوضوح رفض العنف ضد المرأه سواء متزوجه او ارمله او ايا ما كان بالاضافه لتوضيح كثير من الامور فى القانون المتعلق بالمرأه وحقوقها.... الخ</t>
  </si>
  <si>
    <t>كل الحلقات اللي بتتكلم عن مشاكل الطلاق والنفقه</t>
  </si>
  <si>
    <t>ختان الايناث</t>
  </si>
  <si>
    <t>تتكلم عن المرأه المعيله وظروف الحياه اللتي تجبراي انسان علي الذل، تتكلم عن حق المرأة، تتكلم عن الحب ادمغموس بالضرب والاهانه وعن ضحك الرجال العوجيز علي البنات الصغيرة</t>
  </si>
  <si>
    <t>الى ما ااتذكر كان يتحدث عن ختان الاناث وحلقه اخرى عن الزواج المبكر</t>
  </si>
  <si>
    <t>الحلقات اللى شوفتها عن قضايا الطلاق و قانون الرؤية</t>
  </si>
  <si>
    <t>هادفه</t>
  </si>
  <si>
    <t>كانت في حلقه بتتكلم عن الختان واقتنعت كلامها جدا ومره تانيه كان في تكريم لجمعيه ف الصعيد مش فاكره اسمها</t>
  </si>
  <si>
    <t>مفيد ورائع</t>
  </si>
  <si>
    <t>بحكم ظروفى بتعجبنى حلقات حقوق المرأه الطلقة</t>
  </si>
  <si>
    <t>الجواز التانية ،ازاى تبقى شخصية مهمة،كلام للرجاله،البنات والانترنت</t>
  </si>
  <si>
    <t>عن التحرش الجنسي سواء مع الاطفال او اذا حصل مع زميلة في الشغل وكلمتها للرجال والشباب وانصرف اذاي اذا حصل تحرش أو اغتصاب مع حد اعرفه وايه عقوبته في القانون</t>
  </si>
  <si>
    <t>ختان الاناث والعنف ضد المراه</t>
  </si>
  <si>
    <t>قانون المرأة/حقوق الزوجة</t>
  </si>
  <si>
    <t>مابعد كورونا وتأثيره على منظمة العمل ومؤخر الأرملة يعتبر دين تأخذه قبل توزيع الميراث</t>
  </si>
  <si>
    <t>بنواجه فعلا مشاكل المراة وتساعد في حلها</t>
  </si>
  <si>
    <t>قضايا المرأة والقانون</t>
  </si>
  <si>
    <t>الخلع والتخسيس والتحرش</t>
  </si>
  <si>
    <t>دعم المرأة وتوعيتها ضد العنف</t>
  </si>
  <si>
    <t>جيدة</t>
  </si>
  <si>
    <t>الشاطر شاطر كلام رجاله سجن الخوف</t>
  </si>
  <si>
    <t>عن الختان وازاي اكون شخصيه مهمه والزوجه التانيه تقريبا و ازاي ابطل قلق</t>
  </si>
  <si>
    <t>برنامج توعوى بينافش قضايا قانونيه وتحديدا قضايا المرأة</t>
  </si>
  <si>
    <t>اجتماعى</t>
  </si>
  <si>
    <t>كانت الحلقه عن الزوجة الثانية  وحلقة عن أسباب الرجال في الزواج بمراة أخري والادعاءات بأن البنات أكثر عددا من الرجال</t>
  </si>
  <si>
    <t>الختان واخرى عن التحرش  والتعليم</t>
  </si>
  <si>
    <t>التحرش الجنسي وكيفية التعامل معه...</t>
  </si>
  <si>
    <t>عن العنف ضد المرأه والتحرش وازاي ندافع عن نفسنا وناخد حقوقفنا</t>
  </si>
  <si>
    <t>قضايا قانونية وتوعية بخصوص مواد القانون</t>
  </si>
  <si>
    <t>العنف ضدد المرأة و التحرش و تطور علاقة الام بأولادها اللي كبروا</t>
  </si>
  <si>
    <t>استفدت كتير جدا عرفت انواع العنف وانه مش بس شتيمة وضرب وكمان اسبابه. واشكال التحرش وعقوباتها وان التحرش مش مقتصر ع لبس البنت بس. واننا لما نشوف التحرش منسكتش وناخد فعل حازم. وان ختان الاناث جريمة ومش مذكور ف الاسلام من الاساس وعقوبته القانونية.</t>
  </si>
  <si>
    <t>قضايا  التحرش</t>
  </si>
  <si>
    <t>توعية بطريقة سلسله عن التحرش العنف الطلاق الزواج الشغل تاثير كورونا علي بيوتنا</t>
  </si>
  <si>
    <t>الزواج الفاشل وكيفية الحفاظ على الاسرة</t>
  </si>
  <si>
    <t>العنف ضد المرءه</t>
  </si>
  <si>
    <t>حلقة عن التحرش واخرى عن المشاكل الزوجية</t>
  </si>
  <si>
    <t>ازاي نواجه مشاكلةالستات والبنات وازاي نقضي علي عاده الختان</t>
  </si>
  <si>
    <t>دعم المراءه</t>
  </si>
  <si>
    <t>عن الطلاق والحضانة وحقوق الزوجه وأشياء من هذا القبيل</t>
  </si>
  <si>
    <t>توعية الفتيات والسيدات ضد التحرش الجنسى فى العمل وفى جميع الاماكن التى ممكن ان تتعرض الفتيات للتحرش فيها</t>
  </si>
  <si>
    <t>حلوة</t>
  </si>
  <si>
    <t>حلقات عن مشاكل المراه في العمل والمشاكل القانونيه</t>
  </si>
  <si>
    <t>كيف اقي نفسي واولادي من التحرش في الشارع والعمل</t>
  </si>
  <si>
    <t>عن المرأة وحقوقها</t>
  </si>
  <si>
    <t>الختان.التحرش الجنسي</t>
  </si>
  <si>
    <t>معظمها كان عن حقوق المرأة بعد الطلاق أو في طلب الطلاق والحضانة ونفقاتها</t>
  </si>
  <si>
    <t>كل الحلقات عادة تتحدث عن قضايا تهم المرأة والأسرة، بالإضافة إلى طرح قضايا مهمة مثل التحرش وطرق مواجهته، وختان الإناث وأضراره.</t>
  </si>
  <si>
    <t>عن حقوق المرأة ف الطلاق والخلع والعمل</t>
  </si>
  <si>
    <t>كانت من بينهم حلقة تدعم النساء المطلقات وحق رؤية الأب للاولاد وهكذا وحلقات عن العنف الأسري ضد المرأة و ع التحرش أيضا هذا ما اتذكره</t>
  </si>
  <si>
    <t>التحرش الجنسي بالأطفال وعلاقه اللبس بالتحرش وانه مش مبرر للتحرش ودور الشباب والرجاله في مواجهه التحرش وانه مينفعش ابدا يتجاهل االبنت اللي قدامه اويعاملها بعدم احترام وميسمعش اللي بتقوله ودا اصلا شكل من اشكال العنف</t>
  </si>
  <si>
    <t>العنف ضد المراة</t>
  </si>
  <si>
    <t>عن زواج القصيرات</t>
  </si>
  <si>
    <t>المرآه</t>
  </si>
  <si>
    <t>حلقات عن التحرس وعمل المرأه</t>
  </si>
  <si>
    <t>بسيط وبيخاطب كل الفئات حتى الغير متعلمين</t>
  </si>
  <si>
    <t>التحرش الجنسى وختان البنات</t>
  </si>
  <si>
    <t>أهمية شغل المرأة و ترشيحها للانتخابات و أهمية تعليمها وأهمية معرفة حقوقها و كيفية اخذها</t>
  </si>
  <si>
    <t>حول قضايا العنف والتحرش</t>
  </si>
  <si>
    <t>بتتكلم بشكل بسيط كأنها ست بيت بتتكلم مع صاحبتها اسلوبها سلسل</t>
  </si>
  <si>
    <t>دعم المرأة وحمايتها وحماية حقوقها وتوعية المرأة</t>
  </si>
  <si>
    <t>عن المرأة ومشاكلها</t>
  </si>
  <si>
    <t>كيفيه اختيار الاشخاص والاعتماد على النفس او الذات</t>
  </si>
  <si>
    <t>اغلبها مشاكل اسريه</t>
  </si>
  <si>
    <t>محتوي جيد واقعي</t>
  </si>
  <si>
    <t>جواز البنات... قضايا الاغتصاب</t>
  </si>
  <si>
    <t>الدفاع عن حق المرأه فى الحياه</t>
  </si>
  <si>
    <t>ميراث البنات //الختان//زواج القاصرات //قضايا الاغتصاب</t>
  </si>
  <si>
    <t>التعريف بحقوق المرأة ونوعيتها ضد العنف</t>
  </si>
  <si>
    <t>عن المرأة</t>
  </si>
  <si>
    <t>مهم جدااا</t>
  </si>
  <si>
    <t>الطهور..الاغتصاب</t>
  </si>
  <si>
    <t>تهتم بقضايا المراه وكيفية التصدي للعنف الموجه لهل</t>
  </si>
  <si>
    <t>كانت عبارة عن اسئلة وجوابات</t>
  </si>
  <si>
    <t>عامة حقوق المرأة وخاصة قضايا النفقة والتمكين التى لا تستطيع المرأة تنفيزها</t>
  </si>
  <si>
    <t>الختان و الانترنت</t>
  </si>
  <si>
    <t>محتوي عن القوانين التي تخص المرأة والأسرة</t>
  </si>
  <si>
    <t>قليل وغير وافي</t>
  </si>
  <si>
    <t>عن حقوق المرأة والاسرة ومحتوي قانوني اجتماعي</t>
  </si>
  <si>
    <t>مشاكل ف حياه المراه وقضاياها</t>
  </si>
  <si>
    <t>توعية قانونية بحقوق المرأه</t>
  </si>
  <si>
    <t>خفيفه الظل</t>
  </si>
  <si>
    <t>قضايا المرأه وختان الإناث والحياه في الحظر</t>
  </si>
  <si>
    <t>توعية المرأة بحقوقها والاشياء التي لا يجب ان تسكت عنها مثل قضية ختان البنات وغيرها</t>
  </si>
  <si>
    <t>ارشادات ونصائح</t>
  </si>
  <si>
    <t>حلقة الختان حلقه بنت الفندق  حلقه تأجيل الخلفه للكابل الكنتي مستدفاه وحاجات كتير بس كل ده بتابع من على صفحة الفيس بشوف منها كتير لمن التليفزيون قليل قوي اما اتفرج اصلا عليه</t>
  </si>
  <si>
    <t>الشباب والإعداد لسوق العمل ...حقوق المطلقة ...مهارات نفسية حياتية</t>
  </si>
  <si>
    <t>كانت ازاي تبقي شخصية مهمة ، و كان كلام للرجالة</t>
  </si>
  <si>
    <t>حكايات عن الناس بالقانون</t>
  </si>
  <si>
    <t>المشاكل التى تواجه المرأة المطلقة من حيث النفقة والسكن للأولاد اذا كانت حاضنة</t>
  </si>
  <si>
    <t>الحضانه وشروطها</t>
  </si>
  <si>
    <t>توعيه عن كيفية التعامل مع المتحرش وكيف التصرف لو المتحرش كان لزميله لى ومعلومات عن التصالح العقارى</t>
  </si>
  <si>
    <t>الخلع و قضايا الاسرة</t>
  </si>
  <si>
    <t>محتوى هادف يرشدنا لزياده الوعي حول الاسره وعلاج مشكلاتها</t>
  </si>
  <si>
    <t>حقوق المرأة وتعرفنا بكل القضايا المحيطة مثل التحرش وقضايا الميراث والعقار وعن نفسى فتحت عنيا وفهمتنى حاجات كتير فى المجتمع</t>
  </si>
  <si>
    <t>ازاى تبقى شخصيه مهمة بس الحلقة بقالها كتير</t>
  </si>
  <si>
    <t>مشكلات العنف ضد المرأة  وزواج القاصرات</t>
  </si>
  <si>
    <t>مفيد وخفيف</t>
  </si>
  <si>
    <t>محتوى قيم الصراحه</t>
  </si>
  <si>
    <t>ختان الاناث زواج القاصرات</t>
  </si>
  <si>
    <t>شوفت مرة كانت مدام نهاد بتجاوب عن الاسئله الى المشاهدين بيسالوها ومنها بيت الطاعه والجار بالشفعه وانى ما اعطيش اى حد اسمى بالكامل والرقم القومى لان ممكن يعمل بيهم حجات كتير ضددى وشفت كذا حلقه عن نساء ناجحات حاربوا الظروف والاهل وبقيوا حتجه مشرفه ومن ضمنهم واحده ابنها قتل بالطار وكانت بتلف على العاىلات توعيهم عن خطورة الطار والقتل وموضوع التوكيلات وحجات كتير منها ان كل حاجه الست المطلقه صرفتها على ابنها من مصاريف مدارس لعلاج لاى حاجه تقدر تاخدها من الاب طالما معاها فاتورة تثبت ده وحجات كتير تانيه استفدتها من البرنامج الهادف ده</t>
  </si>
  <si>
    <t>قضية الفيرمونت والتحرش وتعرض البنات للخديعة من كبار السن</t>
  </si>
  <si>
    <t>ختان الإناث .وقبلها العنف الأسري</t>
  </si>
  <si>
    <t>مناقشة مشاكل قانونية</t>
  </si>
  <si>
    <t>حقوق النساء فى القانون المصرى والقضايا الاسرية</t>
  </si>
  <si>
    <t>بيكلم عن المراة وبيدعمها</t>
  </si>
  <si>
    <t>العنف ضد الاطفال</t>
  </si>
  <si>
    <t>التحرش فى العمل</t>
  </si>
  <si>
    <t>مختصر ومفيد وهادف جدا و أفادني وصريح وواضح  ومحترم</t>
  </si>
  <si>
    <t>حلقه تعليم البنات</t>
  </si>
  <si>
    <t>تعريف بالقانون وبحقوق المراه وحل المشاكل الاسريه</t>
  </si>
  <si>
    <t>التحرش والتحرش الجنسي بالاطفال وعقوبات وانتي تحميهم والاغتصاب ومواجهته وآثار كورونا والعنف ضد المراه و</t>
  </si>
  <si>
    <t>يعني اية راجل /الختان والانترنت</t>
  </si>
  <si>
    <t>قضية تصرف فيها المواطن بغرابه</t>
  </si>
  <si>
    <t>الزواج العرفي</t>
  </si>
  <si>
    <t>ميراث الايناث</t>
  </si>
  <si>
    <t>القانون عند الانفصال</t>
  </si>
  <si>
    <t>مفيد جدا</t>
  </si>
  <si>
    <t>زواج القصر</t>
  </si>
  <si>
    <t>عن الختان وقضايا اخري</t>
  </si>
  <si>
    <t>المراة وقضاياالتحرش وتدخل النائب العام</t>
  </si>
  <si>
    <t>عن ختان الاناث وحقوق المرأه وأفرفش نفسي إزاي</t>
  </si>
  <si>
    <t>جواز البنات</t>
  </si>
  <si>
    <t>عن الختان</t>
  </si>
  <si>
    <t>حق البنت فى الدفاع عن حقها ضد التحرش والاعتداء وتقرير مصيرها</t>
  </si>
  <si>
    <t>الرجولة مفهومها عند ناس كتير غلط و واخدينها بالقوة و العضلات و إن المرأه اللى بتتعرض للعنف فى بيتها لازم تتخذ رد فعل و تبلغ الشرطة و عرفت إن الختان خطأ فى حق المرأة و إن المرأه المصرية ليها حقوق قانونية كتير لازم اعرفها عشان اطالب بها</t>
  </si>
  <si>
    <t>حقوق المرأه</t>
  </si>
  <si>
    <t>بحب اشوف ان المحاميه تقدر تنجح اكتر من الرجال كمان اتمنى اكون محاميه كبيره مثلها</t>
  </si>
  <si>
    <t>عن الزوجه الثانيه</t>
  </si>
  <si>
    <t>قضايا النفقة و العنف مع الزوجات</t>
  </si>
  <si>
    <t>دعم المراة والتحرش وكيفية مواجهة</t>
  </si>
  <si>
    <t>الفرق بين الطلاق والخلع، العنف ضد المرأة</t>
  </si>
  <si>
    <t>اكثر الحلقات استطيع أن أقول اني استفدت منها وكررت مشاهدتها كانت عن ختان الإناث</t>
  </si>
  <si>
    <t>حضانة الأولاد مع بعد الأنفصال</t>
  </si>
  <si>
    <t>حلقه التحرش</t>
  </si>
  <si>
    <t>كانت حلقات بتتكلم عن القانون وحقوق المرأة ومشاكل الطلاق والعنف الأسري وحلول قانونية واجتماعية ليها</t>
  </si>
  <si>
    <t>حلقات عن مشاكل أسرية وحلها بطريقة قانونية واجتماعية</t>
  </si>
  <si>
    <t>قضيه ختان الاناث وقضيه مخالفه البناء</t>
  </si>
  <si>
    <t>علي ما اتذكر عن حقوق المرأة المتزوجة والمطلقات</t>
  </si>
  <si>
    <t>الفرق بين الخلع والطلاق وأثر الكورونا على الاسره وخصوصا المرأه والتحرش بالأطفال والمرأه  والموظفات الجدد في العمل وحنان الإناث وأثره على الفتيات</t>
  </si>
  <si>
    <t>Very good</t>
  </si>
  <si>
    <t>ختان الإناث والعنف الأسري</t>
  </si>
  <si>
    <t>الحلقات كانت تتناول شرح المواضيع والقضايا الهامه بشكل مبسط وكانت حورات ونقاشات مفيده جدا علي المستوي الاجتماعي والفكري مما يعزز من التنميه المجتمعيه.</t>
  </si>
  <si>
    <t>جيدا في توعيه وفي اجابات بستفاد بيها</t>
  </si>
  <si>
    <t>حلقات عن التحرش الجنسي وعن ختان الاناث</t>
  </si>
  <si>
    <t>عن الخلع والطلاق</t>
  </si>
  <si>
    <t>عن العنف الاسرى</t>
  </si>
  <si>
    <t>قوانين أسرة و قضايا واستفسارات قانونية</t>
  </si>
  <si>
    <t>مستوي معقول</t>
  </si>
  <si>
    <t>الزواج الثانى ، بناء الثقه ،</t>
  </si>
  <si>
    <t>توعيه قانونيه</t>
  </si>
  <si>
    <t>انفجرت على حلقة الرجالة عايزة ايه . وقف الختان.المأذون و بنتى</t>
  </si>
  <si>
    <t>معلومات قانونيه رائعه</t>
  </si>
  <si>
    <t>عن الختان والعنف ضد المرأة والتحرش</t>
  </si>
  <si>
    <t>برنامج هادف وتوعوي يناقش القضايا التي تهم المرأة والمجتمع</t>
  </si>
  <si>
    <t>برنامج اجتماعي</t>
  </si>
  <si>
    <t>إيصالات الامانه.....الايجارات</t>
  </si>
  <si>
    <t>قضايا المرأة المقهورة</t>
  </si>
  <si>
    <t>يتحدث عن ازاي تطور من شخصيتي واجعل الي أمامي يحترمني وازاي أسعد نفسي</t>
  </si>
  <si>
    <t>ختان الاناث وأضرارها على البنت و على اسرتها</t>
  </si>
  <si>
    <t>المرأة و اهميتها في المجتمع</t>
  </si>
  <si>
    <t>جيد جدا ومفيد للمراه المصريه</t>
  </si>
  <si>
    <t>قانون الايجار القديم</t>
  </si>
  <si>
    <t>كان هى حلق بتتكلم عن حضانه الاطفال</t>
  </si>
  <si>
    <t>الختان  التحرش الجنسي والفظي</t>
  </si>
  <si>
    <t>حقوق المطلقات</t>
  </si>
  <si>
    <t>الاستشارات القانونيه واهم حاجة اماكن دعم المراة</t>
  </si>
  <si>
    <t>حلقه عن العنف الاسري</t>
  </si>
  <si>
    <t>عن العقود وصحتها والعنف المنزلى والتحرش واسئله واجابتها عن الطلاق ووضع الابناء</t>
  </si>
  <si>
    <t>جرائم الاغتصاب - التحرش الجنسي واللفظي - الآثار السلبية لفيروس كورونا - قضايا العنف ضد المرأة</t>
  </si>
  <si>
    <t>حلقة عن الزواج العرفي وخلقة عن الغارمات وحلقة عن حقوق الزوجة عند الطلاق او الخلع ده اللي فاكراه دلوقتي</t>
  </si>
  <si>
    <t>التحرش في الغمل</t>
  </si>
  <si>
    <t>عن التحرش وختان البنات وعن المواريث وحق البنت فى الورث وعن حق المرأة وعن المرأة العاملة</t>
  </si>
  <si>
    <t>أشهرهم حلقة قضايا التحرش الجنسى</t>
  </si>
  <si>
    <t>كانت ازاي المراءه المطلقه تخلي جوزها يصرف علي الولاد</t>
  </si>
  <si>
    <t>الاستشارات القانونية</t>
  </si>
  <si>
    <t>عن المرأة والمجتمع واجتماعيات</t>
  </si>
  <si>
    <t>ممتازه وفعاله جداا</t>
  </si>
  <si>
    <t>العنف والتحرش</t>
  </si>
  <si>
    <t>قضايا المرأة والمواريث</t>
  </si>
  <si>
    <t>اغلبها تنبيه المراه لحقوقها وازى تدافع عنها</t>
  </si>
  <si>
    <t>كان عاجبني لانه بيعلم الست انها ماتبقاش ضعيفه ويبقي لها شخصيه وعمل ودور. وانها من حقها تحس بانوثتها وانها انسانه بتشعر بالقيمه</t>
  </si>
  <si>
    <t>كان بتكلم عن هل لبس البنت هو السبب التحرش وازاي اتعمل مسح تحليلي 200في 1000في الرجال والسيدات عن التحرش وان كتير اعترفوا انهم بتحرشوا وبيتباهوا بذلك علي انه شي جميل وان كتير من السيدات اعترفت انهم تعرضوا للتحرش لدرجه انهم حياتهم باظت وان اللبس مش هو المشكله بدليل ان في رجاله بتشوف ان في لبس محتشم بيبقي مغري ليهم</t>
  </si>
  <si>
    <t>حلقة الختان</t>
  </si>
  <si>
    <t>الخلع /الختان</t>
  </si>
  <si>
    <t>قضايا اسريه حقيقه وتوعيه اسريه للمراه والاسره</t>
  </si>
  <si>
    <t>مفيده</t>
  </si>
  <si>
    <t>العنف ضد المرءه والغريب ان اتفاجءت بمعلومة ان مجرد التجاهل يعتبر عنف حقوقك كتير لى اول مره اعًفها بس من خلال الحلقات</t>
  </si>
  <si>
    <t>التحرش والختان</t>
  </si>
  <si>
    <t>الزواج المبكر والطلاق والتحرش</t>
  </si>
  <si>
    <t>عرفت الفرق بين الطلاق  وألخلع  والتحرش بالمرأة والأطفال واثر الختان على البنات</t>
  </si>
  <si>
    <t>سمعت للاستاذة حكايات كتيى لرأيها مثلا في اهم الحاجات في جهاز البنات ايلي ممكن تكون سبب في تسهيل الحياة عليها ذي غسالة الاطباق اهم من اشياء كتير بنشتريها للجهاز من اجل المنظرة وبس وسمعت رايها في الختان وسمعت رايها في تضيييييع وقت المراة وحياتها في المطبخ</t>
  </si>
  <si>
    <t>مشاكل الطلاق</t>
  </si>
  <si>
    <t>حسيت ان في سند للمرأة ولها حقوق قانونية كتير</t>
  </si>
  <si>
    <t>لا اتذكر لانها كانت من فتره لكنها كانت متميزه</t>
  </si>
  <si>
    <t>كيفيه التصدى للعنف ضد المرأة</t>
  </si>
  <si>
    <t>عن عنف الرجل اتجاه المرأة</t>
  </si>
  <si>
    <t>عن الطلاق وحقوق المرأة بعده ومرة تانية عن العنف ضد المرأه</t>
  </si>
  <si>
    <t>برنامج هادف جدا للمراه</t>
  </si>
  <si>
    <t>الفرق بين الخلع والطلاق واستفدت كتير</t>
  </si>
  <si>
    <t>التحرش الجنسي في العمل</t>
  </si>
  <si>
    <t>شوفت حلقات عن التحرش وشوفت حلقات عن ضرب واهانة الزوجة</t>
  </si>
  <si>
    <t>ختان الإناث . عمل المرأة</t>
  </si>
  <si>
    <t>عن زواج القاصرات وأسباب الطلاق</t>
  </si>
  <si>
    <t>العنف ضد المراه والتحرش</t>
  </si>
  <si>
    <t>بيان للنيابه ..اوقفوا الختان ..الاغتصاب .......الخ</t>
  </si>
  <si>
    <t>اغلبه عن حقوق المرأه</t>
  </si>
  <si>
    <t>حلفات كتيره مختلفه</t>
  </si>
  <si>
    <t>فى حلقة منهم كانت عن الختان</t>
  </si>
  <si>
    <t>حكايات عن سيدات وزوجات أما تم استغلالهم أو التحرش بهم أو قهرهم</t>
  </si>
  <si>
    <t>التحرس والعتف ضد المراة</t>
  </si>
  <si>
    <t>الحلقات كلها على اظ ما كانت بسيطة بس كانت مؤثرة فعلاً. نهاد كلامها واقعي مفيهوش تزمت ومقنع وغير متحيز.</t>
  </si>
  <si>
    <t>أفضل الحلقات بالنسبة لي حلقة النساء اللاتي تعرضن للعنف الزوجي وقت الحظر وإن ازاي المجتمع والناس المحيطين ممكن يكونو عائق قدام إن الواحدة تاخد حقها زي حكاية السيدة اللي اتعرضت للضرب المبرح من جوزها والجارة حاولت تثبط من عزيمتها إنها تقدم بلاغ بحجة اننا في حظر والشرطة مش فاضية وان جوزها معذور لانه مخنوق من القعدة لكن التصرف الصح انها طبعا لازم تبلغ الشرطة لأن ابسط حقوقها انها تعيش في أمان في بيتها ماتكونش مهددة دايما بالتعامل بعنف بحجة إن الزوج مخنوق او متضايق</t>
  </si>
  <si>
    <t>قصص من الواقع قصيرة وكيفية حل مشكلتها بوعى فى القانون</t>
  </si>
  <si>
    <t>حضانة الام والصاحب العبيط والتحرش</t>
  </si>
  <si>
    <t>ممتازه</t>
  </si>
  <si>
    <t>محتوى هادف ومهم للوقوف على قضايا الهامه التى تمس المجتمع ونظرته للانثي وموقف المجتمع من قضايا الاغتصاب والتحرش والختان</t>
  </si>
  <si>
    <t>ضرب الزوج للزوجه والتحرش وأسباب الانفصال ومواضيع كثيره</t>
  </si>
  <si>
    <t>توعية بحقوق المرأة</t>
  </si>
  <si>
    <t>كانت قضايا تخص المرأة كمشكلة الختان مثلا و تخص الأمور القانونية</t>
  </si>
  <si>
    <t>محتوى راقي يهتم بتوعية  بالبنات والسيدات عموما في جميع المجالات</t>
  </si>
  <si>
    <t>العنف الأسري ومعني راجل</t>
  </si>
  <si>
    <t>الاهتمام بقضايا المرأه في جميع نواحي الحياه وخصوصا المرأه التي تعمل</t>
  </si>
  <si>
    <t>عن عمل المرأه وعن اشياء تخص البيت والعزومات ولفت نظرى فيديو تعليم الميكب مع استاذة نهاد وبنتها وحاجات كتير</t>
  </si>
  <si>
    <t>كنتى بتشرحى نتيجه الاستبيان اللى فات ف الحلقات الاولى و بتفصليها</t>
  </si>
  <si>
    <t>حقوق المراءه عند الطلاق للضرر او الخلع</t>
  </si>
  <si>
    <t>حقوق المرأة والتحرش والابتزاز</t>
  </si>
  <si>
    <t>الجوازة التانية</t>
  </si>
  <si>
    <t>زياده العنف ضد المرأه مع كورونا فيرس</t>
  </si>
  <si>
    <t>محتوى هادف</t>
  </si>
  <si>
    <t>الحديث على قضايا المرأة ورأى الدين وقضايا الاطفال وغيرها</t>
  </si>
  <si>
    <t>محتوى حيادي بيناقش بموضوعية وأمثلة حيه واضحة</t>
  </si>
  <si>
    <t>ختان البنات 0 الاغتصاب</t>
  </si>
  <si>
    <t>قضايا المرأة عامة</t>
  </si>
  <si>
    <t>واحد عاوز يتجوز اجنبية و زواج القاصر</t>
  </si>
  <si>
    <t>المحتوى كان مفيد جدا</t>
  </si>
  <si>
    <t>مناقشة حيادية متميزة و بتناقش قضايا شائكة بطريقة ممتازة</t>
  </si>
  <si>
    <t>الجوازه لتانى .يعنى ايه تحرش.ازى تكونى سعيده رغم اللى خواليكى</t>
  </si>
  <si>
    <t>بيتكلم عن الزواج والزوجه والأسرة وزواج القاصرات</t>
  </si>
  <si>
    <t>كلامها مهم جدا وبتوضح ازاي نتعامل مع التحرش ونحمي نفسنا</t>
  </si>
  <si>
    <t>قضيه نصب</t>
  </si>
  <si>
    <t>جيد ومبسط</t>
  </si>
  <si>
    <t>قضايا المرأه عن الخلع والطلاق</t>
  </si>
  <si>
    <t>دعم المرأه ضد العنف</t>
  </si>
  <si>
    <t>كذا موضوع الصراحه عن الختان والتحرش والعنف كذا حلقه مش واحده</t>
  </si>
  <si>
    <t>حلقة علي اليوتيوب فتح ملف قضية اغتصاب فتاة الفيرمونت</t>
  </si>
  <si>
    <t>اسلوبها رائع بحبها اوي</t>
  </si>
  <si>
    <t>الرد على بعض المشكلات والتساؤلات القانونية  ) العنف ضد المراه  ) ختان الفتيات واضراره</t>
  </si>
  <si>
    <t>العنف ...التحرش</t>
  </si>
  <si>
    <t>عن ختان الاناث</t>
  </si>
  <si>
    <t>المشكلات القانونية واهم البنود اللي لازم تكون موجوده في عقد البيع والشراء عشان تحفظ حقك</t>
  </si>
  <si>
    <t>تقديم مشورات اجتماعيه  قانونيه عن مشكل في المجتمع</t>
  </si>
  <si>
    <t>قضايا العنف ضد المرأة وحققها القانونيه وتربية الاولاد</t>
  </si>
  <si>
    <t>حلقة اخطر كلمة على الزواج وحلقة ازاي يبقى عندي ثقة بنفسي وحلقة ازاي اتعامل مع المشاكل</t>
  </si>
  <si>
    <t>كان عن العنف ضد المرأة وعن ختان الاناث وعن المرأة التى تعمل</t>
  </si>
  <si>
    <t>التحرش.   خاصه الطلاق</t>
  </si>
  <si>
    <t>اسئله واجابتها بطريقة سهله وسلسه وفي مجال عملي محاكم الأسره وبستفاد</t>
  </si>
  <si>
    <t>توعية قانونية واجتماعية تخص بعض الظواهر السلبية</t>
  </si>
  <si>
    <t>عن التحرش والاغتصاب والتضجر والعنف</t>
  </si>
  <si>
    <t>مفيده وبتفتح للمرأه وعيها</t>
  </si>
  <si>
    <t>كلها عن قضايا المراه والتحرش وازاي نواجهه</t>
  </si>
  <si>
    <t>اختارتي زوجك ازاي - عمر المرأة</t>
  </si>
  <si>
    <t>محتوى هادف يذكر المرأة بحقوقها وواجبتها</t>
  </si>
  <si>
    <t>فهمت دور الانترنت ف حياة البنات وازاى بنكتسب منه توعيه وختان الاناث وتأثيراته ودور الأب ف البيت</t>
  </si>
  <si>
    <t>حلقة عن الشباب الي بيشتغل وهو بيدرس وعجبتني جدا كانت ملهمة وحلقة عن شغل الست وأهميته وافقرات عن مواضيع مختلفة</t>
  </si>
  <si>
    <t>التحرش في العمل للموظفين الجدد</t>
  </si>
  <si>
    <t>توعية قانونية واجتماعية للمرأة عن طريق حكايات حدثت مع د.نهاد او أمامها أو تفسيرات لتصرفات بعض السيدات من الناحية النفسية مقارنة مع الرجال وتصرفاتهم مثلا في إحدى الحلقات قالت إن المرأة جديدة علي التنافس في العمل لذلك تحدث معها الكثير من المشاكل مقارنه بالرجال</t>
  </si>
  <si>
    <t>اراء جيدة تعجبني</t>
  </si>
  <si>
    <t>حلقات التحرش وتوعيه المراه</t>
  </si>
  <si>
    <t>الميراث... مشاكل زوجية</t>
  </si>
  <si>
    <t>العنف الاسري.  والتحرش في الشغل واللتحرش في الشارع والتحرش مع الاطفال.</t>
  </si>
  <si>
    <t>حقوق المراة فى كل أمور الحياة</t>
  </si>
  <si>
    <t>الخلع.   والحضانه.  وتعديات علي المراه   وختان البنات ومتير استفدت منها</t>
  </si>
  <si>
    <t>كيفية تعامل المراة مع كل مايواجهها في المجتمع من تحرش او عنف او اغتصاب وقضايا الخلع والطلاق ومواجهه فيروس كورونا المستجد في العمل او المنزل</t>
  </si>
  <si>
    <t>لبس البنات و التحرش . تحرش الاطفال .العنف الاسري . الختان</t>
  </si>
  <si>
    <t>قصص من الواقع بتناقش قضايا المراه</t>
  </si>
  <si>
    <t>حلقه عن مواصفات اختيار المرأه للرجل كزوج في السنوات الاخير ان يكون له مواصفات جسديه غير قوية</t>
  </si>
  <si>
    <t>بصراحة معلومات اول مرة اسمعها وجرأة كنت محتاجة اكون جريئة زيها كده بجد فخورة اني واحدة ست علشان فيه واحدة زيها لتعرفوا حقوقنا وواجباتنا</t>
  </si>
  <si>
    <t>عن التحرش في العمل التحرش بالأطفال الرد علي عبدالله رشدي</t>
  </si>
  <si>
    <t>مفيده جدا ولطيفه</t>
  </si>
  <si>
    <t>هادف ومفيد لل،اية</t>
  </si>
  <si>
    <t>مرة عن ختان الاناث وعن دور المرأة في المجتمع</t>
  </si>
  <si>
    <t>الاغلب علي القانون</t>
  </si>
  <si>
    <t>التحرش وقضايا المرأة ف المحاكم</t>
  </si>
  <si>
    <t>موضوع التحرش وموضوع كرونا واثره على حياة الاسرة</t>
  </si>
  <si>
    <t>مساندة المرأة والمحافظة ع حقوقها وتعريفها اياها</t>
  </si>
  <si>
    <t>برنامج توعوي</t>
  </si>
  <si>
    <t>أكثر حاجه فاكرها التحرش والختان</t>
  </si>
  <si>
    <t>عن حقوق الزوجة فى الطلاق / عن التحرش</t>
  </si>
  <si>
    <t>.العنف ضد المرأه</t>
  </si>
  <si>
    <t>اعتقد كان عن التحرش / والقانون وحقوق المرأه</t>
  </si>
  <si>
    <t>الطلاق، _ الخلع _ الحضانة _</t>
  </si>
  <si>
    <t>بصراحه انا معرفش اوصف لكن حبيت البرنامج لانها بتدينا المعلومه القانونيه بشكل قصص واقعيه بشكل مشوق وكمان فقره الاسئله الي بتجاوب عليها استاذه نهاد حلوة جدا لان فيها اسئله مختلفه ممكن اي حد يستفاد منها بشكل سريع وكمان طريقه الكلام وأسلوب عرض بصراحه رائع مش بحس بملل بس انا موظفه ومطلقه وبتابع أولادى طول النهار ارجو عملت حلقات خاصه يوم الجمعه والسبت تحديدا نتكلم فيهم عن كل مايخص المراه وفساد تنفيذ الاحكام مما يهدر حق المراه</t>
  </si>
  <si>
    <t>حقوق المراه</t>
  </si>
  <si>
    <t>تشجيعي جدا ملهم و فرق معايا شخصيا</t>
  </si>
  <si>
    <t>التحرش وكيفية التوفيق بين الشغل والبيت ودور الحما فى حياة الابناء</t>
  </si>
  <si>
    <t>شيقه ومفيده</t>
  </si>
  <si>
    <t>قضاياالمراءه الطلاق وحقوق المراءه</t>
  </si>
  <si>
    <t>ازاي توفقي بين الشغل والبيت</t>
  </si>
  <si>
    <t>عن جرائم الاغتصاب</t>
  </si>
  <si>
    <t>العنف ضد المرأة و التحرش</t>
  </si>
  <si>
    <t>حلقة عن قانون الخلع</t>
  </si>
  <si>
    <t>كانت بتتكلم عن حقوق المرأة وازاي تحمي حقها ف أي حاجة في المجتمع</t>
  </si>
  <si>
    <t>المرأة وكيفية الحصول على حقوقها التى كفلها لها القانون والمجتمع</t>
  </si>
  <si>
    <t>الحلقات الخاصة بختان الاناث</t>
  </si>
  <si>
    <t>جذاب</t>
  </si>
  <si>
    <t>عن العنف ضد المرأه التحرش</t>
  </si>
  <si>
    <t>برنامج بيهتم بقضايا المراءة عموما مثل قضايا الطلاق والنفقه وغيروا وقضايا التحرش وكيفية التعامل معاها</t>
  </si>
  <si>
    <t>كانت عن نون النسوه ودور المرأه</t>
  </si>
  <si>
    <t>عن ختان الاناث وعن التحرش</t>
  </si>
  <si>
    <t>حلقة ختان الاناث واختيار الرجل</t>
  </si>
  <si>
    <t>حقوق المراه فالاسره</t>
  </si>
  <si>
    <t>عامه كانت عن التحرش كذا حلقه عن التحرش وانواعه والاماكن والآثار السلبيه لكورونا وختان الاناث ملحوظه انا ضغطت على من ثلاث لست حلقات بالخطأ</t>
  </si>
  <si>
    <t>ممتاز وموضوعي</t>
  </si>
  <si>
    <t>الطلاق ،زواج القاصرات</t>
  </si>
  <si>
    <t>المحتوى عن دعم المرأة وتطور ها</t>
  </si>
  <si>
    <t>عن كيفية تصدى المرأة لتحرش فى العمل</t>
  </si>
  <si>
    <t>فيه حلقات بتناقش بعض المشاكل المرأه.. مثل الطلاق وحقها ف رؤيه أطفالها.. وختان الاناث.. والزواج العرفي</t>
  </si>
  <si>
    <t>اهم شئ تعرفينا كنساء بحقوقنا حتي لايتلاعب بنا احد</t>
  </si>
  <si>
    <t>عن أسباب الانفصال</t>
  </si>
  <si>
    <t>تجريم ختان الاناث</t>
  </si>
  <si>
    <t>عرض لمشكلات وشرح القوانين والحقوق والواجبات</t>
  </si>
  <si>
    <t>حلقة الختان وحلقه عن زواج البنات الصغيره</t>
  </si>
  <si>
    <t>وقف الختان قضايا الاغتصاب-انتي مش لوحدك معظم القضايا اللي تتعلق بالمرأة</t>
  </si>
  <si>
    <t>هحاول اجمع بس غالبا كان بيتكلم عن زواج القاصرات او المشاكل  الاسرية وازاى تتحل وايه اللي مفروض تعملي لو الزوج طلبك في بيت الطاعة  علي ما اتذكر</t>
  </si>
  <si>
    <t>قضايا المرأه</t>
  </si>
  <si>
    <t>كويسه جدا بتوعي المراه وبتساندها ف القضايا المختلفة</t>
  </si>
  <si>
    <t>ختان الاناث  زواج البنات الاغتصاب</t>
  </si>
  <si>
    <t>عن الخيانه الزوجيه تقريبا</t>
  </si>
  <si>
    <t>برنامج بيحاول ينصفنا ويتكلم اللى جوانا بصيغه قانونيه واضحه</t>
  </si>
  <si>
    <t>* قضايا الاغتصاب والعنق الجنسي ونصائح لتقليل التعرض للاغتصاب ومواجهة الجريمة إذا وقعت/ ختان الإناث عادة موروثة وليس لها علاقة بالدين ويجب الحفاظ على البنات من غير قطع جزء منهم ومناشدة للجيش الأبيض لحماية البنات من هذه الجريمة/ بيان للنيابة العامة بخصوص إحالة والد ندى  ضحية الختان والطبيب/زواج البنات القاصرات وقصة مأذون عقد قران عرفي لطفلة وحملت ورفض الزوج توثيق الزواج/موضوع اثنين ستات من أفضل النساء اللاتي عرفتهم مصر ماري أسعد وعزيزة حسين تم تكريم أسمائهم من اللجنة الوطنية لمحاربة ختان الإناث.</t>
  </si>
  <si>
    <t>الاغتصاب وتشوة الاعضاء التناسلية للفتايات والتحرش</t>
  </si>
  <si>
    <t>حديث عن حقوق المرأه</t>
  </si>
  <si>
    <t>الخلع والطلاق.. حلقة الزوجة الثانية أو الزواج الثاني</t>
  </si>
  <si>
    <t>حلقه الشاب احمد اللي تقدم للزواج من فتاه وكان شرطه انها تسيب شغلها</t>
  </si>
  <si>
    <t>التحرش الجنسي للاطفال</t>
  </si>
  <si>
    <t>حلقة عن التحرش وان ليس البنت مش سبب اساسي وازاي نتعامل ومنخافش ، وكان فيه حلقه عن معرفة الفرق بين للطلاق والخلع وتلجأ لاي حل فيهم امتى ، وحلقة عن فيرس كرونا وتأثيره على العمل</t>
  </si>
  <si>
    <t>قضايا التحرش والتوعيه</t>
  </si>
  <si>
    <t>شهدت عن التنمر والاغتصاب وتفسيم الهام المنزلية ليكون فيها وقت لنفسي وعن الاهتمام بقضايا الاطفال وازى احميهم من الاعتداء او التحرش وكمان عن الختان وامتى نحتاجه وكمان عن قانون التصالح وبعض القوانين الخاصة بالعقارات</t>
  </si>
  <si>
    <t>كانت حلقات مضمونها انو ازاي ادافع عن نفسي قانونيا لو حصلي تحرش أو اغتصاب وايه النقط الجديدة الي اتضافت للقانون المصري عشان يحمي سرية بيانات البنات المبلغين وشفت حلقات بردو عن الختان واضراره الصحية والنفسية والبدنية والدينية</t>
  </si>
  <si>
    <t>قضايا و في الغالب قضايا المرأه</t>
  </si>
  <si>
    <t>مفيد جدا خصوصا المحتوي القانونى</t>
  </si>
  <si>
    <t>الخلع - تمكين المرأة</t>
  </si>
  <si>
    <t>احدي الحلقات كانت عن الختان وعقوبته</t>
  </si>
  <si>
    <t>شامل</t>
  </si>
  <si>
    <t>معرفة لحقوق المرأة قانونيا</t>
  </si>
  <si>
    <t>معرفه الحقوق القانونية للزوجة</t>
  </si>
  <si>
    <t>اكتر حلقه عن قضايا النفقه وكمان الميراث عموما البرنامج بيعجبني جدا</t>
  </si>
  <si>
    <t>مشاكل لسيدات اتصرفوا فيها بشكل خاطيء لعدم وعيهم بالقانون</t>
  </si>
  <si>
    <t>قانون الأسرة و الناشز</t>
  </si>
  <si>
    <t>قصص عن ستات بتبعت مشاكلها</t>
  </si>
  <si>
    <t>ازاي احمي طفلي من التحرش و اوعيه انه يحافظ ع نفسه و ازاي اتصرف مع مواقف التحرش اللى ممكن أتعرض ليها و ازاي افيد صحباتي و اتصرف مع حالات التحرش اللى ممكن اي واحده تتعرض لها قدامي</t>
  </si>
  <si>
    <t>ازاى المرأة تدافع عن نفسها  وإن السن مش عقبة</t>
  </si>
  <si>
    <t>المحتوي بيتلخص في كيفيه التصدي لمشكلات  أغلبها ضد ألمرأة مثل التحرش والختان</t>
  </si>
  <si>
    <t>كان المحتوى يخص حقوق المرأة التى خلعت زوجها</t>
  </si>
  <si>
    <t>ملخصهم ان الست مايكونش كل تركيزها الراجل بل تشوف حياتها هي كمان وتهتم بنفسها و بعيالها و تطور من امكانيتهم</t>
  </si>
  <si>
    <t>عن زواج القاصرات والختان</t>
  </si>
  <si>
    <t>حقوق المرأة الختان أهمية تعليم البنات وعملهم</t>
  </si>
  <si>
    <t>ازاي نوقف نواجه العنف ضد المرأه</t>
  </si>
  <si>
    <t>التحرش بالاطفال</t>
  </si>
  <si>
    <t>التحرش ومشاكل الزواج والحموات</t>
  </si>
  <si>
    <t>كانت حاجه عن محاكم الاسرة والرؤية</t>
  </si>
  <si>
    <t>حلقه عن اختيار الزوج وحلقه عن رفض الاهانه وعن العمل</t>
  </si>
  <si>
    <t>كان فيه مرة حلقة عن الكلام اللي ممكن يتقال من أحد الطرفين وبيبقى خطر ومؤشر سلبي في العلاقة وكان فيه حلقة تانية عن التعدد ووجود زوجة تانية</t>
  </si>
  <si>
    <t>ملكية الشقة ....العنف الأسري</t>
  </si>
  <si>
    <t>مقتطفات عن قانون الحضانة و الرؤية  التحرش ومن ضمنهم التحرش الالكتروني وفقرات د. نهاد في برنامج الستات مبيعرفوش يكدبوا</t>
  </si>
  <si>
    <t>شيفة وسلسلة تخاطب جميع المستويات</t>
  </si>
  <si>
    <t>الاغتصاب ...القضايا الشخصيه ...حضانه الابناء</t>
  </si>
  <si>
    <t>بيحاول توصل لدماغ الناس و بطريقتهم</t>
  </si>
  <si>
    <t>برنامج اجتماعى لحقوق المرأه</t>
  </si>
  <si>
    <t>قضايه المرأة</t>
  </si>
  <si>
    <t>التحرش و الحضانة والنفقه</t>
  </si>
  <si>
    <t>التحرش  الختان الطلاق والخلع الاثار السلبيه لكرونه والتحرش في العمل</t>
  </si>
  <si>
    <t>الزواج الثاني</t>
  </si>
  <si>
    <t>تريندات شائعة وقضايا تخص المرأة مثل التحرش</t>
  </si>
  <si>
    <t>الختان  قضايا الميراث التحرش النفقة  تعرض المرأة للضرب</t>
  </si>
  <si>
    <t>تحرش و ختان وطلاق وشغل الاناث</t>
  </si>
  <si>
    <t>حقوق ودعم المرأة الانتهاكات ف حق المرأه</t>
  </si>
  <si>
    <t>كانت في حلقة بتتكلم عن الزوجة الثانيه وحلقه اخري للرجال فقط</t>
  </si>
  <si>
    <t>التحرش. الحجاب</t>
  </si>
  <si>
    <t>حقوق المراة وبعض المشاكل القانونية</t>
  </si>
  <si>
    <t>محتوى توعوي هادف يناقش الحقوق القانونية للأفراد ما لنا وما علينا</t>
  </si>
  <si>
    <t>اهميه الشغل،التحرش ف الشغل الاغتصاب،ختان الاناث</t>
  </si>
  <si>
    <t>ان المرأة لازم تكافىء نفسها على مجهوداتها</t>
  </si>
  <si>
    <t>حلقات عن المرأة وحقوقها والتحرش وازاي تدافع عن نفسها . وتقدر تاخد حقها من التحرش أو العنف ها</t>
  </si>
  <si>
    <t>الختان- العنف المنزلي اثناء الكورونا- التحرشوالاغتصاب- ازاي نوقف العنف</t>
  </si>
  <si>
    <t>يدعم المراءه وحقوقها بشكل كبير</t>
  </si>
  <si>
    <t>الختان.قضايا الاغتصاب.اهم امراتان فى مصر</t>
  </si>
  <si>
    <t>توعيه لحقوق المرأه القانونيه والاجتماعيه</t>
  </si>
  <si>
    <t>العنف ضد المراة اكتر حلقة عجبتنى</t>
  </si>
  <si>
    <t>. قضية الفيرمونت</t>
  </si>
  <si>
    <t>انا حرة ، فتح قضية اغتصاب الفيرمونت</t>
  </si>
  <si>
    <t>تعامل الرجل وقصص مأساويه عن الضرب والأهانه للزوجات بحجة أن الزوجه مستفزه</t>
  </si>
  <si>
    <t>حقيقي الاستفاده القانونيه لحقوق المرأه ومساندتها في حاله احتاجت اي مساعده</t>
  </si>
  <si>
    <t>المشاكل التي توجه معظم بيوت مصر</t>
  </si>
  <si>
    <t>العنف ضد المرأة في وقت الكورونا</t>
  </si>
  <si>
    <t>نوعيه بمشاكل المراه وحقوقها</t>
  </si>
  <si>
    <t>قضايا ميراث وطلاق وخقوق المراة ومشاكل الاولاد</t>
  </si>
  <si>
    <t>الحلقه كانت عن قضايا المرأه وعملها في المجتمع</t>
  </si>
  <si>
    <t>عن وضع المرأة والعنف والأطفال وتربيتهم</t>
  </si>
  <si>
    <t>حلقات عن التحرش بالمرأه</t>
  </si>
  <si>
    <t>قانون الاسره</t>
  </si>
  <si>
    <t>تتضمن الاجابة عن بعض الأسئلة القانونية للمشاهدين</t>
  </si>
  <si>
    <t>التحرش والعنف ضد المرأه وعن عمل المرأة وازاى توفق بين بيتها وعملها</t>
  </si>
  <si>
    <t>كان عن الاستفاده بالوقت حتى لو بعد 45سنه</t>
  </si>
  <si>
    <t>مهم و ملئ بالايفادة</t>
  </si>
  <si>
    <t>الختان  العنف ضد المراة</t>
  </si>
  <si>
    <t>خلقة عن التحرش و كيفية المواجهة و كمان عن كون التحرش جريمة و نقابها و ازاي نوعي بناتنا عنه و ازاي تقدر تواجه المتحرش في مجتمعنا</t>
  </si>
  <si>
    <t>كانت حلقه عن الزواج المبكر تقريبا</t>
  </si>
  <si>
    <t>محتوي محترم ويخاطب كل الفئات</t>
  </si>
  <si>
    <t>محتوي جيد وخصوصا قضايا المراه</t>
  </si>
  <si>
    <t>الفرق بين الخلع والطلاق .العنف ضد المراة .</t>
  </si>
  <si>
    <t>حلقات عن العنف الاسرى وكيفية التعامل وحلقات عن التحرش</t>
  </si>
  <si>
    <t>متقن</t>
  </si>
  <si>
    <t>العنف ضد المرأه-ختان البنات -</t>
  </si>
  <si>
    <t>عمل المرأة من المنزل والمشاريع والوزاره التي تدعم المشاريع الصغيره كشركه عامه او اعمال</t>
  </si>
  <si>
    <t>مشاكل بتخص المرأه وهيا بتعرفنا إزاى نتعامل معاها</t>
  </si>
  <si>
    <t>شيق ومفيد</t>
  </si>
  <si>
    <t>التحرش وكيفية مواجهته بالطرق القانونيه والطاقة السلبية والعنف المنزلي وفيروس كورونا</t>
  </si>
  <si>
    <t>سن الاربعين عند الستات ...الشغل للستات ...الضرب والتعنيف للستات...</t>
  </si>
  <si>
    <t>التحرش للزملاء الجدد وكيفية استغلال الزملاء الجدد ومحاوله التحرش بهم اهمية الشغل فى حياه المرأه المتزوجة وازاى اقدر اوفق بين الشغل والبيت(زوجى واطفالى)</t>
  </si>
  <si>
    <t>عن التحرش وحقوق المرأة</t>
  </si>
  <si>
    <t>فديوهات على الواتس اب عن العنف ضد المرأه وأثر فيروس كورونا على العنف المنزلي وانتي مش لوحدك</t>
  </si>
  <si>
    <t>حلقة بتتكلم عن العنف ضد المرأة</t>
  </si>
  <si>
    <t>الميراث /ختان الاناث</t>
  </si>
  <si>
    <t>عن التحرش فى العمل واهميةالشغل والبيت وختان الاناث والفرق بين الطلاق والخلع وأثر فيروس كورونا على زيادة العنف المنزلى</t>
  </si>
  <si>
    <t>ختان الإناث، التحرش</t>
  </si>
  <si>
    <t>سمعت عن  قانون الميراث للسيدات وعن المرور وحقوق الأطفال</t>
  </si>
  <si>
    <t>ختان الإناث ، حقوق المطلقات ، زواج القاصرات</t>
  </si>
  <si>
    <t>قضايا إجتماعية تتحدث عن بعض حالات الطلاق و العنف ضد المرأة</t>
  </si>
  <si>
    <t>محتوى قيم ومفيد</t>
  </si>
  <si>
    <t>دور الاسره في تربيه الولد وازي تفهمه مفهوم الرجوله وتخلق راجل تعاون ويفهم يعني ايه حياه زوجيه قايمه علي المشركه والتعاون والتفاهم والمساواة وعدم للجوء للعنف مع المراءه والتعامل ازي لو حصل عنف ضد المراءه واهم الوسائل المتاح اللجوء ليها</t>
  </si>
  <si>
    <t>حكايات متنوعة</t>
  </si>
  <si>
    <t>جواز البنات وقضايا الاغتصاب وإيقاف الختان</t>
  </si>
  <si>
    <t>تمكين وحقوق المرأة</t>
  </si>
  <si>
    <t>عمليه ختان الاناث ودور الاب والام فيها وطريقه وحشيه الدكاتره فى ختان الاناث وهذه العمليه عماليه اجراميه لازم يعاقب عليها القانون لانها تضر بنفسيه البنت اهتمام اللاهل بالبنت وومتابعتاه والاهتما بها ولازم تلاقى حديشمعها فى البيت مراعاه الام بالابناء ومحافظه البنت على نفسها دور المراه فى المجتمع يسعى الى ال قى فى المجتمع دورها كوزيرهاو طبيبهاو وزيره ومدرسه ومهندسه توظى الى الرقى فىالامجتمع</t>
  </si>
  <si>
    <t>ارفض العنف وأخذ موقف قانوني ضدد اي شخص حتي لو كان الزواج حلقات الميراث والحفاظ علي ميراثي</t>
  </si>
  <si>
    <t>حلقه كانت عن أن الست لما البيت يفضا عليها لازم تشوف أصحاب تهتم بنفسها كدا يعن</t>
  </si>
  <si>
    <t>اول حلقه شوفتها كانت بتتكلم عن حقوق الاطفال المشتتين بين الوالدين المطلقين وقد ايه ده بعمل خلل ف نمو الطفل النفسي داخل المجتمع وانه دايما بيحس انه اقل من اقرانه من الاطفال بسبب وجود بعض المشاكل ف حياته وبيكون السبب الرئيسي فيها هما الاباء والامهات</t>
  </si>
  <si>
    <t>عن البنات اللي مكتوب كتابها وبتغلط</t>
  </si>
  <si>
    <t>كانت بتتكلم على البنت اللى كان مكتوب كتبها بس اتجوزت قبل يوم الدخله</t>
  </si>
  <si>
    <t>الميراث..الختان..تاثير الفيس علي اراء السيدات</t>
  </si>
  <si>
    <t>ازاي أحمي نفسي لو تعرضت للتحرش، وانتي اكون ليه شخصية</t>
  </si>
  <si>
    <t>حقوق المراةء</t>
  </si>
  <si>
    <t>التحرش الجنسي</t>
  </si>
  <si>
    <t>قضايا المراة فضايا الايجارات  الختان</t>
  </si>
  <si>
    <t>مناقشة لقضايا مجتمعيه بتلمس حياتنا بطريقه سعله بنفهم حقوقنا وواجبتنا وان الست تقدر تكون نفسها</t>
  </si>
  <si>
    <t>جميعها خاصة بقضايا المراة</t>
  </si>
  <si>
    <t>عن الاثار السلبيه ل فيرس كورونا و التحرش وعن الراجل او الشاب يوقفوا عنف</t>
  </si>
  <si>
    <t>حلقه حقوق الزوجه  وزواج القاصرات وحلقه الميراث</t>
  </si>
  <si>
    <t>الزواج المبكر التحرش</t>
  </si>
  <si>
    <t>حقوق المرآه القانونيه وكيفيه معاملتها</t>
  </si>
  <si>
    <t>التحرش رد علي اسئلة وقضايا المشاهدين</t>
  </si>
  <si>
    <t>الختان وضرب المرأة وأشياء أخرى لم اتذكرها</t>
  </si>
  <si>
    <t>التحرش الجنسي والعنف ضد المراة</t>
  </si>
  <si>
    <t>حقوق المراءة</t>
  </si>
  <si>
    <t>حلقات عن العنف ضد المرأه وعن حضانة الأطفال بعد الطلاق</t>
  </si>
  <si>
    <t>التحرش الورث الحقوق للمراه الرؤيه للطفل</t>
  </si>
  <si>
    <t>محتوى اجتماعى قانونى فى صف المرأه المضطهده</t>
  </si>
  <si>
    <t>حلقة عن حرية البنات في التعليم وانها ممكن تسافر لوحدها وحلقة ازاي اكون شخصية مهمة</t>
  </si>
  <si>
    <t>اللي فاكراه شفت حلقه بتشرح ازاي اخلي اللي حواليا يحترمني</t>
  </si>
  <si>
    <t>ختان الاناث وقضايا المرأه</t>
  </si>
  <si>
    <t>عن المشاكل التي يواجهها الرجل والمراه</t>
  </si>
  <si>
    <t>محتوي هادف عن الحقوق والواجبات للمرأة والرجل ولكن للمرأه بالاخص</t>
  </si>
  <si>
    <t>محاميه شاطره بتحكي قصص لسيدات تعرضن للظلم وقضايا هيا قبلتها والطلاق</t>
  </si>
  <si>
    <t>كيفيه التعامل مع الحيوان</t>
  </si>
  <si>
    <t>ختان المرأة والفرق بين الخلع والطلاق والتحرش العنف ضد المراه و نزول المراه للعمل</t>
  </si>
  <si>
    <t>كل ما يخص المرأه وحقوقها وقضايا مجتمعيه هامه وشائعه وحلها وتوعيه المواطنين</t>
  </si>
  <si>
    <t>العنف المنزلي. وحلقه كانت واحده بتسأل ان اخوها عايز نص مرتبها</t>
  </si>
  <si>
    <t>الختان ومشاكل الزواج</t>
  </si>
  <si>
    <t>كان عن الطلاق وشهور العدة</t>
  </si>
  <si>
    <t>مشاكل وحلها بالقانون</t>
  </si>
  <si>
    <t>استشارات قانونيه ومواضيع تخص المرأة وتمكينها</t>
  </si>
  <si>
    <t>محتوى بيهدف لتوعية المرأة المصرية بحقوقها</t>
  </si>
  <si>
    <t>ختان البنات الرجالة عايزه مننا اي الميراث</t>
  </si>
  <si>
    <t>مش بعرف اعبر او اوصف بس فعلا برنامج بيضمن حقوق المراءة</t>
  </si>
  <si>
    <t>ختان الاناث _ تعنيف وضرب النساء _ التحرش بالنساء والاطفال</t>
  </si>
  <si>
    <t>محتوي جيد</t>
  </si>
  <si>
    <t>مشكلة البنات والانترنت</t>
  </si>
  <si>
    <t>بصراحة محتوى هادف و دقيق و بتعرفى ايه اللي بتتكلمى فيه و بطريقة حلوة و كمان بتعملى كدا لانك حابه دا مش عشان اى حاجة و حضرتك افدتينا</t>
  </si>
  <si>
    <t>مشاكل وحلها للمراة</t>
  </si>
  <si>
    <t>عن التحرش حلقة ختان البنات</t>
  </si>
  <si>
    <t>مفيد قيم</t>
  </si>
  <si>
    <t>حقوق المرأه الزوجيه</t>
  </si>
  <si>
    <t>لما بتعصب مبشوفش قدامي</t>
  </si>
  <si>
    <t>واحدة عن  خلافات الازواج</t>
  </si>
  <si>
    <t>قضايا مهمه ف المجتمع</t>
  </si>
  <si>
    <t>قضايا المرأة وخصوصا القصص اللي كانت بتعرضها وطرق الوصول لحلها</t>
  </si>
  <si>
    <t>عن الزواج المبكر للفتيات واتحاد العمارة اللاحسن سيدات لاننا بنهتم بالتفاصيل وبحب فقرة اسئله السوشيال اللي بارد عليها ف البرنامج لانها متنوعة</t>
  </si>
  <si>
    <t>عن حقوق المرأة والابناء عند طلاق الزوج والزوجة، ،،  عن الورثه ،،، عن التحرش والختان</t>
  </si>
  <si>
    <t>انها بتتكلم عن حقوق المرأه في المجتمع المصري والدفاع عن حقوقها وايضآ تتحدث عن مقاومه المرأه للتحرش اللفظي او الجسدي وعدم السكوت عن ذلك الشئ</t>
  </si>
  <si>
    <t>كانت بتتكلم عن خطوره عمليه الختان للبنات</t>
  </si>
  <si>
    <t>شوفت مقتطفات زى مثلا ان اللى يقدم الاستقاله مينفعش يرجع وحاجات كده بس جوزى بيتابعه لانه محامى</t>
  </si>
  <si>
    <t>شفت فقرة عن بنت صعيديه سافرت واشتغلت ونجحت</t>
  </si>
  <si>
    <t>نصائح مهمة لمواجهة التحرش</t>
  </si>
  <si>
    <t>حكايات عن الطلاق أو زواج الاجانب</t>
  </si>
  <si>
    <t>ازاي تبقي سعيدة</t>
  </si>
  <si>
    <t>ختان الاناث والتحرش الجنسي والتحرش بالاطفال</t>
  </si>
  <si>
    <t>قضايا المراه العامله</t>
  </si>
  <si>
    <t>توعية المرأة بضرورة المحافظة على جسدها ضد التحرش، وتوعيه مجتمعها والحفاظ على أطفالها وماذا نفعل في حالة مشاهده حالة تحرش ضد زميل .. باختصار حلقات تهتم بتوعية المرأة بالحفاظ على محيطيها من التحرش وسلبيات المجتمع.</t>
  </si>
  <si>
    <t>قضايا اسريه واجتماعيه وحلها القانوني</t>
  </si>
  <si>
    <t>حلقة بتتكلم عن العادات والتقاليد</t>
  </si>
  <si>
    <t>المحتوى مفيد جدا وهام للعلاقات الاجتماعية وأحبه جدا</t>
  </si>
  <si>
    <t>عن العقود وعن إلغاء التوكيلات وعن الحكم على المتحرشين</t>
  </si>
  <si>
    <t>محتوى تثقيفي توعوي مؤثر</t>
  </si>
  <si>
    <t>correct_answer</t>
  </si>
  <si>
    <t>correct_answer_vague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</si>
</sst>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sz val="11"/>
      <color theme="1"/>
      <name val="Calibri"/>
    </font>
    <font>
      <sz val="11"/>
      <color theme="1"/>
      <name val="Calibri"/>
    </font>
    <font>
      <sz val="11"/>
      <color theme="1"/>
      <name val="Arial"/>
    </font>
  </fonts>
  <fills count="5">
    <fill>
      <patternFill patternType="none"/>
    </fill>
    <fill>
      <patternFill patternType="gray125"/>
    </fill>
    <fill>
      <patternFill patternType="solid">
        <fgColor theme="9"/>
        <bgColor theme="9"/>
      </patternFill>
    </fill>
    <fill>
      <patternFill patternType="solid">
        <fgColor rgb="FFE2EFD9"/>
        <bgColor rgb="FFE2EFD9"/>
      </patternFill>
    </fill>
    <fill>
      <patternFill patternType="solid">
        <fgColor rgb="FFD9E2F3"/>
        <bgColor rgb="FFD9E2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2" borderId="0" xfId="0" applyFont="1" applyFill="1"/>
    <xf numFmtId="0" fontId="1" fillId="3" borderId="0" xfId="0" applyFont="1" applyFill="1"/>
    <xf numFmtId="0" fontId="2" fillId="3" borderId="0" xfId="0" applyFont="1" applyFill="1" applyAlignment="1"/>
    <xf numFmtId="0" fontId="2" fillId="3" borderId="0" xfId="0" applyFont="1" applyFill="1"/>
    <xf numFmtId="0" fontId="3" fillId="3" borderId="0" xfId="0" applyFont="1" applyFill="1" applyAlignment="1"/>
    <xf numFmtId="0" fontId="1" fillId="4" borderId="0" xfId="0" applyFont="1" applyFill="1"/>
    <xf numFmtId="0" fontId="2" fillId="4" borderId="0" xfId="0" applyFont="1" applyFill="1" applyAlignment="1"/>
    <xf numFmtId="0" fontId="2" fillId="4" borderId="0" xfId="0" applyFont="1" applyFill="1"/>
    <xf numFmtId="0" fontId="3"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1"/>
  <sheetViews>
    <sheetView tabSelected="1" workbookViewId="0">
      <selection activeCell="E10" sqref="E10"/>
    </sheetView>
  </sheetViews>
  <sheetFormatPr baseColWidth="10" defaultColWidth="12.6640625" defaultRowHeight="15" customHeight="1" x14ac:dyDescent="0.15"/>
  <cols>
    <col min="1" max="1" width="7.1640625" customWidth="1"/>
    <col min="2" max="2" width="55.6640625" customWidth="1"/>
    <col min="3" max="3" width="24" customWidth="1"/>
    <col min="4" max="4" width="23.6640625" customWidth="1"/>
    <col min="5" max="5" width="15" customWidth="1"/>
    <col min="6" max="26" width="7.6640625" customWidth="1"/>
  </cols>
  <sheetData>
    <row r="1" spans="1:5" x14ac:dyDescent="0.2">
      <c r="A1" s="1" t="s">
        <v>0</v>
      </c>
      <c r="B1" s="1" t="s">
        <v>1</v>
      </c>
      <c r="C1" s="1" t="s">
        <v>2</v>
      </c>
      <c r="D1" s="1" t="s">
        <v>927</v>
      </c>
      <c r="E1" s="1" t="s">
        <v>928</v>
      </c>
    </row>
    <row r="2" spans="1:5" x14ac:dyDescent="0.2">
      <c r="A2" s="2">
        <v>13</v>
      </c>
      <c r="B2" s="3" t="s">
        <v>3</v>
      </c>
      <c r="C2" s="4" t="str">
        <f ca="1">IFERROR(__xludf.DUMMYFUNCTION("GOOGLETRANSLATE(B2,""ar"",""en"")"),"Women's right to refuse service-law")</f>
        <v>Women's right to refuse service-law</v>
      </c>
      <c r="D2" s="5">
        <v>1</v>
      </c>
      <c r="E2" s="3">
        <v>0</v>
      </c>
    </row>
    <row r="3" spans="1:5" x14ac:dyDescent="0.2">
      <c r="A3" s="6">
        <v>17</v>
      </c>
      <c r="B3" s="7" t="s">
        <v>4</v>
      </c>
      <c r="C3" s="8" t="str">
        <f ca="1">IFERROR(__xludf.DUMMYFUNCTION("GOOGLETRANSLATE(B3,""ar"",""en"")"),"Women's struggle for stories")</f>
        <v>Women's struggle for stories</v>
      </c>
      <c r="D3" s="9">
        <v>1</v>
      </c>
      <c r="E3" s="3">
        <v>0</v>
      </c>
    </row>
    <row r="4" spans="1:5" x14ac:dyDescent="0.2">
      <c r="A4" s="2">
        <v>21</v>
      </c>
      <c r="B4" s="3" t="s">
        <v>5</v>
      </c>
      <c r="C4" s="4" t="str">
        <f ca="1">IFERROR(__xludf.DUMMYFUNCTION("GOOGLETRANSLATE(B4,""ar"",""en"")"),"Freedom Alchks on his way child rearing and the suspension of moms she mesh Ptdguet children to get certain grades in Target")</f>
        <v>Freedom Alchks on his way child rearing and the suspension of moms she mesh Ptdguet children to get certain grades in Target</v>
      </c>
      <c r="D4" s="5">
        <v>1</v>
      </c>
      <c r="E4" s="3">
        <v>0</v>
      </c>
    </row>
    <row r="5" spans="1:5" x14ac:dyDescent="0.2">
      <c r="A5" s="6">
        <v>24</v>
      </c>
      <c r="B5" s="7" t="s">
        <v>6</v>
      </c>
      <c r="C5" s="8" t="str">
        <f ca="1">IFERROR(__xludf.DUMMYFUNCTION("GOOGLETRANSLATE(B5,""ar"",""en"")"),"Stories and discuss issues related to women")</f>
        <v>Stories and discuss issues related to women</v>
      </c>
      <c r="D5" s="9">
        <v>1</v>
      </c>
      <c r="E5" s="3">
        <v>0</v>
      </c>
    </row>
    <row r="6" spans="1:5" x14ac:dyDescent="0.2">
      <c r="A6" s="2">
        <v>28</v>
      </c>
      <c r="B6" s="3" t="s">
        <v>7</v>
      </c>
      <c r="C6" s="4" t="str">
        <f ca="1">IFERROR(__xludf.DUMMYFUNCTION("GOOGLETRANSLATE(B6,""ar"",""en"")"),"The nerve between the spouses")</f>
        <v>The nerve between the spouses</v>
      </c>
      <c r="D6" s="5">
        <v>1</v>
      </c>
      <c r="E6" s="3">
        <v>0</v>
      </c>
    </row>
    <row r="7" spans="1:5" x14ac:dyDescent="0.2">
      <c r="A7" s="6">
        <v>29</v>
      </c>
      <c r="B7" s="7" t="s">
        <v>8</v>
      </c>
      <c r="C7" s="8" t="str">
        <f ca="1">IFERROR(__xludf.DUMMYFUNCTION("GOOGLETRANSLATE(B7,""ar"",""en"")"),"Motivate and attract the attention of citizens and officials about women's issues")</f>
        <v>Motivate and attract the attention of citizens and officials about women's issues</v>
      </c>
      <c r="D7" s="9">
        <v>1</v>
      </c>
      <c r="E7" s="3">
        <v>0</v>
      </c>
    </row>
    <row r="8" spans="1:5" x14ac:dyDescent="0.2">
      <c r="A8" s="2">
        <v>3034</v>
      </c>
      <c r="B8" s="3" t="s">
        <v>689</v>
      </c>
      <c r="C8" s="4" t="str">
        <f ca="1">IFERROR(__xludf.DUMMYFUNCTION("GOOGLETRANSLATE(B746,""ar"",""en"")"),"I like good views")</f>
        <v>I like good views</v>
      </c>
      <c r="D8" s="9">
        <v>1</v>
      </c>
      <c r="E8" s="7">
        <v>1</v>
      </c>
    </row>
    <row r="9" spans="1:5" x14ac:dyDescent="0.2">
      <c r="A9" s="6">
        <v>38</v>
      </c>
      <c r="B9" s="7" t="s">
        <v>10</v>
      </c>
      <c r="C9" s="8" t="str">
        <f ca="1">IFERROR(__xludf.DUMMYFUNCTION("GOOGLETRANSLATE(B9,""ar"",""en"")"),"About female circumcision and early marriage")</f>
        <v>About female circumcision and early marriage</v>
      </c>
      <c r="D9" s="9">
        <v>1</v>
      </c>
      <c r="E9" s="3">
        <v>0</v>
      </c>
    </row>
    <row r="10" spans="1:5" x14ac:dyDescent="0.2">
      <c r="A10" s="2">
        <v>40</v>
      </c>
      <c r="B10" s="3" t="s">
        <v>11</v>
      </c>
      <c r="C10" s="4" t="str">
        <f ca="1">IFERROR(__xludf.DUMMYFUNCTION("GOOGLETRANSLATE(B10,""ar"",""en"")"),"Violence against women and female genital mutilation and girls' education")</f>
        <v>Violence against women and female genital mutilation and girls' education</v>
      </c>
      <c r="D10" s="5">
        <v>1</v>
      </c>
      <c r="E10" s="3">
        <v>0</v>
      </c>
    </row>
    <row r="11" spans="1:5" x14ac:dyDescent="0.2">
      <c r="A11" s="6">
        <v>42</v>
      </c>
      <c r="B11" s="7" t="s">
        <v>12</v>
      </c>
      <c r="C11" s="8" t="str">
        <f ca="1">IFERROR(__xludf.DUMMYFUNCTION("GOOGLETRANSLATE(B11,""ar"",""en"")"),"Meaningful and useful")</f>
        <v>Meaningful and useful</v>
      </c>
      <c r="D11" s="9">
        <v>1</v>
      </c>
      <c r="E11" s="7">
        <v>1</v>
      </c>
    </row>
    <row r="12" spans="1:5" x14ac:dyDescent="0.2">
      <c r="A12" s="2">
        <v>47</v>
      </c>
      <c r="B12" s="3" t="s">
        <v>13</v>
      </c>
      <c r="C12" s="4" t="str">
        <f ca="1">IFERROR(__xludf.DUMMYFUNCTION("GOOGLETRANSLATE(B12,""ar"",""en"")"),"Ensuring women's rights")</f>
        <v>Ensuring women's rights</v>
      </c>
      <c r="D12" s="5">
        <v>1</v>
      </c>
      <c r="E12" s="3">
        <v>0</v>
      </c>
    </row>
    <row r="13" spans="1:5" x14ac:dyDescent="0.2">
      <c r="A13" s="6">
        <v>49</v>
      </c>
      <c r="B13" s="7" t="s">
        <v>14</v>
      </c>
      <c r="C13" s="8" t="str">
        <f ca="1">IFERROR(__xludf.DUMMYFUNCTION("GOOGLETRANSLATE(B13,""ar"",""en"")"),"Help solve issues such as related to children and women")</f>
        <v>Help solve issues such as related to children and women</v>
      </c>
      <c r="D13" s="9">
        <v>1</v>
      </c>
      <c r="E13" s="3">
        <v>0</v>
      </c>
    </row>
    <row r="14" spans="1:5" x14ac:dyDescent="0.2">
      <c r="A14" s="2">
        <v>53</v>
      </c>
      <c r="B14" s="3" t="s">
        <v>15</v>
      </c>
      <c r="C14" s="4" t="str">
        <f ca="1">IFERROR(__xludf.DUMMYFUNCTION("GOOGLETRANSLATE(B14,""ar"",""en"")"),"Female circumcision")</f>
        <v>Female circumcision</v>
      </c>
      <c r="D14" s="5">
        <v>1</v>
      </c>
      <c r="E14" s="3">
        <v>0</v>
      </c>
    </row>
    <row r="15" spans="1:5" x14ac:dyDescent="0.2">
      <c r="A15" s="6">
        <v>70</v>
      </c>
      <c r="B15" s="7" t="s">
        <v>16</v>
      </c>
      <c r="C15" s="8" t="str">
        <f ca="1">IFERROR(__xludf.DUMMYFUNCTION("GOOGLETRANSLATE(B15,""ar"",""en"")"),"Ring girls online ring means A footmen, episode Kasai Tkony personal mission ring Jawazh Altanih")</f>
        <v>Ring girls online ring means A footmen, episode Kasai Tkony personal mission ring Jawazh Altanih</v>
      </c>
      <c r="D15" s="9">
        <v>1</v>
      </c>
      <c r="E15" s="3">
        <v>0</v>
      </c>
    </row>
    <row r="16" spans="1:5" x14ac:dyDescent="0.2">
      <c r="A16" s="2">
        <v>74</v>
      </c>
      <c r="B16" s="3" t="s">
        <v>17</v>
      </c>
      <c r="C16" s="4" t="str">
        <f ca="1">IFERROR(__xludf.DUMMYFUNCTION("GOOGLETRANSLATE(B16,""ar"",""en"")"),"female mutilation")</f>
        <v>female mutilation</v>
      </c>
      <c r="D16" s="5">
        <v>1</v>
      </c>
      <c r="E16" s="3">
        <v>0</v>
      </c>
    </row>
    <row r="17" spans="1:5" x14ac:dyDescent="0.2">
      <c r="A17" s="6">
        <v>81</v>
      </c>
      <c r="B17" s="7" t="s">
        <v>18</v>
      </c>
      <c r="C17" s="8" t="str">
        <f ca="1">IFERROR(__xludf.DUMMYFUNCTION("GOOGLETRANSLATE(B17,""ar"",""en"")"),"Education and be in discussion and thought")</f>
        <v>Education and be in discussion and thought</v>
      </c>
      <c r="D17" s="9">
        <v>1</v>
      </c>
      <c r="E17" s="3">
        <v>0</v>
      </c>
    </row>
    <row r="18" spans="1:5" x14ac:dyDescent="0.2">
      <c r="A18" s="2">
        <v>82</v>
      </c>
      <c r="B18" s="3" t="s">
        <v>19</v>
      </c>
      <c r="C18" s="4" t="str">
        <f ca="1">IFERROR(__xludf.DUMMYFUNCTION("GOOGLETRANSLATE(B18,""ar"",""en"")"),"Very realistic and social")</f>
        <v>Very realistic and social</v>
      </c>
      <c r="D18" s="5">
        <v>1</v>
      </c>
      <c r="E18" s="3">
        <v>0</v>
      </c>
    </row>
    <row r="19" spans="1:5" x14ac:dyDescent="0.2">
      <c r="A19" s="6">
        <v>86</v>
      </c>
      <c r="B19" s="7" t="s">
        <v>20</v>
      </c>
      <c r="C19" s="8" t="str">
        <f ca="1">IFERROR(__xludf.DUMMYFUNCTION("GOOGLETRANSLATE(B19,""ar"",""en"")"),"Stories about the needs of real people .. I got with the solutions and distortion to educate people")</f>
        <v>Stories about the needs of real people .. I got with the solutions and distortion to educate people</v>
      </c>
      <c r="D19" s="9">
        <v>1</v>
      </c>
      <c r="E19" s="3">
        <v>0</v>
      </c>
    </row>
    <row r="20" spans="1:5" x14ac:dyDescent="0.2">
      <c r="A20" s="2">
        <v>90</v>
      </c>
      <c r="B20" s="3" t="s">
        <v>21</v>
      </c>
      <c r="C20" s="4" t="str">
        <f ca="1">IFERROR(__xludf.DUMMYFUNCTION("GOOGLETRANSLATE(B20,""ar"",""en"")"),"For harassment. Women's rights")</f>
        <v>For harassment. Women's rights</v>
      </c>
      <c r="D20" s="5">
        <v>1</v>
      </c>
      <c r="E20" s="3">
        <v>0</v>
      </c>
    </row>
    <row r="21" spans="1:5" ht="15.75" customHeight="1" x14ac:dyDescent="0.2">
      <c r="A21" s="6">
        <v>97</v>
      </c>
      <c r="B21" s="7" t="s">
        <v>22</v>
      </c>
      <c r="C21" s="8" t="str">
        <f ca="1">IFERROR(__xludf.DUMMYFUNCTION("GOOGLETRANSLATE(B21,""ar"",""en"")"),"Harassment")</f>
        <v>Harassment</v>
      </c>
      <c r="D21" s="9">
        <v>1</v>
      </c>
      <c r="E21" s="3">
        <v>0</v>
      </c>
    </row>
    <row r="22" spans="1:5" ht="15.75" customHeight="1" x14ac:dyDescent="0.2">
      <c r="A22" s="2">
        <v>99</v>
      </c>
      <c r="B22" s="3" t="s">
        <v>23</v>
      </c>
      <c r="C22" s="4" t="str">
        <f ca="1">IFERROR(__xludf.DUMMYFUNCTION("GOOGLETRANSLATE(B22,""ar"",""en"")"),"Useful")</f>
        <v>Useful</v>
      </c>
      <c r="D22" s="5">
        <v>1</v>
      </c>
      <c r="E22" s="7">
        <v>1</v>
      </c>
    </row>
    <row r="23" spans="1:5" ht="15.75" customHeight="1" x14ac:dyDescent="0.2">
      <c r="A23" s="6">
        <v>100</v>
      </c>
      <c r="B23" s="7" t="s">
        <v>24</v>
      </c>
      <c r="C23" s="8" t="str">
        <f ca="1">IFERROR(__xludf.DUMMYFUNCTION("GOOGLETRANSLATE(B23,""ar"",""en"")"),"The difference between a divorce and divorce .. Both roads are not detachable Ataaradwa with the rights of children from the expense of housing and nursery")</f>
        <v>The difference between a divorce and divorce .. Both roads are not detachable Ataaradwa with the rights of children from the expense of housing and nursery</v>
      </c>
      <c r="D23" s="9">
        <v>1</v>
      </c>
      <c r="E23" s="3">
        <v>0</v>
      </c>
    </row>
    <row r="24" spans="1:5" ht="15.75" customHeight="1" x14ac:dyDescent="0.2">
      <c r="A24" s="2">
        <v>101</v>
      </c>
      <c r="B24" s="3" t="s">
        <v>25</v>
      </c>
      <c r="C24" s="4" t="str">
        <f ca="1">IFERROR(__xludf.DUMMYFUNCTION("GOOGLETRANSLATE(B24,""ar"",""en"")"),"Vakrh workshop on the financing of small projects")</f>
        <v>Vakrh workshop on the financing of small projects</v>
      </c>
      <c r="D24" s="5">
        <v>1</v>
      </c>
      <c r="E24" s="3">
        <v>0</v>
      </c>
    </row>
    <row r="25" spans="1:5" ht="15.75" customHeight="1" x14ac:dyDescent="0.2">
      <c r="A25" s="6">
        <v>103</v>
      </c>
      <c r="B25" s="7" t="s">
        <v>26</v>
      </c>
      <c r="C25" s="8" t="str">
        <f ca="1">IFERROR(__xludf.DUMMYFUNCTION("GOOGLETRANSLATE(B25,""ar"",""en"")"),"Objective and realistic, and our lives already")</f>
        <v>Objective and realistic, and our lives already</v>
      </c>
      <c r="D25" s="9">
        <v>1</v>
      </c>
      <c r="E25" s="3">
        <v>0</v>
      </c>
    </row>
    <row r="26" spans="1:5" ht="15.75" customHeight="1" x14ac:dyDescent="0.2">
      <c r="A26" s="2">
        <v>107</v>
      </c>
      <c r="B26" s="3" t="s">
        <v>27</v>
      </c>
      <c r="C26" s="4" t="str">
        <f ca="1">IFERROR(__xludf.DUMMYFUNCTION("GOOGLETRANSLATE(B26,""ar"",""en"")"),"Awareness of women who act and any possible positions in Optimized Btaataht where negative effects Elly got the result of women króna")</f>
        <v>Awareness of women who act and any possible positions in Optimized Btaataht where negative effects Elly got the result of women króna</v>
      </c>
      <c r="D26" s="5">
        <v>1</v>
      </c>
      <c r="E26" s="3">
        <v>0</v>
      </c>
    </row>
    <row r="27" spans="1:5" ht="15.75" customHeight="1" x14ac:dyDescent="0.2">
      <c r="A27" s="6">
        <v>110</v>
      </c>
      <c r="B27" s="7" t="s">
        <v>28</v>
      </c>
      <c r="C27" s="8" t="str">
        <f ca="1">IFERROR(__xludf.DUMMYFUNCTION("GOOGLETRANSLATE(B27,""ar"",""en"")"),"Almost all divorce")</f>
        <v>Almost all divorce</v>
      </c>
      <c r="D27" s="9">
        <v>1</v>
      </c>
      <c r="E27" s="3">
        <v>0</v>
      </c>
    </row>
    <row r="28" spans="1:5" ht="15.75" customHeight="1" x14ac:dyDescent="0.2">
      <c r="A28" s="2">
        <v>120</v>
      </c>
      <c r="B28" s="3" t="s">
        <v>29</v>
      </c>
      <c r="C28" s="4" t="str">
        <f ca="1">IFERROR(__xludf.DUMMYFUNCTION("GOOGLETRANSLATE(B28,""ar"",""en"")"),"Bullying")</f>
        <v>Bullying</v>
      </c>
      <c r="D28" s="5">
        <v>1</v>
      </c>
      <c r="E28" s="3">
        <v>0</v>
      </c>
    </row>
    <row r="29" spans="1:5" ht="15.75" customHeight="1" x14ac:dyDescent="0.2">
      <c r="A29" s="6">
        <v>125</v>
      </c>
      <c r="B29" s="7" t="s">
        <v>30</v>
      </c>
      <c r="C29" s="8" t="str">
        <f ca="1">IFERROR(__xludf.DUMMYFUNCTION("GOOGLETRANSLATE(B29,""ar"",""en"")"),"Circumcision of girls and women filled and Aptharc")</f>
        <v>Circumcision of girls and women filled and Aptharc</v>
      </c>
      <c r="D29" s="9">
        <v>1</v>
      </c>
      <c r="E29" s="3">
        <v>0</v>
      </c>
    </row>
    <row r="30" spans="1:5" ht="15.75" customHeight="1" x14ac:dyDescent="0.2">
      <c r="A30" s="2">
        <v>127</v>
      </c>
      <c r="B30" s="3" t="s">
        <v>31</v>
      </c>
      <c r="C30" s="4" t="str">
        <f ca="1">IFERROR(__xludf.DUMMYFUNCTION("GOOGLETRANSLATE(B30,""ar"",""en"")"),"Koruna problems, sexual harassment cases, raising children a community")</f>
        <v>Koruna problems, sexual harassment cases, raising children a community</v>
      </c>
      <c r="D30" s="5">
        <v>1</v>
      </c>
      <c r="E30" s="3">
        <v>0</v>
      </c>
    </row>
    <row r="31" spans="1:5" ht="15.75" customHeight="1" x14ac:dyDescent="0.2">
      <c r="A31" s="6">
        <v>130</v>
      </c>
      <c r="B31" s="7" t="s">
        <v>32</v>
      </c>
      <c r="C31" s="8" t="str">
        <f ca="1">IFERROR(__xludf.DUMMYFUNCTION("GOOGLETRANSLATE(B31,""ar"",""en"")"),"Legal awareness")</f>
        <v>Legal awareness</v>
      </c>
      <c r="D31" s="9">
        <v>1</v>
      </c>
      <c r="E31" s="3">
        <v>0</v>
      </c>
    </row>
    <row r="32" spans="1:5" ht="15.75" customHeight="1" x14ac:dyDescent="0.2">
      <c r="A32" s="2">
        <v>131</v>
      </c>
      <c r="B32" s="3" t="s">
        <v>33</v>
      </c>
      <c r="C32" s="4" t="str">
        <f ca="1">IFERROR(__xludf.DUMMYFUNCTION("GOOGLETRANSLATE(B32,""ar"",""en"")"),"What do you girl or generally six known to have uniform what the duties of the rights of Kasai remain stronger and facing any difficulties Ptkablha in her life, whether wife or girl")</f>
        <v>What do you girl or generally six known to have uniform what the duties of the rights of Kasai remain stronger and facing any difficulties Ptkablha in her life, whether wife or girl</v>
      </c>
      <c r="D32" s="5">
        <v>1</v>
      </c>
      <c r="E32" s="3">
        <v>0</v>
      </c>
    </row>
    <row r="33" spans="1:5" ht="15.75" customHeight="1" x14ac:dyDescent="0.2">
      <c r="A33" s="6">
        <v>133</v>
      </c>
      <c r="B33" s="7" t="s">
        <v>34</v>
      </c>
      <c r="C33" s="8" t="str">
        <f ca="1">IFERROR(__xludf.DUMMYFUNCTION("GOOGLETRANSLATE(B33,""ar"",""en"")"),"Talk about the sexual harassment of women, children, female genital mutilation and other women's issues in general")</f>
        <v>Talk about the sexual harassment of women, children, female genital mutilation and other women's issues in general</v>
      </c>
      <c r="D33" s="9">
        <v>1</v>
      </c>
      <c r="E33" s="3">
        <v>0</v>
      </c>
    </row>
    <row r="34" spans="1:5" ht="15.75" customHeight="1" x14ac:dyDescent="0.2">
      <c r="A34" s="2">
        <v>135</v>
      </c>
      <c r="B34" s="3" t="s">
        <v>35</v>
      </c>
      <c r="C34" s="4" t="str">
        <f ca="1">IFERROR(__xludf.DUMMYFUNCTION("GOOGLETRANSLATE(B34,""ar"",""en"")"),"useful")</f>
        <v>useful</v>
      </c>
      <c r="D34" s="9">
        <v>1</v>
      </c>
      <c r="E34" s="7">
        <v>1</v>
      </c>
    </row>
    <row r="35" spans="1:5" ht="15.75" customHeight="1" x14ac:dyDescent="0.2">
      <c r="A35" s="6">
        <v>136</v>
      </c>
      <c r="B35" s="7" t="s">
        <v>36</v>
      </c>
      <c r="C35" s="8" t="str">
        <f ca="1">IFERROR(__xludf.DUMMYFUNCTION("GOOGLETRANSLATE(B35,""ar"",""en"")"),"Circumcision as well as the need Bs Mesh recalls")</f>
        <v>Circumcision as well as the need Bs Mesh recalls</v>
      </c>
      <c r="D35" s="9">
        <v>1</v>
      </c>
      <c r="E35" s="3">
        <v>0</v>
      </c>
    </row>
    <row r="36" spans="1:5" ht="15.75" customHeight="1" x14ac:dyDescent="0.2">
      <c r="A36" s="2">
        <v>145</v>
      </c>
      <c r="B36" s="3" t="s">
        <v>37</v>
      </c>
      <c r="C36" s="4" t="str">
        <f ca="1">IFERROR(__xludf.DUMMYFUNCTION("GOOGLETRANSLATE(B36,""ar"",""en"")"),"Harassment. Rape.")</f>
        <v>Harassment. Rape.</v>
      </c>
      <c r="D36" s="5">
        <v>1</v>
      </c>
      <c r="E36" s="3">
        <v>0</v>
      </c>
    </row>
    <row r="37" spans="1:5" ht="15.75" customHeight="1" x14ac:dyDescent="0.2">
      <c r="A37" s="6">
        <v>146</v>
      </c>
      <c r="B37" s="7" t="s">
        <v>38</v>
      </c>
      <c r="C37" s="8" t="str">
        <f ca="1">IFERROR(__xludf.DUMMYFUNCTION("GOOGLETRANSLATE(B37,""ar"",""en"")"),"Awareness")</f>
        <v>Awareness</v>
      </c>
      <c r="D37" s="9">
        <v>1</v>
      </c>
      <c r="E37" s="3">
        <v>0</v>
      </c>
    </row>
    <row r="38" spans="1:5" ht="15.75" customHeight="1" x14ac:dyDescent="0.2">
      <c r="A38" s="2">
        <v>147</v>
      </c>
      <c r="B38" s="3" t="s">
        <v>39</v>
      </c>
      <c r="C38" s="4" t="str">
        <f ca="1">IFERROR(__xludf.DUMMYFUNCTION("GOOGLETRANSLATE(B38,""ar"",""en"")"),"Wonderful, short useful, very useful, especially for working women, focused")</f>
        <v>Wonderful, short useful, very useful, especially for working women, focused</v>
      </c>
      <c r="D38" s="9">
        <v>1</v>
      </c>
      <c r="E38" s="7">
        <v>1</v>
      </c>
    </row>
    <row r="39" spans="1:5" ht="15.75" customHeight="1" x14ac:dyDescent="0.2">
      <c r="A39" s="6">
        <v>149</v>
      </c>
      <c r="B39" s="7" t="s">
        <v>40</v>
      </c>
      <c r="C39" s="8" t="str">
        <f ca="1">IFERROR(__xludf.DUMMYFUNCTION("GOOGLETRANSLATE(B39,""ar"",""en"")"),"His throat showed the wife of her husband hit her and opened the door of the apartment and ran away from him and neighbors tried to Ardjaoha")</f>
        <v>His throat showed the wife of her husband hit her and opened the door of the apartment and ran away from him and neighbors tried to Ardjaoha</v>
      </c>
      <c r="D39" s="9">
        <v>1</v>
      </c>
      <c r="E39" s="3">
        <v>0</v>
      </c>
    </row>
    <row r="40" spans="1:5" ht="15.75" customHeight="1" x14ac:dyDescent="0.2">
      <c r="A40" s="2">
        <v>150</v>
      </c>
      <c r="B40" s="3" t="s">
        <v>41</v>
      </c>
      <c r="C40" s="4" t="str">
        <f ca="1">IFERROR(__xludf.DUMMYFUNCTION("GOOGLETRANSLATE(B40,""ar"",""en"")"),"Female genital mutilation, harassment and violence and the impact of Corona Women")</f>
        <v>Female genital mutilation, harassment and violence and the impact of Corona Women</v>
      </c>
      <c r="D40" s="5">
        <v>1</v>
      </c>
      <c r="E40" s="3">
        <v>0</v>
      </c>
    </row>
    <row r="41" spans="1:5" ht="15.75" customHeight="1" x14ac:dyDescent="0.2">
      <c r="A41" s="6">
        <v>151</v>
      </c>
      <c r="B41" s="7" t="s">
        <v>42</v>
      </c>
      <c r="C41" s="8" t="str">
        <f ca="1">IFERROR(__xludf.DUMMYFUNCTION("GOOGLETRANSLATE(B41,""ar"",""en"")"),"Wonderful and useful Jaddaa")</f>
        <v>Wonderful and useful Jaddaa</v>
      </c>
      <c r="D41" s="9">
        <v>1</v>
      </c>
      <c r="E41" s="7">
        <v>1</v>
      </c>
    </row>
    <row r="42" spans="1:5" ht="15.75" customHeight="1" x14ac:dyDescent="0.2">
      <c r="A42" s="2">
        <v>152</v>
      </c>
      <c r="B42" s="3" t="s">
        <v>43</v>
      </c>
      <c r="C42" s="4" t="str">
        <f ca="1">IFERROR(__xludf.DUMMYFUNCTION("GOOGLETRANSLATE(B42,""ar"",""en"")"),"Best age for women")</f>
        <v>Best age for women</v>
      </c>
      <c r="D42" s="5">
        <v>1</v>
      </c>
      <c r="E42" s="3">
        <v>0</v>
      </c>
    </row>
    <row r="43" spans="1:5" ht="15.75" customHeight="1" x14ac:dyDescent="0.2">
      <c r="A43" s="6">
        <v>154</v>
      </c>
      <c r="B43" s="7" t="s">
        <v>44</v>
      </c>
      <c r="C43" s="8" t="str">
        <f ca="1">IFERROR(__xludf.DUMMYFUNCTION("GOOGLETRANSLATE(B43,""ar"",""en"")"),"Violence against women and rape")</f>
        <v>Violence against women and rape</v>
      </c>
      <c r="D43" s="9">
        <v>1</v>
      </c>
      <c r="E43" s="3">
        <v>0</v>
      </c>
    </row>
    <row r="44" spans="1:5" ht="15.75" customHeight="1" x14ac:dyDescent="0.2">
      <c r="A44" s="2">
        <v>157</v>
      </c>
      <c r="B44" s="3" t="s">
        <v>45</v>
      </c>
      <c r="C44" s="4" t="str">
        <f ca="1">IFERROR(__xludf.DUMMYFUNCTION("GOOGLETRANSLATE(B44,""ar"",""en"")"),"Real and realistic issues and its dimensions, analysis and get a solution to it and the beautiful simplicity of supported dialogue and simplified legal context, which obviously benefits and come out through the legal bond rings as possible and I know it w"&amp;"as reported by myself or besides Me")</f>
        <v>Real and realistic issues and its dimensions, analysis and get a solution to it and the beautiful simplicity of supported dialogue and simplified legal context, which obviously benefits and come out through the legal bond rings as possible and I know it was reported by myself or besides Me</v>
      </c>
      <c r="D44" s="5">
        <v>1</v>
      </c>
      <c r="E44" s="3">
        <v>0</v>
      </c>
    </row>
    <row r="45" spans="1:5" ht="15.75" customHeight="1" x14ac:dyDescent="0.2">
      <c r="A45" s="6">
        <v>161</v>
      </c>
      <c r="B45" s="7" t="s">
        <v>46</v>
      </c>
      <c r="C45" s="8" t="str">
        <f ca="1">IFERROR(__xludf.DUMMYFUNCTION("GOOGLETRANSLATE(B45,""ar"",""en"")"),"The problem of harassment")</f>
        <v>The problem of harassment</v>
      </c>
      <c r="D45" s="9">
        <v>1</v>
      </c>
      <c r="E45" s="3">
        <v>0</v>
      </c>
    </row>
    <row r="46" spans="1:5" ht="15.75" customHeight="1" x14ac:dyDescent="0.2">
      <c r="A46" s="2">
        <v>163</v>
      </c>
      <c r="B46" s="3" t="s">
        <v>47</v>
      </c>
      <c r="C46" s="4" t="str">
        <f ca="1">IFERROR(__xludf.DUMMYFUNCTION("GOOGLETRANSLATE(B46,""ar"",""en"")"),"Workshops on divorce and marital disputes after divorce p sons")</f>
        <v>Workshops on divorce and marital disputes after divorce p sons</v>
      </c>
      <c r="D46" s="5">
        <v>1</v>
      </c>
      <c r="E46" s="3">
        <v>0</v>
      </c>
    </row>
    <row r="47" spans="1:5" ht="15.75" customHeight="1" x14ac:dyDescent="0.2">
      <c r="A47" s="6">
        <v>171</v>
      </c>
      <c r="B47" s="7" t="s">
        <v>48</v>
      </c>
      <c r="C47" s="8" t="str">
        <f ca="1">IFERROR(__xludf.DUMMYFUNCTION("GOOGLETRANSLATE(B47,""ar"",""en"")"),"The issue of harassment")</f>
        <v>The issue of harassment</v>
      </c>
      <c r="D47" s="9">
        <v>1</v>
      </c>
      <c r="E47" s="3">
        <v>0</v>
      </c>
    </row>
    <row r="48" spans="1:5" ht="15.75" customHeight="1" x14ac:dyDescent="0.2">
      <c r="A48" s="2">
        <v>172</v>
      </c>
      <c r="B48" s="3" t="s">
        <v>49</v>
      </c>
      <c r="C48" s="4" t="str">
        <f ca="1">IFERROR(__xludf.DUMMYFUNCTION("GOOGLETRANSLATE(B48,""ar"",""en"")"),"Marriage of minors and domestic violence")</f>
        <v>Marriage of minors and domestic violence</v>
      </c>
      <c r="D48" s="5">
        <v>1</v>
      </c>
      <c r="E48" s="3">
        <v>0</v>
      </c>
    </row>
    <row r="49" spans="1:5" ht="15.75" customHeight="1" x14ac:dyDescent="0.2">
      <c r="A49" s="6">
        <v>175</v>
      </c>
      <c r="B49" s="7" t="s">
        <v>50</v>
      </c>
      <c r="C49" s="8" t="str">
        <f ca="1">IFERROR(__xludf.DUMMYFUNCTION("GOOGLETRANSLATE(B49,""ar"",""en"")"),"Circumcision and Amoalah.altharc Device.")</f>
        <v>Circumcision and Amoalah.altharc Device.</v>
      </c>
      <c r="D49" s="9">
        <v>1</v>
      </c>
      <c r="E49" s="3">
        <v>0</v>
      </c>
    </row>
    <row r="50" spans="1:5" ht="15.75" customHeight="1" x14ac:dyDescent="0.2">
      <c r="A50" s="2">
        <v>176</v>
      </c>
      <c r="B50" s="3" t="s">
        <v>51</v>
      </c>
      <c r="C50" s="4" t="str">
        <f ca="1">IFERROR(__xludf.DUMMYFUNCTION("GOOGLETRANSLATE(B50,""ar"",""en"")"),"Women's rights")</f>
        <v>Women's rights</v>
      </c>
      <c r="D50" s="5">
        <v>1</v>
      </c>
      <c r="E50" s="3">
        <v>0</v>
      </c>
    </row>
    <row r="51" spans="1:5" ht="15.75" customHeight="1" x14ac:dyDescent="0.2">
      <c r="A51" s="6">
        <v>178</v>
      </c>
      <c r="B51" s="7" t="s">
        <v>52</v>
      </c>
      <c r="C51" s="8" t="str">
        <f ca="1">IFERROR(__xludf.DUMMYFUNCTION("GOOGLETRANSLATE(B51,""ar"",""en"")"),"Throat circumcision and the problem of married couples in the house and headed for a bitter physical independence and Alimony")</f>
        <v>Throat circumcision and the problem of married couples in the house and headed for a bitter physical independence and Alimony</v>
      </c>
      <c r="D51" s="9">
        <v>1</v>
      </c>
      <c r="E51" s="3">
        <v>0</v>
      </c>
    </row>
    <row r="52" spans="1:5" ht="15.75" customHeight="1" x14ac:dyDescent="0.2">
      <c r="A52" s="2">
        <v>183</v>
      </c>
      <c r="B52" s="3" t="s">
        <v>53</v>
      </c>
      <c r="C52" s="4" t="str">
        <f ca="1">IFERROR(__xludf.DUMMYFUNCTION("GOOGLETRANSLATE(B52,""ar"",""en"")"),"What do I take care of myself after the age of forty and friendly beginning of life and the rules of entering the kitchen")</f>
        <v>What do I take care of myself after the age of forty and friendly beginning of life and the rules of entering the kitchen</v>
      </c>
      <c r="D52" s="5">
        <v>1</v>
      </c>
      <c r="E52" s="3">
        <v>0</v>
      </c>
    </row>
    <row r="53" spans="1:5" ht="15.75" customHeight="1" x14ac:dyDescent="0.2">
      <c r="A53" s="6">
        <v>184</v>
      </c>
      <c r="B53" s="7" t="s">
        <v>54</v>
      </c>
      <c r="C53" s="8" t="str">
        <f ca="1">IFERROR(__xludf.DUMMYFUNCTION("GOOGLETRANSLATE(B53,""ar"",""en"")"),"Style narrative professor Nihad sweet Abiejbna")</f>
        <v>Style narrative professor Nihad sweet Abiejbna</v>
      </c>
      <c r="D53" s="9">
        <v>1</v>
      </c>
      <c r="E53" s="3">
        <v>0</v>
      </c>
    </row>
    <row r="54" spans="1:5" ht="15.75" customHeight="1" x14ac:dyDescent="0.2">
      <c r="A54" s="2">
        <v>191</v>
      </c>
      <c r="B54" s="3" t="s">
        <v>55</v>
      </c>
      <c r="C54" s="4" t="str">
        <f ca="1">IFERROR(__xludf.DUMMYFUNCTION("GOOGLETRANSLATE(B54,""ar"",""en"")"),"Meaningful and useful content")</f>
        <v>Meaningful and useful content</v>
      </c>
      <c r="D54" s="9">
        <v>1</v>
      </c>
      <c r="E54" s="7">
        <v>1</v>
      </c>
    </row>
    <row r="55" spans="1:5" ht="15.75" customHeight="1" x14ac:dyDescent="0.2">
      <c r="A55" s="6">
        <v>195</v>
      </c>
      <c r="B55" s="7" t="s">
        <v>56</v>
      </c>
      <c r="C55" s="8" t="str">
        <f ca="1">IFERROR(__xludf.DUMMYFUNCTION("GOOGLETRANSLATE(B55,""ar"",""en"")"),"Episode for divorce and workshops on Kasai and I manage my house employee")</f>
        <v>Episode for divorce and workshops on Kasai and I manage my house employee</v>
      </c>
      <c r="D55" s="9">
        <v>1</v>
      </c>
      <c r="E55" s="3">
        <v>0</v>
      </c>
    </row>
    <row r="56" spans="1:5" ht="15.75" customHeight="1" x14ac:dyDescent="0.2">
      <c r="A56" s="2">
        <v>201</v>
      </c>
      <c r="B56" s="3" t="s">
        <v>57</v>
      </c>
      <c r="C56" s="4" t="str">
        <f ca="1">IFERROR(__xludf.DUMMYFUNCTION("GOOGLETRANSLATE(B56,""ar"",""en"")"),"Violence against Alemraeh and sexual harassment")</f>
        <v>Violence against Alemraeh and sexual harassment</v>
      </c>
      <c r="D56" s="5">
        <v>1</v>
      </c>
      <c r="E56" s="3">
        <v>0</v>
      </c>
    </row>
    <row r="57" spans="1:5" ht="15.75" customHeight="1" x14ac:dyDescent="0.2">
      <c r="A57" s="6">
        <v>203</v>
      </c>
      <c r="B57" s="7" t="s">
        <v>58</v>
      </c>
      <c r="C57" s="8" t="str">
        <f ca="1">IFERROR(__xludf.DUMMYFUNCTION("GOOGLETRANSLATE(B57,""ar"",""en"")"),"Women's issues and the courts")</f>
        <v>Women's issues and the courts</v>
      </c>
      <c r="D57" s="9">
        <v>1</v>
      </c>
      <c r="E57" s="3">
        <v>0</v>
      </c>
    </row>
    <row r="58" spans="1:5" ht="15.75" customHeight="1" x14ac:dyDescent="0.2">
      <c r="A58" s="2">
        <v>219</v>
      </c>
      <c r="B58" s="3" t="s">
        <v>59</v>
      </c>
      <c r="C58" s="4" t="str">
        <f ca="1">IFERROR(__xludf.DUMMYFUNCTION("GOOGLETRANSLATE(B58,""ar"",""en"")"),"Models for women's success stories in achieving the same")</f>
        <v>Models for women's success stories in achieving the same</v>
      </c>
      <c r="D58" s="5">
        <v>1</v>
      </c>
      <c r="E58" s="3">
        <v>0</v>
      </c>
    </row>
    <row r="59" spans="1:5" ht="15.75" customHeight="1" x14ac:dyDescent="0.2">
      <c r="A59" s="6">
        <v>224</v>
      </c>
      <c r="B59" s="7" t="s">
        <v>60</v>
      </c>
      <c r="C59" s="8" t="str">
        <f ca="1">IFERROR(__xludf.DUMMYFUNCTION("GOOGLETRANSLATE(B59,""ar"",""en"")"),"Internet and its impact in the lives of young people")</f>
        <v>Internet and its impact in the lives of young people</v>
      </c>
      <c r="D59" s="9">
        <v>1</v>
      </c>
      <c r="E59" s="3">
        <v>0</v>
      </c>
    </row>
    <row r="60" spans="1:5" ht="15.75" customHeight="1" x14ac:dyDescent="0.2">
      <c r="A60" s="2">
        <v>225</v>
      </c>
      <c r="B60" s="3" t="s">
        <v>61</v>
      </c>
      <c r="C60" s="4" t="str">
        <f ca="1">IFERROR(__xludf.DUMMYFUNCTION("GOOGLETRANSLATE(B60,""ar"",""en"")"),"Defend women rights")</f>
        <v>Defend women rights</v>
      </c>
      <c r="D60" s="5">
        <v>1</v>
      </c>
      <c r="E60" s="3">
        <v>0</v>
      </c>
    </row>
    <row r="61" spans="1:5" ht="15.75" customHeight="1" x14ac:dyDescent="0.2">
      <c r="A61" s="2">
        <v>1738</v>
      </c>
      <c r="B61" s="3" t="s">
        <v>400</v>
      </c>
      <c r="C61" s="4" t="str">
        <f ca="1">IFERROR(__xludf.DUMMYFUNCTION("GOOGLETRANSLATE(B418,""ar"",""en"")"),"The content is very good for the rings you saw")</f>
        <v>The content is very good for the rings you saw</v>
      </c>
      <c r="D61" s="5">
        <v>1</v>
      </c>
      <c r="E61" s="3">
        <v>0</v>
      </c>
    </row>
    <row r="62" spans="1:5" ht="15.75" customHeight="1" x14ac:dyDescent="0.2">
      <c r="A62" s="2">
        <v>230</v>
      </c>
      <c r="B62" s="3" t="s">
        <v>62</v>
      </c>
      <c r="C62" s="4" t="str">
        <f ca="1">IFERROR(__xludf.DUMMYFUNCTION("GOOGLETRANSLATE(B62,""ar"",""en"")"),"Problems women face legal and humanitarian opinion presents a wonderful and attractive")</f>
        <v>Problems women face legal and humanitarian opinion presents a wonderful and attractive</v>
      </c>
      <c r="D62" s="5">
        <v>1</v>
      </c>
      <c r="E62" s="3">
        <v>0</v>
      </c>
    </row>
    <row r="63" spans="1:5" ht="15.75" customHeight="1" x14ac:dyDescent="0.2">
      <c r="A63" s="6">
        <v>241</v>
      </c>
      <c r="B63" s="7" t="s">
        <v>63</v>
      </c>
      <c r="C63" s="8" t="str">
        <f ca="1">IFERROR(__xludf.DUMMYFUNCTION("GOOGLETRANSLATE(B63,""ar"",""en"")"),"Women's problems and Atfaragt a home from a short time but not the program possible recalls, Amr Adib tale and the rape of a girl Speaks Fairmont Hotel and it almost any girl Pttalb communication from any position Btaatard him and it Heetm protect and tak"&amp;"e legal action against the guilty")</f>
        <v>Women's problems and Atfaragt a home from a short time but not the program possible recalls, Amr Adib tale and the rape of a girl Speaks Fairmont Hotel and it almost any girl Pttalb communication from any position Btaatard him and it Heetm protect and take legal action against the guilty</v>
      </c>
      <c r="D63" s="9">
        <v>1</v>
      </c>
      <c r="E63" s="3">
        <v>0</v>
      </c>
    </row>
    <row r="64" spans="1:5" ht="15.75" customHeight="1" x14ac:dyDescent="0.2">
      <c r="A64" s="2">
        <v>243</v>
      </c>
      <c r="B64" s="3" t="s">
        <v>64</v>
      </c>
      <c r="C64" s="4" t="str">
        <f ca="1">IFERROR(__xludf.DUMMYFUNCTION("GOOGLETRANSLATE(B64,""ar"",""en"")"),"Series to support women")</f>
        <v>Series to support women</v>
      </c>
      <c r="D64" s="5">
        <v>1</v>
      </c>
      <c r="E64" s="3">
        <v>0</v>
      </c>
    </row>
    <row r="65" spans="1:5" ht="15.75" customHeight="1" x14ac:dyDescent="0.2">
      <c r="A65" s="6">
        <v>246</v>
      </c>
      <c r="B65" s="7" t="s">
        <v>65</v>
      </c>
      <c r="C65" s="8" t="str">
        <f ca="1">IFERROR(__xludf.DUMMYFUNCTION("GOOGLETRANSLATE(B65,""ar"",""en"")"),"A word of what I Batasb Mesh Pashov veterans de Aktar throat Atatrt Bhekman throat O Ritni of the time I knew Btaa the age of your presence Alarbanzaa nut stop Maakidharorh filling woman Ahan keep economically independent and have its harassment and girls"&amp;" Alsgerinohjat very Ktarh")</f>
        <v>A word of what I Batasb Mesh Pashov veterans de Aktar throat Atatrt Bhekman throat O Ritni of the time I knew Btaa the age of your presence Alarbanzaa nut stop Maakidharorh filling woman Ahan keep economically independent and have its harassment and girls Alsgerinohjat very Ktarh</v>
      </c>
      <c r="D65" s="9">
        <v>1</v>
      </c>
      <c r="E65" s="3">
        <v>0</v>
      </c>
    </row>
    <row r="66" spans="1:5" ht="15.75" customHeight="1" x14ac:dyDescent="0.2">
      <c r="A66" s="2">
        <v>248</v>
      </c>
      <c r="B66" s="3" t="s">
        <v>66</v>
      </c>
      <c r="C66" s="4" t="str">
        <f ca="1">IFERROR(__xludf.DUMMYFUNCTION("GOOGLETRANSLATE(B66,""ar"",""en"")"),"Worldwide women's rights and Kasai be logical strong")</f>
        <v>Worldwide women's rights and Kasai be logical strong</v>
      </c>
      <c r="D66" s="5">
        <v>1</v>
      </c>
      <c r="E66" s="3">
        <v>0</v>
      </c>
    </row>
    <row r="67" spans="1:5" ht="15.75" customHeight="1" x14ac:dyDescent="0.2">
      <c r="A67" s="6">
        <v>251</v>
      </c>
      <c r="B67" s="7" t="s">
        <v>67</v>
      </c>
      <c r="C67" s="8" t="str">
        <f ca="1">IFERROR(__xludf.DUMMYFUNCTION("GOOGLETRANSLATE(B67,""ar"",""en"")"),"Was almost Ptgi story about a girl")</f>
        <v>Was almost Ptgi story about a girl</v>
      </c>
      <c r="D67" s="9">
        <v>1</v>
      </c>
      <c r="E67" s="3">
        <v>0</v>
      </c>
    </row>
    <row r="68" spans="1:5" ht="15.75" customHeight="1" x14ac:dyDescent="0.2">
      <c r="A68" s="2">
        <v>255</v>
      </c>
      <c r="B68" s="3" t="s">
        <v>68</v>
      </c>
      <c r="C68" s="4" t="str">
        <f ca="1">IFERROR(__xludf.DUMMYFUNCTION("GOOGLETRANSLATE(B68,""ar"",""en"")"),"How can I be happy, although the surrounding environment alarming")</f>
        <v>How can I be happy, although the surrounding environment alarming</v>
      </c>
      <c r="D68" s="5">
        <v>1</v>
      </c>
      <c r="E68" s="3">
        <v>0</v>
      </c>
    </row>
    <row r="69" spans="1:5" ht="15.75" customHeight="1" x14ac:dyDescent="0.2">
      <c r="A69" s="6">
        <v>256</v>
      </c>
      <c r="B69" s="7" t="s">
        <v>69</v>
      </c>
      <c r="C69" s="8" t="str">
        <f ca="1">IFERROR(__xludf.DUMMYFUNCTION("GOOGLETRANSLATE(B69,""ar"",""en"")"),"Assault with violence on women")</f>
        <v>Assault with violence on women</v>
      </c>
      <c r="D69" s="9">
        <v>1</v>
      </c>
      <c r="E69" s="3">
        <v>0</v>
      </c>
    </row>
    <row r="70" spans="1:5" ht="15.75" customHeight="1" x14ac:dyDescent="0.2">
      <c r="A70" s="2">
        <v>260</v>
      </c>
      <c r="B70" s="3" t="s">
        <v>70</v>
      </c>
      <c r="C70" s="4" t="str">
        <f ca="1">IFERROR(__xludf.DUMMYFUNCTION("GOOGLETRANSLATE(B70,""ar"",""en"")"),"Female circumcision, divorce and divorce, youth projects")</f>
        <v>Female circumcision, divorce and divorce, youth projects</v>
      </c>
      <c r="D70" s="5">
        <v>1</v>
      </c>
      <c r="E70" s="3">
        <v>0</v>
      </c>
    </row>
    <row r="71" spans="1:5" ht="15.75" customHeight="1" x14ac:dyDescent="0.2">
      <c r="A71" s="6">
        <v>265</v>
      </c>
      <c r="B71" s="7" t="s">
        <v>71</v>
      </c>
      <c r="C71" s="8" t="str">
        <f ca="1">IFERROR(__xludf.DUMMYFUNCTION("GOOGLETRANSLATE(B71,""ar"",""en"")"),"Divorce and divorce and the problems of women")</f>
        <v>Divorce and divorce and the problems of women</v>
      </c>
      <c r="D71" s="9">
        <v>1</v>
      </c>
      <c r="E71" s="3">
        <v>0</v>
      </c>
    </row>
    <row r="72" spans="1:5" ht="15.75" customHeight="1" x14ac:dyDescent="0.2">
      <c r="A72" s="2">
        <v>269</v>
      </c>
      <c r="B72" s="3" t="s">
        <v>72</v>
      </c>
      <c r="C72" s="4" t="str">
        <f ca="1">IFERROR(__xludf.DUMMYFUNCTION("GOOGLETRANSLATE(B72,""ar"",""en"")"),"Awareness program on women's issues")</f>
        <v>Awareness program on women's issues</v>
      </c>
      <c r="D72" s="5">
        <v>1</v>
      </c>
      <c r="E72" s="3">
        <v>0</v>
      </c>
    </row>
    <row r="73" spans="1:5" ht="15.75" customHeight="1" x14ac:dyDescent="0.2">
      <c r="A73" s="6">
        <v>271</v>
      </c>
      <c r="B73" s="7" t="s">
        <v>73</v>
      </c>
      <c r="C73" s="8" t="str">
        <f ca="1">IFERROR(__xludf.DUMMYFUNCTION("GOOGLETRANSLATE(B73,""ar"",""en"")"),"On women's issues and the issues of rape")</f>
        <v>On women's issues and the issues of rape</v>
      </c>
      <c r="D73" s="9">
        <v>1</v>
      </c>
      <c r="E73" s="3">
        <v>0</v>
      </c>
    </row>
    <row r="74" spans="1:5" ht="15.75" customHeight="1" x14ac:dyDescent="0.2">
      <c r="A74" s="2">
        <v>279</v>
      </c>
      <c r="B74" s="3" t="s">
        <v>74</v>
      </c>
      <c r="C74" s="4" t="str">
        <f ca="1">IFERROR(__xludf.DUMMYFUNCTION("GOOGLETRANSLATE(B74,""ar"",""en"")"),"Violence Against Women refused to encourage girls who previously harassed Pallailag")</f>
        <v>Violence Against Women refused to encourage girls who previously harassed Pallailag</v>
      </c>
      <c r="D74" s="5">
        <v>1</v>
      </c>
      <c r="E74" s="3">
        <v>0</v>
      </c>
    </row>
    <row r="75" spans="1:5" ht="15.75" customHeight="1" x14ac:dyDescent="0.2">
      <c r="A75" s="6">
        <v>280</v>
      </c>
      <c r="B75" s="7" t="s">
        <v>75</v>
      </c>
      <c r="C75" s="8" t="str">
        <f ca="1">IFERROR(__xludf.DUMMYFUNCTION("GOOGLETRANSLATE(B75,""ar"",""en"")"),"Nursery and Revelation")</f>
        <v>Nursery and Revelation</v>
      </c>
      <c r="D75" s="9">
        <v>1</v>
      </c>
      <c r="E75" s="3">
        <v>0</v>
      </c>
    </row>
    <row r="76" spans="1:5" ht="15.75" customHeight="1" x14ac:dyDescent="0.2">
      <c r="A76" s="2">
        <v>283</v>
      </c>
      <c r="B76" s="3" t="s">
        <v>76</v>
      </c>
      <c r="C76" s="4" t="str">
        <f ca="1">IFERROR(__xludf.DUMMYFUNCTION("GOOGLETRANSLATE(B76,""ar"",""en"")"),"Divorced problems, harassment and attacks")</f>
        <v>Divorced problems, harassment and attacks</v>
      </c>
      <c r="D76" s="5">
        <v>1</v>
      </c>
      <c r="E76" s="3">
        <v>0</v>
      </c>
    </row>
    <row r="77" spans="1:5" ht="15.75" customHeight="1" x14ac:dyDescent="0.2">
      <c r="A77" s="6">
        <v>284</v>
      </c>
      <c r="B77" s="7" t="s">
        <v>77</v>
      </c>
      <c r="C77" s="8" t="str">
        <f ca="1">IFERROR(__xludf.DUMMYFUNCTION("GOOGLETRANSLATE(B77,""ar"",""en"")"),"Violence with women in the ban")</f>
        <v>Violence with women in the ban</v>
      </c>
      <c r="D77" s="9">
        <v>1</v>
      </c>
      <c r="E77" s="3">
        <v>0</v>
      </c>
    </row>
    <row r="78" spans="1:5" ht="15.75" customHeight="1" x14ac:dyDescent="0.2">
      <c r="A78" s="2">
        <v>289</v>
      </c>
      <c r="B78" s="3" t="s">
        <v>78</v>
      </c>
      <c r="C78" s="4" t="str">
        <f ca="1">IFERROR(__xludf.DUMMYFUNCTION("GOOGLETRANSLATE(B78,""ar"",""en"")"),"Almost had custody of the children")</f>
        <v>Almost had custody of the children</v>
      </c>
      <c r="D78" s="5">
        <v>1</v>
      </c>
      <c r="E78" s="3">
        <v>0</v>
      </c>
    </row>
    <row r="79" spans="1:5" ht="15.75" customHeight="1" x14ac:dyDescent="0.2">
      <c r="A79" s="6">
        <v>290</v>
      </c>
      <c r="B79" s="7" t="s">
        <v>22</v>
      </c>
      <c r="C79" s="8" t="str">
        <f ca="1">IFERROR(__xludf.DUMMYFUNCTION("GOOGLETRANSLATE(B79,""ar"",""en"")"),"Harassment")</f>
        <v>Harassment</v>
      </c>
      <c r="D79" s="9">
        <v>1</v>
      </c>
      <c r="E79" s="3">
        <v>0</v>
      </c>
    </row>
    <row r="80" spans="1:5" ht="15.75" customHeight="1" x14ac:dyDescent="0.2">
      <c r="A80" s="2">
        <v>296</v>
      </c>
      <c r="B80" s="3" t="s">
        <v>79</v>
      </c>
      <c r="C80" s="4" t="str">
        <f ca="1">IFERROR(__xludf.DUMMYFUNCTION("GOOGLETRANSLATE(B80,""ar"",""en"")"),"Useful content defined legal rights for Wife Yaratny known before divorce")</f>
        <v>Useful content defined legal rights for Wife Yaratny known before divorce</v>
      </c>
      <c r="D80" s="5">
        <v>1</v>
      </c>
      <c r="E80" s="7">
        <v>1</v>
      </c>
    </row>
    <row r="81" spans="1:5" ht="15.75" customHeight="1" x14ac:dyDescent="0.2">
      <c r="A81" s="6">
        <v>306</v>
      </c>
      <c r="B81" s="7" t="s">
        <v>80</v>
      </c>
      <c r="C81" s="8" t="str">
        <f ca="1">IFERROR(__xludf.DUMMYFUNCTION("GOOGLETRANSLATE(B81,""ar"",""en"")"),"The story of the master's uncle and his daughter .. circumcision and females. And other")</f>
        <v>The story of the master's uncle and his daughter .. circumcision and females. And other</v>
      </c>
      <c r="D81" s="9">
        <v>1</v>
      </c>
      <c r="E81" s="3">
        <v>0</v>
      </c>
    </row>
    <row r="82" spans="1:5" ht="15.75" customHeight="1" x14ac:dyDescent="0.2">
      <c r="A82" s="2">
        <v>311</v>
      </c>
      <c r="B82" s="3" t="s">
        <v>81</v>
      </c>
      <c r="C82" s="4" t="str">
        <f ca="1">IFERROR(__xludf.DUMMYFUNCTION("GOOGLETRANSLATE(B82,""ar"",""en"")"),"Content is often about women and issues of society and how to get women's rights")</f>
        <v>Content is often about women and issues of society and how to get women's rights</v>
      </c>
      <c r="D82" s="5">
        <v>1</v>
      </c>
      <c r="E82" s="3">
        <v>0</v>
      </c>
    </row>
    <row r="83" spans="1:5" ht="15.75" customHeight="1" x14ac:dyDescent="0.2">
      <c r="A83" s="6">
        <v>313</v>
      </c>
      <c r="B83" s="7" t="s">
        <v>82</v>
      </c>
      <c r="C83" s="8" t="str">
        <f ca="1">IFERROR(__xludf.DUMMYFUNCTION("GOOGLETRANSLATE(B83,""ar"",""en"")"),"For the second wife")</f>
        <v>For the second wife</v>
      </c>
      <c r="D83" s="9">
        <v>1</v>
      </c>
      <c r="E83" s="3">
        <v>0</v>
      </c>
    </row>
    <row r="84" spans="1:5" ht="15.75" customHeight="1" x14ac:dyDescent="0.2">
      <c r="A84" s="2">
        <v>323</v>
      </c>
      <c r="B84" s="3" t="s">
        <v>83</v>
      </c>
      <c r="C84" s="4" t="str">
        <f ca="1">IFERROR(__xludf.DUMMYFUNCTION("GOOGLETRANSLATE(B84,""ar"",""en"")"),"violence against Woman")</f>
        <v>violence against Woman</v>
      </c>
      <c r="D84" s="5">
        <v>1</v>
      </c>
      <c r="E84" s="3">
        <v>0</v>
      </c>
    </row>
    <row r="85" spans="1:5" ht="15.75" customHeight="1" x14ac:dyDescent="0.2">
      <c r="A85" s="6">
        <v>326</v>
      </c>
      <c r="B85" s="7" t="s">
        <v>84</v>
      </c>
      <c r="C85" s="8" t="str">
        <f ca="1">IFERROR(__xludf.DUMMYFUNCTION("GOOGLETRANSLATE(B85,""ar"",""en"")"),"Why Egyptians Baketboa Qaimhand marriage and foreigners do not .. and the provisions of the vision and the proportions of the child Omhvs case not registered as the father")</f>
        <v>Why Egyptians Baketboa Qaimhand marriage and foreigners do not .. and the provisions of the vision and the proportions of the child Omhvs case not registered as the father</v>
      </c>
      <c r="D85" s="9">
        <v>1</v>
      </c>
      <c r="E85" s="3">
        <v>0</v>
      </c>
    </row>
    <row r="86" spans="1:5" ht="15.75" customHeight="1" x14ac:dyDescent="0.2">
      <c r="A86" s="2">
        <v>331</v>
      </c>
      <c r="B86" s="3" t="s">
        <v>85</v>
      </c>
      <c r="C86" s="4" t="str">
        <f ca="1">IFERROR(__xludf.DUMMYFUNCTION("GOOGLETRANSLATE(B86,""ar"",""en"")"),"Drew women in Islamic society days of the Prophet")</f>
        <v>Drew women in Islamic society days of the Prophet</v>
      </c>
      <c r="D86" s="5">
        <v>1</v>
      </c>
      <c r="E86" s="3">
        <v>0</v>
      </c>
    </row>
    <row r="87" spans="1:5" ht="15.75" customHeight="1" x14ac:dyDescent="0.2">
      <c r="A87" s="6">
        <v>333</v>
      </c>
      <c r="B87" s="7" t="s">
        <v>86</v>
      </c>
      <c r="C87" s="8" t="str">
        <f ca="1">IFERROR(__xludf.DUMMYFUNCTION("GOOGLETRANSLATE(B87,""ar"",""en"")"),"Harassment and female genital mutilation, violence and wife beating")</f>
        <v>Harassment and female genital mutilation, violence and wife beating</v>
      </c>
      <c r="D87" s="9">
        <v>1</v>
      </c>
      <c r="E87" s="3">
        <v>0</v>
      </c>
    </row>
    <row r="88" spans="1:5" ht="15.75" customHeight="1" x14ac:dyDescent="0.2">
      <c r="A88" s="2">
        <v>334</v>
      </c>
      <c r="B88" s="3" t="s">
        <v>87</v>
      </c>
      <c r="C88" s="4" t="str">
        <f ca="1">IFERROR(__xludf.DUMMYFUNCTION("GOOGLETRANSLATE(B88,""ar"",""en"")"),"Domestic violence and sexual harassment")</f>
        <v>Domestic violence and sexual harassment</v>
      </c>
      <c r="D88" s="5">
        <v>1</v>
      </c>
      <c r="E88" s="3">
        <v>0</v>
      </c>
    </row>
    <row r="89" spans="1:5" ht="15.75" customHeight="1" x14ac:dyDescent="0.2">
      <c r="A89" s="6">
        <v>336</v>
      </c>
      <c r="B89" s="7" t="s">
        <v>88</v>
      </c>
      <c r="C89" s="8" t="str">
        <f ca="1">IFERROR(__xludf.DUMMYFUNCTION("GOOGLETRANSLATE(B89,""ar"",""en"")"),"Very especially liked so sexual violence for children and ways of learning")</f>
        <v>Very especially liked so sexual violence for children and ways of learning</v>
      </c>
      <c r="D89" s="9">
        <v>1</v>
      </c>
      <c r="E89" s="3">
        <v>0</v>
      </c>
    </row>
    <row r="90" spans="1:5" ht="15.75" customHeight="1" x14ac:dyDescent="0.2">
      <c r="A90" s="2">
        <v>343</v>
      </c>
      <c r="B90" s="3" t="s">
        <v>89</v>
      </c>
      <c r="C90" s="4" t="str">
        <f ca="1">IFERROR(__xludf.DUMMYFUNCTION("GOOGLETRANSLATE(B90,""ar"",""en"")"),"It was about the internet and girls")</f>
        <v>It was about the internet and girls</v>
      </c>
      <c r="D90" s="5">
        <v>1</v>
      </c>
      <c r="E90" s="3">
        <v>0</v>
      </c>
    </row>
    <row r="91" spans="1:5" ht="15.75" customHeight="1" x14ac:dyDescent="0.2">
      <c r="A91" s="6">
        <v>345</v>
      </c>
      <c r="B91" s="7" t="s">
        <v>90</v>
      </c>
      <c r="C91" s="8" t="str">
        <f ca="1">IFERROR(__xludf.DUMMYFUNCTION("GOOGLETRANSLATE(B91,""ar"",""en"")"),"Circumcision and sexual harassment, marriage, and the Internet")</f>
        <v>Circumcision and sexual harassment, marriage, and the Internet</v>
      </c>
      <c r="D91" s="9">
        <v>1</v>
      </c>
      <c r="E91" s="3">
        <v>0</v>
      </c>
    </row>
    <row r="92" spans="1:5" ht="15.75" customHeight="1" x14ac:dyDescent="0.2">
      <c r="A92" s="2">
        <v>346</v>
      </c>
      <c r="B92" s="3" t="s">
        <v>91</v>
      </c>
      <c r="C92" s="4" t="str">
        <f ca="1">IFERROR(__xludf.DUMMYFUNCTION("GOOGLETRANSLATE(B92,""ar"",""en"")"),"Women's rights and how to address sexual harassment, rape, and the role of men in a stand against violence against women")</f>
        <v>Women's rights and how to address sexual harassment, rape, and the role of men in a stand against violence against women</v>
      </c>
      <c r="D92" s="5">
        <v>1</v>
      </c>
      <c r="E92" s="3">
        <v>0</v>
      </c>
    </row>
    <row r="93" spans="1:5" ht="15.75" customHeight="1" x14ac:dyDescent="0.2">
      <c r="A93" s="6">
        <v>348</v>
      </c>
      <c r="B93" s="7" t="s">
        <v>92</v>
      </c>
      <c r="C93" s="8" t="str">
        <f ca="1">IFERROR(__xludf.DUMMYFUNCTION("GOOGLETRANSLATE(B93,""ar"",""en"")"),"Asalaq harassment and disobedient")</f>
        <v>Asalaq harassment and disobedient</v>
      </c>
      <c r="D93" s="9">
        <v>1</v>
      </c>
      <c r="E93" s="3">
        <v>0</v>
      </c>
    </row>
    <row r="94" spans="1:5" ht="15.75" customHeight="1" x14ac:dyDescent="0.2">
      <c r="A94" s="2">
        <v>349</v>
      </c>
      <c r="B94" s="3" t="s">
        <v>93</v>
      </c>
      <c r="C94" s="4" t="str">
        <f ca="1">IFERROR(__xludf.DUMMYFUNCTION("GOOGLETRANSLATE(B94,""ar"",""en"")"),"Women's rights and refused to beatings and humiliation")</f>
        <v>Women's rights and refused to beatings and humiliation</v>
      </c>
      <c r="D94" s="5">
        <v>1</v>
      </c>
      <c r="E94" s="3">
        <v>0</v>
      </c>
    </row>
    <row r="95" spans="1:5" ht="15.75" customHeight="1" x14ac:dyDescent="0.2">
      <c r="A95" s="6">
        <v>353</v>
      </c>
      <c r="B95" s="7" t="s">
        <v>94</v>
      </c>
      <c r="C95" s="8" t="str">
        <f ca="1">IFERROR(__xludf.DUMMYFUNCTION("GOOGLETRANSLATE(B95,""ar"",""en"")"),"Divorce - divorce damage - Circumcision - Harassment")</f>
        <v>Divorce - divorce damage - Circumcision - Harassment</v>
      </c>
      <c r="D95" s="9">
        <v>1</v>
      </c>
      <c r="E95" s="3">
        <v>0</v>
      </c>
    </row>
    <row r="96" spans="1:5" ht="15.75" customHeight="1" x14ac:dyDescent="0.2">
      <c r="A96" s="2">
        <v>363</v>
      </c>
      <c r="B96" s="3" t="s">
        <v>95</v>
      </c>
      <c r="C96" s="4" t="str">
        <f ca="1">IFERROR(__xludf.DUMMYFUNCTION("GOOGLETRANSLATE(B96,""ar"",""en"")"),"Meaningful content and professor Petklmna but we are sitting with some mesh on the screen")</f>
        <v>Meaningful content and professor Petklmna but we are sitting with some mesh on the screen</v>
      </c>
      <c r="D96" s="9">
        <v>1</v>
      </c>
      <c r="E96" s="7">
        <v>1</v>
      </c>
    </row>
    <row r="97" spans="1:5" ht="15.75" customHeight="1" x14ac:dyDescent="0.2">
      <c r="A97" s="6">
        <v>368</v>
      </c>
      <c r="B97" s="7" t="s">
        <v>96</v>
      </c>
      <c r="C97" s="8" t="str">
        <f ca="1">IFERROR(__xludf.DUMMYFUNCTION("GOOGLETRANSLATE(B97,""ar"",""en"")"),"Talk about women's rights")</f>
        <v>Talk about women's rights</v>
      </c>
      <c r="D97" s="9">
        <v>1</v>
      </c>
      <c r="E97" s="3">
        <v>0</v>
      </c>
    </row>
    <row r="98" spans="1:5" ht="15.75" customHeight="1" x14ac:dyDescent="0.2">
      <c r="A98" s="2">
        <v>369</v>
      </c>
      <c r="B98" s="3" t="s">
        <v>97</v>
      </c>
      <c r="C98" s="4" t="str">
        <f ca="1">IFERROR(__xludf.DUMMYFUNCTION("GOOGLETRANSLATE(B98,""ar"",""en"")"),"I spoke about the rings")</f>
        <v>I spoke about the rings</v>
      </c>
      <c r="D98" s="5">
        <v>1</v>
      </c>
      <c r="E98" s="3">
        <v>0</v>
      </c>
    </row>
    <row r="99" spans="1:5" ht="15.75" customHeight="1" x14ac:dyDescent="0.2">
      <c r="A99" s="6">
        <v>371</v>
      </c>
      <c r="B99" s="7" t="s">
        <v>98</v>
      </c>
      <c r="C99" s="8" t="str">
        <f ca="1">IFERROR(__xludf.DUMMYFUNCTION("GOOGLETRANSLATE(B99,""ar"",""en"")"),"Divorce")</f>
        <v>Divorce</v>
      </c>
      <c r="D99" s="9">
        <v>1</v>
      </c>
      <c r="E99" s="3">
        <v>0</v>
      </c>
    </row>
    <row r="100" spans="1:5" ht="15.75" customHeight="1" x14ac:dyDescent="0.2">
      <c r="A100" s="2">
        <v>375</v>
      </c>
      <c r="B100" s="3" t="s">
        <v>99</v>
      </c>
      <c r="C100" s="4" t="str">
        <f ca="1">IFERROR(__xludf.DUMMYFUNCTION("GOOGLETRANSLATE(B100,""ar"",""en"")"),"It was close to ring very important who is the subject of circumcision")</f>
        <v>It was close to ring very important who is the subject of circumcision</v>
      </c>
      <c r="D100" s="9">
        <v>1</v>
      </c>
      <c r="E100" s="7">
        <v>1</v>
      </c>
    </row>
    <row r="101" spans="1:5" ht="15.75" customHeight="1" x14ac:dyDescent="0.2">
      <c r="A101" s="6">
        <v>378</v>
      </c>
      <c r="B101" s="7" t="s">
        <v>100</v>
      </c>
      <c r="C101" s="8" t="str">
        <f ca="1">IFERROR(__xludf.DUMMYFUNCTION("GOOGLETRANSLATE(B101,""ar"",""en"")"),"The abduction of cases, rape and things like that")</f>
        <v>The abduction of cases, rape and things like that</v>
      </c>
      <c r="D101" s="9">
        <v>1</v>
      </c>
      <c r="E101" s="3">
        <v>0</v>
      </c>
    </row>
    <row r="102" spans="1:5" ht="15.75" customHeight="1" x14ac:dyDescent="0.2">
      <c r="A102" s="2">
        <v>380</v>
      </c>
      <c r="B102" s="3" t="s">
        <v>101</v>
      </c>
      <c r="C102" s="4" t="str">
        <f ca="1">IFERROR(__xludf.DUMMYFUNCTION("GOOGLETRANSLATE(B102,""ar"",""en"")"),"Historical models for women pioneers - legal advice")</f>
        <v>Historical models for women pioneers - legal advice</v>
      </c>
      <c r="D102" s="5">
        <v>1</v>
      </c>
      <c r="E102" s="3">
        <v>0</v>
      </c>
    </row>
    <row r="103" spans="1:5" ht="15.75" customHeight="1" x14ac:dyDescent="0.2">
      <c r="A103" s="6">
        <v>384</v>
      </c>
      <c r="B103" s="7" t="s">
        <v>102</v>
      </c>
      <c r="C103" s="8" t="str">
        <f ca="1">IFERROR(__xludf.DUMMYFUNCTION("GOOGLETRANSLATE(B103,""ar"",""en"")"),"Women and women's empowerment and personal skills and dealing with men and harassers successful women")</f>
        <v>Women and women's empowerment and personal skills and dealing with men and harassers successful women</v>
      </c>
      <c r="D103" s="9">
        <v>1</v>
      </c>
      <c r="E103" s="3">
        <v>0</v>
      </c>
    </row>
    <row r="104" spans="1:5" ht="15.75" customHeight="1" x14ac:dyDescent="0.2">
      <c r="A104" s="2">
        <v>386</v>
      </c>
      <c r="B104" s="3" t="s">
        <v>103</v>
      </c>
      <c r="C104" s="4" t="str">
        <f ca="1">IFERROR(__xludf.DUMMYFUNCTION("GOOGLETRANSLATE(B104,""ar"",""en"")"),"About sexual harassment. And the impact of women's work Kurna")</f>
        <v>About sexual harassment. And the impact of women's work Kurna</v>
      </c>
      <c r="D104" s="5">
        <v>1</v>
      </c>
      <c r="E104" s="3">
        <v>0</v>
      </c>
    </row>
    <row r="105" spans="1:5" ht="15.75" customHeight="1" x14ac:dyDescent="0.2">
      <c r="A105" s="6">
        <v>387</v>
      </c>
      <c r="B105" s="7" t="s">
        <v>104</v>
      </c>
      <c r="C105" s="8" t="str">
        <f ca="1">IFERROR(__xludf.DUMMYFUNCTION("GOOGLETRANSLATE(B105,""ar"",""en"")"),"Slimming and self-confidence and personal patterns and all episodes")</f>
        <v>Slimming and self-confidence and personal patterns and all episodes</v>
      </c>
      <c r="D105" s="9">
        <v>1</v>
      </c>
      <c r="E105" s="3">
        <v>0</v>
      </c>
    </row>
    <row r="106" spans="1:5" ht="15.75" customHeight="1" x14ac:dyDescent="0.2">
      <c r="A106" s="2">
        <v>397</v>
      </c>
      <c r="B106" s="3" t="s">
        <v>105</v>
      </c>
      <c r="C106" s="4" t="str">
        <f ca="1">IFERROR(__xludf.DUMMYFUNCTION("GOOGLETRANSLATE(B106,""ar"",""en"")"),"The issue of female genital mutilation")</f>
        <v>The issue of female genital mutilation</v>
      </c>
      <c r="D106" s="5">
        <v>1</v>
      </c>
      <c r="E106" s="3">
        <v>0</v>
      </c>
    </row>
    <row r="107" spans="1:5" ht="15.75" customHeight="1" x14ac:dyDescent="0.2">
      <c r="A107" s="6">
        <v>401</v>
      </c>
      <c r="B107" s="7" t="s">
        <v>106</v>
      </c>
      <c r="C107" s="8" t="str">
        <f ca="1">IFERROR(__xludf.DUMMYFUNCTION("GOOGLETRANSLATE(B107,""ar"",""en"")"),"Nsaih for women and attitudes Nihad Life")</f>
        <v>Nsaih for women and attitudes Nihad Life</v>
      </c>
      <c r="D107" s="9">
        <v>1</v>
      </c>
      <c r="E107" s="3">
        <v>0</v>
      </c>
    </row>
    <row r="108" spans="1:5" ht="15.75" customHeight="1" x14ac:dyDescent="0.2">
      <c r="A108" s="2">
        <v>406</v>
      </c>
      <c r="B108" s="3" t="s">
        <v>107</v>
      </c>
      <c r="C108" s="4" t="str">
        <f ca="1">IFERROR(__xludf.DUMMYFUNCTION("GOOGLETRANSLATE(B108,""ar"",""en"")"),"Women's Issues")</f>
        <v>Women's Issues</v>
      </c>
      <c r="D108" s="5">
        <v>1</v>
      </c>
      <c r="E108" s="3">
        <v>0</v>
      </c>
    </row>
    <row r="109" spans="1:5" ht="15.75" customHeight="1" x14ac:dyDescent="0.2">
      <c r="A109" s="6">
        <v>407</v>
      </c>
      <c r="B109" s="7" t="s">
        <v>108</v>
      </c>
      <c r="C109" s="8" t="str">
        <f ca="1">IFERROR(__xludf.DUMMYFUNCTION("GOOGLETRANSLATE(B109,""ar"",""en"")"),"Useful and meaningful")</f>
        <v>Useful and meaningful</v>
      </c>
      <c r="D109" s="9">
        <v>1</v>
      </c>
      <c r="E109" s="7">
        <v>1</v>
      </c>
    </row>
    <row r="110" spans="1:5" ht="15.75" customHeight="1" x14ac:dyDescent="0.2">
      <c r="A110" s="2">
        <v>417</v>
      </c>
      <c r="B110" s="3" t="s">
        <v>109</v>
      </c>
      <c r="C110" s="4" t="str">
        <f ca="1">IFERROR(__xludf.DUMMYFUNCTION("GOOGLETRANSLATE(B110,""ar"",""en"")"),"Circumcision and domestic violence")</f>
        <v>Circumcision and domestic violence</v>
      </c>
      <c r="D110" s="5">
        <v>1</v>
      </c>
      <c r="E110" s="3">
        <v>0</v>
      </c>
    </row>
    <row r="111" spans="1:5" ht="15.75" customHeight="1" x14ac:dyDescent="0.2">
      <c r="A111" s="6">
        <v>418</v>
      </c>
      <c r="B111" s="7" t="s">
        <v>110</v>
      </c>
      <c r="C111" s="8" t="str">
        <f ca="1">IFERROR(__xludf.DUMMYFUNCTION("GOOGLETRANSLATE(B111,""ar"",""en"")"),"Content for the family and the problems of violence against children")</f>
        <v>Content for the family and the problems of violence against children</v>
      </c>
      <c r="D111" s="9">
        <v>1</v>
      </c>
      <c r="E111" s="3">
        <v>0</v>
      </c>
    </row>
    <row r="112" spans="1:5" ht="15.75" customHeight="1" x14ac:dyDescent="0.2">
      <c r="A112" s="2">
        <v>424</v>
      </c>
      <c r="B112" s="3" t="s">
        <v>111</v>
      </c>
      <c r="C112" s="4" t="str">
        <f ca="1">IFERROR(__xludf.DUMMYFUNCTION("GOOGLETRANSLATE(B112,""ar"",""en"")"),"See the children after separation")</f>
        <v>See the children after separation</v>
      </c>
      <c r="D112" s="5">
        <v>1</v>
      </c>
      <c r="E112" s="3">
        <v>0</v>
      </c>
    </row>
    <row r="113" spans="1:5" ht="15.75" customHeight="1" x14ac:dyDescent="0.2">
      <c r="A113" s="6">
        <v>435</v>
      </c>
      <c r="B113" s="7" t="s">
        <v>112</v>
      </c>
      <c r="C113" s="8" t="str">
        <f ca="1">IFERROR(__xludf.DUMMYFUNCTION("GOOGLETRANSLATE(B113,""ar"",""en"")"),"Excellent light on the heart Bauaa women are particularly useful for all people")</f>
        <v>Excellent light on the heart Bauaa women are particularly useful for all people</v>
      </c>
      <c r="D113" s="9">
        <v>1</v>
      </c>
      <c r="E113" s="7">
        <v>1</v>
      </c>
    </row>
    <row r="114" spans="1:5" ht="15.75" customHeight="1" x14ac:dyDescent="0.2">
      <c r="A114" s="2">
        <v>436</v>
      </c>
      <c r="B114" s="3" t="s">
        <v>113</v>
      </c>
      <c r="C114" s="4" t="str">
        <f ca="1">IFERROR(__xludf.DUMMYFUNCTION("GOOGLETRANSLATE(B114,""ar"",""en"")"),"Rape. Violence against Almroh.hce drain. The book was written legitimacy")</f>
        <v>Rape. Violence against Almroh.hce drain. The book was written legitimacy</v>
      </c>
      <c r="D114" s="5">
        <v>1</v>
      </c>
      <c r="E114" s="3">
        <v>0</v>
      </c>
    </row>
    <row r="115" spans="1:5" ht="15.75" customHeight="1" x14ac:dyDescent="0.2">
      <c r="A115" s="6">
        <v>438</v>
      </c>
      <c r="B115" s="7" t="s">
        <v>114</v>
      </c>
      <c r="C115" s="8" t="str">
        <f ca="1">IFERROR(__xludf.DUMMYFUNCTION("GOOGLETRANSLATE(B115,""ar"",""en"")"),"The legal aspect of women's problems")</f>
        <v>The legal aspect of women's problems</v>
      </c>
      <c r="D115" s="9">
        <v>1</v>
      </c>
      <c r="E115" s="3">
        <v>0</v>
      </c>
    </row>
    <row r="116" spans="1:5" ht="15.75" customHeight="1" x14ac:dyDescent="0.2">
      <c r="A116" s="2">
        <v>447</v>
      </c>
      <c r="B116" s="3" t="s">
        <v>115</v>
      </c>
      <c r="C116" s="4" t="str">
        <f ca="1">IFERROR(__xludf.DUMMYFUNCTION("GOOGLETRANSLATE(B116,""ar"",""en"")"),"Remember the name of Ahallgah as it was Asmmha Zusband Aaltavha and Oouhddh Tani was Asmmha Authorized and Bbnty")</f>
        <v>Remember the name of Ahallgah as it was Asmmha Zusband Aaltavha and Oouhddh Tani was Asmmha Authorized and Bbnty</v>
      </c>
      <c r="D116" s="5">
        <v>1</v>
      </c>
      <c r="E116" s="3">
        <v>0</v>
      </c>
    </row>
    <row r="117" spans="1:5" ht="15.75" customHeight="1" x14ac:dyDescent="0.2">
      <c r="A117" s="6">
        <v>457</v>
      </c>
      <c r="B117" s="7" t="s">
        <v>116</v>
      </c>
      <c r="C117" s="8" t="str">
        <f ca="1">IFERROR(__xludf.DUMMYFUNCTION("GOOGLETRANSLATE(B117,""ar"",""en"")"),"The content is very meaningful to support and encourage women and the situation after króna")</f>
        <v>The content is very meaningful to support and encourage women and the situation after króna</v>
      </c>
      <c r="D117" s="9">
        <v>1</v>
      </c>
      <c r="E117" s="7">
        <v>1</v>
      </c>
    </row>
    <row r="118" spans="1:5" ht="15.75" customHeight="1" x14ac:dyDescent="0.2">
      <c r="A118" s="2">
        <v>458</v>
      </c>
      <c r="B118" s="3" t="s">
        <v>117</v>
      </c>
      <c r="C118" s="4" t="str">
        <f ca="1">IFERROR(__xludf.DUMMYFUNCTION("GOOGLETRANSLATE(B118,""ar"",""en"")"),"Women's rights")</f>
        <v>Women's rights</v>
      </c>
      <c r="D118" s="5">
        <v>1</v>
      </c>
      <c r="E118" s="3">
        <v>0</v>
      </c>
    </row>
    <row r="119" spans="1:5" ht="15.75" customHeight="1" x14ac:dyDescent="0.2">
      <c r="A119" s="6">
        <v>460</v>
      </c>
      <c r="B119" s="7" t="s">
        <v>118</v>
      </c>
      <c r="C119" s="8" t="str">
        <f ca="1">IFERROR(__xludf.DUMMYFUNCTION("GOOGLETRANSLATE(B119,""ar"",""en"")"),"Harassment in the work and how it can be cured and I am still not convinced as well as the impact of the virus crowns and home and work and conciliation Pinhmbbed solutions")</f>
        <v>Harassment in the work and how it can be cured and I am still not convinced as well as the impact of the virus crowns and home and work and conciliation Pinhmbbed solutions</v>
      </c>
      <c r="D119" s="9">
        <v>1</v>
      </c>
      <c r="E119" s="3">
        <v>0</v>
      </c>
    </row>
    <row r="120" spans="1:5" ht="15.75" customHeight="1" x14ac:dyDescent="0.2">
      <c r="A120" s="2">
        <v>462</v>
      </c>
      <c r="B120" s="3" t="s">
        <v>119</v>
      </c>
      <c r="C120" s="4" t="str">
        <f ca="1">IFERROR(__xludf.DUMMYFUNCTION("GOOGLETRANSLATE(B120,""ar"",""en"")"),"They filled about women Amaaha children in Egypt and that the six who sometimes Perfadwa progress for the job the first thing to know that a child Amaaha")</f>
        <v>They filled about women Amaaha children in Egypt and that the six who sometimes Perfadwa progress for the job the first thing to know that a child Amaaha</v>
      </c>
      <c r="D120" s="5">
        <v>1</v>
      </c>
      <c r="E120" s="3">
        <v>0</v>
      </c>
    </row>
    <row r="121" spans="1:5" ht="15.75" customHeight="1" x14ac:dyDescent="0.2">
      <c r="A121" s="6">
        <v>466</v>
      </c>
      <c r="B121" s="7" t="s">
        <v>120</v>
      </c>
      <c r="C121" s="8" t="str">
        <f ca="1">IFERROR(__xludf.DUMMYFUNCTION("GOOGLETRANSLATE(B121,""ar"",""en"")"),"Women's Issues Achtsab and hit")</f>
        <v>Women's Issues Achtsab and hit</v>
      </c>
      <c r="D121" s="9">
        <v>1</v>
      </c>
      <c r="E121" s="3">
        <v>0</v>
      </c>
    </row>
    <row r="122" spans="1:5" ht="15.75" customHeight="1" x14ac:dyDescent="0.2">
      <c r="A122" s="2">
        <v>467</v>
      </c>
      <c r="B122" s="3" t="s">
        <v>121</v>
      </c>
      <c r="C122" s="4" t="str">
        <f ca="1">IFERROR(__xludf.DUMMYFUNCTION("GOOGLETRANSLATE(B122,""ar"",""en"")"),"Women under the threat of divorce")</f>
        <v>Women under the threat of divorce</v>
      </c>
      <c r="D122" s="5">
        <v>1</v>
      </c>
      <c r="E122" s="3">
        <v>0</v>
      </c>
    </row>
    <row r="123" spans="1:5" ht="15.75" customHeight="1" x14ac:dyDescent="0.2">
      <c r="A123" s="6">
        <v>470</v>
      </c>
      <c r="B123" s="7" t="s">
        <v>122</v>
      </c>
      <c r="C123" s="8" t="str">
        <f ca="1">IFERROR(__xludf.DUMMYFUNCTION("GOOGLETRANSLATE(B123,""ar"",""en"")"),"Harassment and cases of violence against women")</f>
        <v>Harassment and cases of violence against women</v>
      </c>
      <c r="D123" s="9">
        <v>1</v>
      </c>
      <c r="E123" s="3">
        <v>0</v>
      </c>
    </row>
    <row r="124" spans="1:5" ht="15.75" customHeight="1" x14ac:dyDescent="0.2">
      <c r="A124" s="2">
        <v>472</v>
      </c>
      <c r="B124" s="3" t="s">
        <v>123</v>
      </c>
      <c r="C124" s="4" t="str">
        <f ca="1">IFERROR(__xludf.DUMMYFUNCTION("GOOGLETRANSLATE(B124,""ar"",""en"")"),"As fanatically Mabshovc veterans and Jawazh Altanih importance of the work of Alemraeh I'm not the guy")</f>
        <v>As fanatically Mabshovc veterans and Jawazh Altanih importance of the work of Alemraeh I'm not the guy</v>
      </c>
      <c r="D124" s="5">
        <v>1</v>
      </c>
      <c r="E124" s="3">
        <v>0</v>
      </c>
    </row>
    <row r="125" spans="1:5" ht="15.75" customHeight="1" x14ac:dyDescent="0.2">
      <c r="A125" s="6">
        <v>473</v>
      </c>
      <c r="B125" s="7" t="s">
        <v>124</v>
      </c>
      <c r="C125" s="8" t="str">
        <f ca="1">IFERROR(__xludf.DUMMYFUNCTION("GOOGLETRANSLATE(B125,""ar"",""en"")"),"General problems or women or legal inquiries malleable")</f>
        <v>General problems or women or legal inquiries malleable</v>
      </c>
      <c r="D125" s="9">
        <v>1</v>
      </c>
      <c r="E125" s="3">
        <v>0</v>
      </c>
    </row>
    <row r="126" spans="1:5" ht="15.75" customHeight="1" x14ac:dyDescent="0.2">
      <c r="A126" s="2">
        <v>479</v>
      </c>
      <c r="B126" s="3" t="s">
        <v>125</v>
      </c>
      <c r="C126" s="4" t="str">
        <f ca="1">IFERROR(__xludf.DUMMYFUNCTION("GOOGLETRANSLATE(B126,""ar"",""en"")"),"Circumcision")</f>
        <v>Circumcision</v>
      </c>
      <c r="D126" s="5">
        <v>1</v>
      </c>
      <c r="E126" s="3">
        <v>0</v>
      </c>
    </row>
    <row r="127" spans="1:5" ht="15.75" customHeight="1" x14ac:dyDescent="0.2">
      <c r="A127" s="6">
        <v>487</v>
      </c>
      <c r="B127" s="7" t="s">
        <v>126</v>
      </c>
      <c r="C127" s="8" t="str">
        <f ca="1">IFERROR(__xludf.DUMMYFUNCTION("GOOGLETRANSLATE(B127,""ar"",""en"")"),"The laws and Kasai Makhlah limit Astgguelna and talk about real estate")</f>
        <v>The laws and Kasai Makhlah limit Astgguelna and talk about real estate</v>
      </c>
      <c r="D127" s="9">
        <v>1</v>
      </c>
      <c r="E127" s="3">
        <v>0</v>
      </c>
    </row>
    <row r="128" spans="1:5" ht="15.75" customHeight="1" x14ac:dyDescent="0.2">
      <c r="A128" s="2">
        <v>490</v>
      </c>
      <c r="B128" s="3" t="s">
        <v>127</v>
      </c>
      <c r="C128" s="4" t="str">
        <f ca="1">IFERROR(__xludf.DUMMYFUNCTION("GOOGLETRANSLATE(B128,""ar"",""en"")"),"Customary marriage and the case for a second Zouhh")</f>
        <v>Customary marriage and the case for a second Zouhh</v>
      </c>
      <c r="D128" s="5">
        <v>1</v>
      </c>
      <c r="E128" s="3">
        <v>0</v>
      </c>
    </row>
    <row r="129" spans="1:5" ht="15.75" customHeight="1" x14ac:dyDescent="0.2">
      <c r="A129" s="6">
        <v>504</v>
      </c>
      <c r="B129" s="7" t="s">
        <v>128</v>
      </c>
      <c r="C129" s="8" t="str">
        <f ca="1">IFERROR(__xludf.DUMMYFUNCTION("GOOGLETRANSLATE(B129,""ar"",""en"")"),"Women's rights and issues and how the solution")</f>
        <v>Women's rights and issues and how the solution</v>
      </c>
      <c r="D129" s="9">
        <v>1</v>
      </c>
      <c r="E129" s="3">
        <v>0</v>
      </c>
    </row>
    <row r="130" spans="1:5" ht="15.75" customHeight="1" x14ac:dyDescent="0.2">
      <c r="A130" s="2">
        <v>509</v>
      </c>
      <c r="B130" s="3" t="s">
        <v>129</v>
      </c>
      <c r="C130" s="4" t="str">
        <f ca="1">IFERROR(__xludf.DUMMYFUNCTION("GOOGLETRANSLATE(B130,""ar"",""en"")"),"All episodes legal information and life Mmtaaaaaaaazh")</f>
        <v>All episodes legal information and life Mmtaaaaaaaazh</v>
      </c>
      <c r="D130" s="5">
        <v>1</v>
      </c>
      <c r="E130" s="3">
        <v>0</v>
      </c>
    </row>
    <row r="131" spans="1:5" ht="15.75" customHeight="1" x14ac:dyDescent="0.2">
      <c r="A131" s="6">
        <v>519</v>
      </c>
      <c r="B131" s="7" t="s">
        <v>130</v>
      </c>
      <c r="C131" s="8" t="str">
        <f ca="1">IFERROR(__xludf.DUMMYFUNCTION("GOOGLETRANSLATE(B131,""ar"",""en"")"),"Harassment, rape and violence of women from the direction pair the importance of working for women and divorce, divorce, and the difference between them")</f>
        <v>Harassment, rape and violence of women from the direction pair the importance of working for women and divorce, divorce, and the difference between them</v>
      </c>
      <c r="D131" s="9">
        <v>1</v>
      </c>
      <c r="E131" s="3">
        <v>0</v>
      </c>
    </row>
    <row r="132" spans="1:5" ht="15.75" customHeight="1" x14ac:dyDescent="0.2">
      <c r="A132" s="2">
        <v>525</v>
      </c>
      <c r="B132" s="3" t="s">
        <v>131</v>
      </c>
      <c r="C132" s="4" t="str">
        <f ca="1">IFERROR(__xludf.DUMMYFUNCTION("GOOGLETRANSLATE(B132,""ar"",""en"")"),"The subject of harassment after a very true and advised me")</f>
        <v>The subject of harassment after a very true and advised me</v>
      </c>
      <c r="D132" s="5">
        <v>1</v>
      </c>
      <c r="E132" s="3">
        <v>0</v>
      </c>
    </row>
    <row r="133" spans="1:5" ht="15.75" customHeight="1" x14ac:dyDescent="0.2">
      <c r="A133" s="6">
        <v>526</v>
      </c>
      <c r="B133" s="7" t="s">
        <v>132</v>
      </c>
      <c r="C133" s="8" t="str">
        <f ca="1">IFERROR(__xludf.DUMMYFUNCTION("GOOGLETRANSLATE(B133,""ar"",""en"")"),"Make-up / relationship with her children / divorce in America")</f>
        <v>Make-up / relationship with her children / divorce in America</v>
      </c>
      <c r="D133" s="9">
        <v>1</v>
      </c>
      <c r="E133" s="3">
        <v>0</v>
      </c>
    </row>
    <row r="134" spans="1:5" ht="15.75" customHeight="1" x14ac:dyDescent="0.2">
      <c r="A134" s="2">
        <v>527</v>
      </c>
      <c r="B134" s="3" t="s">
        <v>133</v>
      </c>
      <c r="C134" s="4" t="str">
        <f ca="1">IFERROR(__xludf.DUMMYFUNCTION("GOOGLETRANSLATE(B134,""ar"",""en"")"),"Harassment")</f>
        <v>Harassment</v>
      </c>
      <c r="D134" s="5">
        <v>1</v>
      </c>
      <c r="E134" s="3">
        <v>0</v>
      </c>
    </row>
    <row r="135" spans="1:5" ht="15.75" customHeight="1" x14ac:dyDescent="0.2">
      <c r="A135" s="6">
        <v>537</v>
      </c>
      <c r="B135" s="7" t="s">
        <v>134</v>
      </c>
      <c r="C135" s="8" t="str">
        <f ca="1">IFERROR(__xludf.DUMMYFUNCTION("GOOGLETRANSLATE(B135,""ar"",""en"")"),"Dealing between the betrothed")</f>
        <v>Dealing between the betrothed</v>
      </c>
      <c r="D135" s="9">
        <v>1</v>
      </c>
      <c r="E135" s="3">
        <v>0</v>
      </c>
    </row>
    <row r="136" spans="1:5" ht="15.75" customHeight="1" x14ac:dyDescent="0.2">
      <c r="A136" s="2">
        <v>538</v>
      </c>
      <c r="B136" s="3" t="s">
        <v>135</v>
      </c>
      <c r="C136" s="4" t="str">
        <f ca="1">IFERROR(__xludf.DUMMYFUNCTION("GOOGLETRANSLATE(B136,""ar"",""en"")"),"Wives, which is not complete and experiences professor know my nation, you know that the man with his wife mesh Hikml")</f>
        <v>Wives, which is not complete and experiences professor know my nation, you know that the man with his wife mesh Hikml</v>
      </c>
      <c r="D136" s="5">
        <v>1</v>
      </c>
      <c r="E136" s="3">
        <v>0</v>
      </c>
    </row>
    <row r="137" spans="1:5" ht="15.75" customHeight="1" x14ac:dyDescent="0.2">
      <c r="A137" s="6">
        <v>540</v>
      </c>
      <c r="B137" s="7" t="s">
        <v>136</v>
      </c>
      <c r="C137" s="8" t="str">
        <f ca="1">IFERROR(__xludf.DUMMYFUNCTION("GOOGLETRANSLATE(B137,""ar"",""en"")"),"From Kasai deal legally p harassment")</f>
        <v>From Kasai deal legally p harassment</v>
      </c>
      <c r="D137" s="9">
        <v>1</v>
      </c>
      <c r="E137" s="3">
        <v>0</v>
      </c>
    </row>
    <row r="138" spans="1:5" ht="15.75" customHeight="1" x14ac:dyDescent="0.2">
      <c r="A138" s="2">
        <v>541</v>
      </c>
      <c r="B138" s="3" t="s">
        <v>137</v>
      </c>
      <c r="C138" s="4" t="str">
        <f ca="1">IFERROR(__xludf.DUMMYFUNCTION("GOOGLETRANSLATE(B138,""ar"",""en"")"),"Petklm positions exposed women and how to deal with it")</f>
        <v>Petklm positions exposed women and how to deal with it</v>
      </c>
      <c r="D138" s="5">
        <v>1</v>
      </c>
      <c r="E138" s="3">
        <v>0</v>
      </c>
    </row>
    <row r="139" spans="1:5" ht="15.75" customHeight="1" x14ac:dyDescent="0.2">
      <c r="A139" s="6">
        <v>544</v>
      </c>
      <c r="B139" s="7" t="s">
        <v>22</v>
      </c>
      <c r="C139" s="8" t="str">
        <f ca="1">IFERROR(__xludf.DUMMYFUNCTION("GOOGLETRANSLATE(B139,""ar"",""en"")"),"Harassment")</f>
        <v>Harassment</v>
      </c>
      <c r="D139" s="9">
        <v>1</v>
      </c>
      <c r="E139" s="3">
        <v>0</v>
      </c>
    </row>
    <row r="140" spans="1:5" ht="15.75" customHeight="1" x14ac:dyDescent="0.2">
      <c r="A140" s="2">
        <v>549</v>
      </c>
      <c r="B140" s="3" t="s">
        <v>138</v>
      </c>
      <c r="C140" s="4" t="str">
        <f ca="1">IFERROR(__xludf.DUMMYFUNCTION("GOOGLETRANSLATE(B140,""ar"",""en"")"),"Human rights in the case of violence pair with me")</f>
        <v>Human rights in the case of violence pair with me</v>
      </c>
      <c r="D140" s="5">
        <v>1</v>
      </c>
      <c r="E140" s="3">
        <v>0</v>
      </c>
    </row>
    <row r="141" spans="1:5" ht="15.75" customHeight="1" x14ac:dyDescent="0.2">
      <c r="A141" s="6">
        <v>551</v>
      </c>
      <c r="B141" s="7" t="s">
        <v>139</v>
      </c>
      <c r="C141" s="8" t="str">
        <f ca="1">IFERROR(__xludf.DUMMYFUNCTION("GOOGLETRANSLATE(B141,""ar"",""en"")"),"One of the episodes were about Worldwide Kasai if I knew that I deal to veterans harasser")</f>
        <v>One of the episodes were about Worldwide Kasai if I knew that I deal to veterans harasser</v>
      </c>
      <c r="D141" s="9">
        <v>1</v>
      </c>
      <c r="E141" s="3">
        <v>0</v>
      </c>
    </row>
    <row r="142" spans="1:5" ht="15.75" customHeight="1" x14ac:dyDescent="0.2">
      <c r="A142" s="2">
        <v>552</v>
      </c>
      <c r="B142" s="3" t="s">
        <v>140</v>
      </c>
      <c r="C142" s="4" t="str">
        <f ca="1">IFERROR(__xludf.DUMMYFUNCTION("GOOGLETRANSLATE(B142,""ar"",""en"")"),"Two sisters girls")</f>
        <v>Two sisters girls</v>
      </c>
      <c r="D142" s="5">
        <v>1</v>
      </c>
      <c r="E142" s="3">
        <v>0</v>
      </c>
    </row>
    <row r="143" spans="1:5" ht="15.75" customHeight="1" x14ac:dyDescent="0.2">
      <c r="A143" s="2">
        <v>31</v>
      </c>
      <c r="B143" s="3" t="s">
        <v>9</v>
      </c>
      <c r="C143" s="4" t="str">
        <f ca="1">IFERROR(__xludf.DUMMYFUNCTION("GOOGLETRANSLATE(B8,""ar"",""en"")"),"good")</f>
        <v>good</v>
      </c>
      <c r="D143" s="5">
        <v>1</v>
      </c>
      <c r="E143" s="3">
        <v>0</v>
      </c>
    </row>
    <row r="144" spans="1:5" ht="15.75" customHeight="1" x14ac:dyDescent="0.2">
      <c r="A144" s="2">
        <v>559</v>
      </c>
      <c r="B144" s="3" t="s">
        <v>141</v>
      </c>
      <c r="C144" s="4" t="str">
        <f ca="1">IFERROR(__xludf.DUMMYFUNCTION("GOOGLETRANSLATE(B144,""ar"",""en"")"),"Workshops on the success of models for women in different fields and workshops on legal awareness for women and to educate women on how to deal with her husband in certain situations")</f>
        <v>Workshops on the success of models for women in different fields and workshops on legal awareness for women and to educate women on how to deal with her husband in certain situations</v>
      </c>
      <c r="D144" s="5">
        <v>1</v>
      </c>
      <c r="E144" s="3">
        <v>0</v>
      </c>
    </row>
    <row r="145" spans="1:5" ht="15.75" customHeight="1" x14ac:dyDescent="0.2">
      <c r="A145" s="6">
        <v>565</v>
      </c>
      <c r="B145" s="7" t="s">
        <v>142</v>
      </c>
      <c r="C145" s="8" t="str">
        <f ca="1">IFERROR(__xludf.DUMMYFUNCTION("GOOGLETRANSLATE(B145,""ar"",""en"")"),"Divorced")</f>
        <v>Divorced</v>
      </c>
      <c r="D145" s="9">
        <v>1</v>
      </c>
      <c r="E145" s="3">
        <v>0</v>
      </c>
    </row>
    <row r="146" spans="1:5" ht="15.75" customHeight="1" x14ac:dyDescent="0.2">
      <c r="A146" s="2">
        <v>574</v>
      </c>
      <c r="B146" s="3" t="s">
        <v>143</v>
      </c>
      <c r="C146" s="4" t="str">
        <f ca="1">IFERROR(__xludf.DUMMYFUNCTION("GOOGLETRANSLATE(B146,""ar"",""en"")"),"Answer questions and tips provided by")</f>
        <v>Answer questions and tips provided by</v>
      </c>
      <c r="D146" s="5">
        <v>1</v>
      </c>
      <c r="E146" s="3">
        <v>0</v>
      </c>
    </row>
    <row r="147" spans="1:5" ht="15.75" customHeight="1" x14ac:dyDescent="0.2">
      <c r="A147" s="6">
        <v>227</v>
      </c>
      <c r="B147" s="7" t="s">
        <v>9</v>
      </c>
      <c r="C147" s="8" t="str">
        <f ca="1">IFERROR(__xludf.DUMMYFUNCTION("GOOGLETRANSLATE(B61,""ar"",""en"")"),"good")</f>
        <v>good</v>
      </c>
      <c r="D147" s="9">
        <v>1</v>
      </c>
      <c r="E147" s="7">
        <v>1</v>
      </c>
    </row>
    <row r="148" spans="1:5" ht="15.75" customHeight="1" x14ac:dyDescent="0.2">
      <c r="A148" s="6">
        <v>556</v>
      </c>
      <c r="B148" s="7" t="s">
        <v>9</v>
      </c>
      <c r="C148" s="8" t="str">
        <f ca="1">IFERROR(__xludf.DUMMYFUNCTION("GOOGLETRANSLATE(B143,""ar"",""en"")"),"good")</f>
        <v>good</v>
      </c>
      <c r="D148" s="9">
        <v>1</v>
      </c>
      <c r="E148" s="7">
        <v>1</v>
      </c>
    </row>
    <row r="149" spans="1:5" ht="15.75" customHeight="1" x14ac:dyDescent="0.2">
      <c r="A149" s="6">
        <v>598</v>
      </c>
      <c r="B149" s="7" t="s">
        <v>144</v>
      </c>
      <c r="C149" s="8" t="str">
        <f ca="1">IFERROR(__xludf.DUMMYFUNCTION("GOOGLETRANSLATE(B149,""ar"",""en"")"),"Underage marriage and female circumcision and tips Elly I am not for your presence Ptdaha Ahan remain strong and know the face of society")</f>
        <v>Underage marriage and female circumcision and tips Elly I am not for your presence Ptdaha Ahan remain strong and know the face of society</v>
      </c>
      <c r="D149" s="9">
        <v>1</v>
      </c>
      <c r="E149" s="3">
        <v>0</v>
      </c>
    </row>
    <row r="150" spans="1:5" ht="15.75" customHeight="1" x14ac:dyDescent="0.2">
      <c r="A150" s="2">
        <v>599</v>
      </c>
      <c r="B150" s="3" t="s">
        <v>145</v>
      </c>
      <c r="C150" s="4" t="str">
        <f ca="1">IFERROR(__xludf.DUMMYFUNCTION("GOOGLETRANSLATE(B150,""ar"",""en"")"),"Ring of female genital mutilation")</f>
        <v>Ring of female genital mutilation</v>
      </c>
      <c r="D150" s="5">
        <v>1</v>
      </c>
      <c r="E150" s="3">
        <v>0</v>
      </c>
    </row>
    <row r="151" spans="1:5" ht="15.75" customHeight="1" x14ac:dyDescent="0.2">
      <c r="A151" s="6">
        <v>600</v>
      </c>
      <c r="B151" s="7" t="s">
        <v>146</v>
      </c>
      <c r="C151" s="8" t="str">
        <f ca="1">IFERROR(__xludf.DUMMYFUNCTION("GOOGLETRANSLATE(B151,""ar"",""en"")"),"For domestic violence")</f>
        <v>For domestic violence</v>
      </c>
      <c r="D151" s="9">
        <v>1</v>
      </c>
      <c r="E151" s="3">
        <v>0</v>
      </c>
    </row>
    <row r="152" spans="1:5" ht="15.75" customHeight="1" x14ac:dyDescent="0.2">
      <c r="A152" s="2">
        <v>604</v>
      </c>
      <c r="B152" s="3" t="s">
        <v>147</v>
      </c>
      <c r="C152" s="4" t="str">
        <f ca="1">IFERROR(__xludf.DUMMYFUNCTION("GOOGLETRANSLATE(B152,""ar"",""en"")"),"Very meaningful and Bisod awareness of women and their rights in society")</f>
        <v>Very meaningful and Bisod awareness of women and their rights in society</v>
      </c>
      <c r="D152" s="5">
        <v>1</v>
      </c>
      <c r="E152" s="3">
        <v>0</v>
      </c>
    </row>
    <row r="153" spans="1:5" ht="15.75" customHeight="1" x14ac:dyDescent="0.2">
      <c r="A153" s="6">
        <v>605</v>
      </c>
      <c r="B153" s="7" t="s">
        <v>148</v>
      </c>
      <c r="C153" s="8" t="str">
        <f ca="1">IFERROR(__xludf.DUMMYFUNCTION("GOOGLETRANSLATE(B153,""ar"",""en"")"),"Program highlights a women's Balqy Al tales for young women and women and through their success and obstacles to met and Balqy problems to light Al Ptusband generally women in Egypt")</f>
        <v>Program highlights a women's Balqy Al tales for young women and women and through their success and obstacles to met and Balqy problems to light Al Ptusband generally women in Egypt</v>
      </c>
      <c r="D153" s="9">
        <v>1</v>
      </c>
      <c r="E153" s="3">
        <v>0</v>
      </c>
    </row>
    <row r="154" spans="1:5" ht="15.75" customHeight="1" x14ac:dyDescent="0.2">
      <c r="A154" s="2">
        <v>612</v>
      </c>
      <c r="B154" s="3" t="s">
        <v>149</v>
      </c>
      <c r="C154" s="4" t="str">
        <f ca="1">IFERROR(__xludf.DUMMYFUNCTION("GOOGLETRANSLATE(B154,""ar"",""en"")"),"Female circumcision and beating the man to his wife, and their acceptance of it")</f>
        <v>Female circumcision and beating the man to his wife, and their acceptance of it</v>
      </c>
      <c r="D154" s="5">
        <v>1</v>
      </c>
      <c r="E154" s="3">
        <v>0</v>
      </c>
    </row>
    <row r="155" spans="1:5" ht="15.75" customHeight="1" x14ac:dyDescent="0.2">
      <c r="A155" s="6">
        <v>616</v>
      </c>
      <c r="B155" s="7" t="s">
        <v>150</v>
      </c>
      <c r="C155" s="8" t="str">
        <f ca="1">IFERROR(__xludf.DUMMYFUNCTION("GOOGLETRANSLATE(B155,""ar"",""en"")"),"Rape. Child molestation, harassment at work, domestic violence,")</f>
        <v>Rape. Child molestation, harassment at work, domestic violence,</v>
      </c>
      <c r="D155" s="9">
        <v>1</v>
      </c>
      <c r="E155" s="3">
        <v>0</v>
      </c>
    </row>
    <row r="156" spans="1:5" ht="15.75" customHeight="1" x14ac:dyDescent="0.2">
      <c r="A156" s="2">
        <v>622</v>
      </c>
      <c r="B156" s="3" t="s">
        <v>151</v>
      </c>
      <c r="C156" s="4" t="str">
        <f ca="1">IFERROR(__xludf.DUMMYFUNCTION("GOOGLETRANSLATE(B156,""ar"",""en"")"),"Negative effects of Corona, Aafrq between divorce and divorce. Importance of the job of the house, harassment at work")</f>
        <v>Negative effects of Corona, Aafrq between divorce and divorce. Importance of the job of the house, harassment at work</v>
      </c>
      <c r="D156" s="5">
        <v>1</v>
      </c>
      <c r="E156" s="3">
        <v>0</v>
      </c>
    </row>
    <row r="157" spans="1:5" ht="15.75" customHeight="1" x14ac:dyDescent="0.2">
      <c r="A157" s="6">
        <v>626</v>
      </c>
      <c r="B157" s="7" t="s">
        <v>152</v>
      </c>
      <c r="C157" s="8" t="str">
        <f ca="1">IFERROR(__xludf.DUMMYFUNCTION("GOOGLETRANSLATE(B157,""ar"",""en"")"),"Provocation")</f>
        <v>Provocation</v>
      </c>
      <c r="D157" s="9">
        <v>1</v>
      </c>
      <c r="E157" s="3">
        <v>0</v>
      </c>
    </row>
    <row r="158" spans="1:5" ht="15.75" customHeight="1" x14ac:dyDescent="0.2">
      <c r="A158" s="2">
        <v>634</v>
      </c>
      <c r="B158" s="3" t="s">
        <v>153</v>
      </c>
      <c r="C158" s="4" t="str">
        <f ca="1">IFERROR(__xludf.DUMMYFUNCTION("GOOGLETRANSLATE(B158,""ar"",""en"")"),"Harassment and special ring ring special Pfirs crowns and its impact on the organization and the ring time to bitter labor between work and home")</f>
        <v>Harassment and special ring ring special Pfirs crowns and its impact on the organization and the ring time to bitter labor between work and home</v>
      </c>
      <c r="D158" s="5">
        <v>1</v>
      </c>
      <c r="E158" s="3">
        <v>0</v>
      </c>
    </row>
    <row r="159" spans="1:5" ht="15.75" customHeight="1" x14ac:dyDescent="0.2">
      <c r="A159" s="6">
        <v>641</v>
      </c>
      <c r="B159" s="7" t="s">
        <v>154</v>
      </c>
      <c r="C159" s="8" t="str">
        <f ca="1">IFERROR(__xludf.DUMMYFUNCTION("GOOGLETRANSLATE(B159,""ar"",""en"")"),"Harassment and Violence")</f>
        <v>Harassment and Violence</v>
      </c>
      <c r="D159" s="9">
        <v>1</v>
      </c>
      <c r="E159" s="3">
        <v>0</v>
      </c>
    </row>
    <row r="160" spans="1:5" ht="15.75" customHeight="1" x14ac:dyDescent="0.2">
      <c r="A160" s="2">
        <v>643</v>
      </c>
      <c r="B160" s="3" t="s">
        <v>155</v>
      </c>
      <c r="C160" s="4" t="str">
        <f ca="1">IFERROR(__xludf.DUMMYFUNCTION("GOOGLETRANSLATE(B160,""ar"",""en"")"),"For Women's Issues")</f>
        <v>For Women's Issues</v>
      </c>
      <c r="D160" s="5">
        <v>1</v>
      </c>
      <c r="E160" s="3">
        <v>0</v>
      </c>
    </row>
    <row r="161" spans="1:5" ht="15.75" customHeight="1" x14ac:dyDescent="0.2">
      <c r="A161" s="6">
        <v>644</v>
      </c>
      <c r="B161" s="7" t="s">
        <v>156</v>
      </c>
      <c r="C161" s="8" t="str">
        <f ca="1">IFERROR(__xludf.DUMMYFUNCTION("GOOGLETRANSLATE(B161,""ar"",""en"")"),"Reconcile work and kitchen. Marital violence")</f>
        <v>Reconcile work and kitchen. Marital violence</v>
      </c>
      <c r="D161" s="9">
        <v>1</v>
      </c>
      <c r="E161" s="3">
        <v>0</v>
      </c>
    </row>
    <row r="162" spans="1:5" ht="15.75" customHeight="1" x14ac:dyDescent="0.2">
      <c r="A162" s="2">
        <v>648</v>
      </c>
      <c r="B162" s="3" t="s">
        <v>157</v>
      </c>
      <c r="C162" s="4" t="str">
        <f ca="1">IFERROR(__xludf.DUMMYFUNCTION("GOOGLETRANSLATE(B162,""ar"",""en"")"),"Wife's right to alimony")</f>
        <v>Wife's right to alimony</v>
      </c>
      <c r="D162" s="5">
        <v>1</v>
      </c>
      <c r="E162" s="3">
        <v>0</v>
      </c>
    </row>
    <row r="163" spans="1:5" ht="15.75" customHeight="1" x14ac:dyDescent="0.2">
      <c r="A163" s="6">
        <v>649</v>
      </c>
      <c r="B163" s="7" t="s">
        <v>158</v>
      </c>
      <c r="C163" s="8" t="str">
        <f ca="1">IFERROR(__xludf.DUMMYFUNCTION("GOOGLETRANSLATE(B163,""ar"",""en"")"),"For women, Walworth, the work of the husband and his family service")</f>
        <v>For women, Walworth, the work of the husband and his family service</v>
      </c>
      <c r="D163" s="9">
        <v>1</v>
      </c>
      <c r="E163" s="3">
        <v>0</v>
      </c>
    </row>
    <row r="164" spans="1:5" ht="15.75" customHeight="1" x14ac:dyDescent="0.2">
      <c r="A164" s="2">
        <v>653</v>
      </c>
      <c r="B164" s="3" t="s">
        <v>159</v>
      </c>
      <c r="C164" s="4" t="str">
        <f ca="1">IFERROR(__xludf.DUMMYFUNCTION("GOOGLETRANSLATE(B164,""ar"",""en"")"),"Kues normal program and the goal of Les Vhdna I look at it")</f>
        <v>Kues normal program and the goal of Les Vhdna I look at it</v>
      </c>
      <c r="D164" s="9">
        <v>1</v>
      </c>
      <c r="E164" s="7">
        <v>1</v>
      </c>
    </row>
    <row r="165" spans="1:5" ht="15.75" customHeight="1" x14ac:dyDescent="0.2">
      <c r="A165" s="6">
        <v>659</v>
      </c>
      <c r="B165" s="7" t="s">
        <v>160</v>
      </c>
      <c r="C165" s="8" t="str">
        <f ca="1">IFERROR(__xludf.DUMMYFUNCTION("GOOGLETRANSLATE(B165,""ar"",""en"")"),"In general, deals with the story with a message targeted")</f>
        <v>In general, deals with the story with a message targeted</v>
      </c>
      <c r="D165" s="9">
        <v>1</v>
      </c>
      <c r="E165" s="3">
        <v>0</v>
      </c>
    </row>
    <row r="166" spans="1:5" ht="15.75" customHeight="1" x14ac:dyDescent="0.2">
      <c r="A166" s="2">
        <v>663</v>
      </c>
      <c r="B166" s="3" t="s">
        <v>161</v>
      </c>
      <c r="C166" s="4" t="str">
        <f ca="1">IFERROR(__xludf.DUMMYFUNCTION("GOOGLETRANSLATE(B166,""ar"",""en"")"),"Underage marriage")</f>
        <v>Underage marriage</v>
      </c>
      <c r="D166" s="5">
        <v>1</v>
      </c>
      <c r="E166" s="3">
        <v>0</v>
      </c>
    </row>
    <row r="167" spans="1:5" ht="15.75" customHeight="1" x14ac:dyDescent="0.2">
      <c r="A167" s="6">
        <v>665</v>
      </c>
      <c r="B167" s="7" t="s">
        <v>162</v>
      </c>
      <c r="C167" s="8" t="str">
        <f ca="1">IFERROR(__xludf.DUMMYFUNCTION("GOOGLETRANSLATE(B167,""ar"",""en"")"),"Social Issues")</f>
        <v>Social Issues</v>
      </c>
      <c r="D167" s="9">
        <v>1</v>
      </c>
      <c r="E167" s="3">
        <v>0</v>
      </c>
    </row>
    <row r="168" spans="1:5" ht="15.75" customHeight="1" x14ac:dyDescent="0.2">
      <c r="A168" s="2">
        <v>667</v>
      </c>
      <c r="B168" s="3" t="s">
        <v>163</v>
      </c>
      <c r="C168" s="4" t="str">
        <f ca="1">IFERROR(__xludf.DUMMYFUNCTION("GOOGLETRANSLATE(B168,""ar"",""en"")"),"Ring female circumcision")</f>
        <v>Ring female circumcision</v>
      </c>
      <c r="D168" s="5">
        <v>1</v>
      </c>
      <c r="E168" s="3">
        <v>0</v>
      </c>
    </row>
    <row r="169" spans="1:5" ht="15.75" customHeight="1" x14ac:dyDescent="0.2">
      <c r="A169" s="6">
        <v>674</v>
      </c>
      <c r="B169" s="7" t="s">
        <v>164</v>
      </c>
      <c r="C169" s="8" t="str">
        <f ca="1">IFERROR(__xludf.DUMMYFUNCTION("GOOGLETRANSLATE(B169,""ar"",""en"")"),"The six rights and how to apply them with the facts and damages her Alapttard")</f>
        <v>The six rights and how to apply them with the facts and damages her Alapttard</v>
      </c>
      <c r="D169" s="9">
        <v>1</v>
      </c>
      <c r="E169" s="3">
        <v>0</v>
      </c>
    </row>
    <row r="170" spans="1:5" ht="15.75" customHeight="1" x14ac:dyDescent="0.2">
      <c r="A170" s="2">
        <v>700</v>
      </c>
      <c r="B170" s="3" t="s">
        <v>165</v>
      </c>
      <c r="C170" s="4" t="str">
        <f ca="1">IFERROR(__xludf.DUMMYFUNCTION("GOOGLETRANSLATE(B170,""ar"",""en"")"),"Beating, marriage palace, harassment")</f>
        <v>Beating, marriage palace, harassment</v>
      </c>
      <c r="D170" s="5">
        <v>1</v>
      </c>
      <c r="E170" s="3">
        <v>0</v>
      </c>
    </row>
    <row r="171" spans="1:5" ht="15.75" customHeight="1" x14ac:dyDescent="0.2">
      <c r="A171" s="6">
        <v>707</v>
      </c>
      <c r="B171" s="7" t="s">
        <v>166</v>
      </c>
      <c r="C171" s="8" t="str">
        <f ca="1">IFERROR(__xludf.DUMMYFUNCTION("GOOGLETRANSLATE(B171,""ar"",""en"")"),"Family problems")</f>
        <v>Family problems</v>
      </c>
      <c r="D171" s="9">
        <v>1</v>
      </c>
      <c r="E171" s="3">
        <v>0</v>
      </c>
    </row>
    <row r="172" spans="1:5" ht="15.75" customHeight="1" x14ac:dyDescent="0.2">
      <c r="A172" s="2">
        <v>709</v>
      </c>
      <c r="B172" s="3" t="s">
        <v>167</v>
      </c>
      <c r="C172" s="4" t="str">
        <f ca="1">IFERROR(__xludf.DUMMYFUNCTION("GOOGLETRANSLATE(B172,""ar"",""en"")"),"Purposeful stories about women")</f>
        <v>Purposeful stories about women</v>
      </c>
      <c r="D172" s="5">
        <v>1</v>
      </c>
      <c r="E172" s="3">
        <v>0</v>
      </c>
    </row>
    <row r="173" spans="1:5" ht="15.75" customHeight="1" x14ac:dyDescent="0.2">
      <c r="A173" s="6">
        <v>725</v>
      </c>
      <c r="B173" s="7" t="s">
        <v>168</v>
      </c>
      <c r="C173" s="8" t="str">
        <f ca="1">IFERROR(__xludf.DUMMYFUNCTION("GOOGLETRANSLATE(B173,""ar"",""en"")"),"The Worldwide circumcision for females and the rights of women living in marital")</f>
        <v>The Worldwide circumcision for females and the rights of women living in marital</v>
      </c>
      <c r="D173" s="9">
        <v>1</v>
      </c>
      <c r="E173" s="3">
        <v>0</v>
      </c>
    </row>
    <row r="174" spans="1:5" ht="15.75" customHeight="1" x14ac:dyDescent="0.2">
      <c r="A174" s="2">
        <v>734</v>
      </c>
      <c r="B174" s="3" t="s">
        <v>169</v>
      </c>
      <c r="C174" s="4" t="str">
        <f ca="1">IFERROR(__xludf.DUMMYFUNCTION("GOOGLETRANSLATE(B174,""ar"",""en"")"),"Awareness of the family and the rights of women and their relationship to the community content")</f>
        <v>Awareness of the family and the rights of women and their relationship to the community content</v>
      </c>
      <c r="D174" s="5">
        <v>1</v>
      </c>
      <c r="E174" s="3">
        <v>0</v>
      </c>
    </row>
    <row r="175" spans="1:5" ht="15.75" customHeight="1" x14ac:dyDescent="0.2">
      <c r="A175" s="6">
        <v>740</v>
      </c>
      <c r="B175" s="7" t="s">
        <v>83</v>
      </c>
      <c r="C175" s="8" t="str">
        <f ca="1">IFERROR(__xludf.DUMMYFUNCTION("GOOGLETRANSLATE(B175,""ar"",""en"")"),"violence against Woman")</f>
        <v>violence against Woman</v>
      </c>
      <c r="D175" s="9">
        <v>1</v>
      </c>
      <c r="E175" s="3">
        <v>0</v>
      </c>
    </row>
    <row r="176" spans="1:5" ht="15.75" customHeight="1" x14ac:dyDescent="0.2">
      <c r="A176" s="2">
        <v>749</v>
      </c>
      <c r="B176" s="3" t="s">
        <v>170</v>
      </c>
      <c r="C176" s="4" t="str">
        <f ca="1">IFERROR(__xludf.DUMMYFUNCTION("GOOGLETRANSLATE(B176,""ar"",""en"")"),"Circumcision _ani A footmen")</f>
        <v>Circumcision _ani A footmen</v>
      </c>
      <c r="D176" s="5">
        <v>1</v>
      </c>
      <c r="E176" s="3">
        <v>0</v>
      </c>
    </row>
    <row r="177" spans="1:5" ht="15.75" customHeight="1" x14ac:dyDescent="0.2">
      <c r="A177" s="6">
        <v>764</v>
      </c>
      <c r="B177" s="7" t="s">
        <v>171</v>
      </c>
      <c r="C177" s="8" t="str">
        <f ca="1">IFERROR(__xludf.DUMMYFUNCTION("GOOGLETRANSLATE(B177,""ar"",""en"")"),"Women's support")</f>
        <v>Women's support</v>
      </c>
      <c r="D177" s="9">
        <v>1</v>
      </c>
      <c r="E177" s="3">
        <v>0</v>
      </c>
    </row>
    <row r="178" spans="1:5" ht="15.75" customHeight="1" x14ac:dyDescent="0.2">
      <c r="A178" s="2">
        <v>769</v>
      </c>
      <c r="B178" s="3" t="s">
        <v>172</v>
      </c>
      <c r="C178" s="4" t="str">
        <f ca="1">IFERROR(__xludf.DUMMYFUNCTION("GOOGLETRANSLATE(B178,""ar"",""en"")"),"Pleasant and helpful")</f>
        <v>Pleasant and helpful</v>
      </c>
      <c r="D178" s="9">
        <v>1</v>
      </c>
      <c r="E178" s="7">
        <v>1</v>
      </c>
    </row>
    <row r="179" spans="1:5" ht="15.75" customHeight="1" x14ac:dyDescent="0.2">
      <c r="A179" s="6">
        <v>770</v>
      </c>
      <c r="B179" s="7" t="s">
        <v>173</v>
      </c>
      <c r="C179" s="8" t="str">
        <f ca="1">IFERROR(__xludf.DUMMYFUNCTION("GOOGLETRANSLATE(B179,""ar"",""en"")"),"During courtship violence")</f>
        <v>During courtship violence</v>
      </c>
      <c r="D179" s="9">
        <v>1</v>
      </c>
      <c r="E179" s="3">
        <v>0</v>
      </c>
    </row>
    <row r="180" spans="1:5" ht="15.75" customHeight="1" x14ac:dyDescent="0.2">
      <c r="A180" s="2">
        <v>772</v>
      </c>
      <c r="B180" s="3" t="s">
        <v>174</v>
      </c>
      <c r="C180" s="4" t="str">
        <f ca="1">IFERROR(__xludf.DUMMYFUNCTION("GOOGLETRANSLATE(B180,""ar"",""en"")"),"Very meaningful")</f>
        <v>Very meaningful</v>
      </c>
      <c r="D180" s="9">
        <v>1</v>
      </c>
      <c r="E180" s="7">
        <v>1</v>
      </c>
    </row>
    <row r="181" spans="1:5" ht="15.75" customHeight="1" x14ac:dyDescent="0.2">
      <c r="A181" s="6">
        <v>773</v>
      </c>
      <c r="B181" s="7" t="s">
        <v>175</v>
      </c>
      <c r="C181" s="8" t="str">
        <f ca="1">IFERROR(__xludf.DUMMYFUNCTION("GOOGLETRANSLATE(B181,""ar"",""en"")"),"Turning to legal issues and problems concerning women when marital separation")</f>
        <v>Turning to legal issues and problems concerning women when marital separation</v>
      </c>
      <c r="D181" s="9">
        <v>1</v>
      </c>
      <c r="E181" s="3">
        <v>0</v>
      </c>
    </row>
    <row r="182" spans="1:5" ht="15.75" customHeight="1" x14ac:dyDescent="0.2">
      <c r="A182" s="2">
        <v>774</v>
      </c>
      <c r="B182" s="3" t="s">
        <v>22</v>
      </c>
      <c r="C182" s="4" t="str">
        <f ca="1">IFERROR(__xludf.DUMMYFUNCTION("GOOGLETRANSLATE(B182,""ar"",""en"")"),"Harassment")</f>
        <v>Harassment</v>
      </c>
      <c r="D182" s="5">
        <v>1</v>
      </c>
      <c r="E182" s="3">
        <v>0</v>
      </c>
    </row>
    <row r="183" spans="1:5" ht="15.75" customHeight="1" x14ac:dyDescent="0.2">
      <c r="A183" s="6">
        <v>780</v>
      </c>
      <c r="B183" s="7" t="s">
        <v>176</v>
      </c>
      <c r="C183" s="8" t="str">
        <f ca="1">IFERROR(__xludf.DUMMYFUNCTION("GOOGLETRANSLATE(B183,""ar"",""en"")"),"Her style is very interesting to talk about women in the Egyptian culture")</f>
        <v>Her style is very interesting to talk about women in the Egyptian culture</v>
      </c>
      <c r="D183" s="9">
        <v>1</v>
      </c>
      <c r="E183" s="3">
        <v>0</v>
      </c>
    </row>
    <row r="184" spans="1:5" ht="15.75" customHeight="1" x14ac:dyDescent="0.2">
      <c r="A184" s="2">
        <v>786</v>
      </c>
      <c r="B184" s="3" t="s">
        <v>177</v>
      </c>
      <c r="C184" s="4" t="str">
        <f ca="1">IFERROR(__xludf.DUMMYFUNCTION("GOOGLETRANSLATE(B184,""ar"",""en"")"),"Value and attractive performance information")</f>
        <v>Value and attractive performance information</v>
      </c>
      <c r="D184" s="5">
        <v>1</v>
      </c>
      <c r="E184" s="3">
        <v>0</v>
      </c>
    </row>
    <row r="185" spans="1:5" ht="15.75" customHeight="1" x14ac:dyDescent="0.2">
      <c r="A185" s="6">
        <v>787</v>
      </c>
      <c r="B185" s="7" t="s">
        <v>178</v>
      </c>
      <c r="C185" s="8" t="str">
        <f ca="1">IFERROR(__xludf.DUMMYFUNCTION("GOOGLETRANSLATE(B185,""ar"",""en"")"),"Almost all the violence against women")</f>
        <v>Almost all the violence against women</v>
      </c>
      <c r="D185" s="9">
        <v>1</v>
      </c>
      <c r="E185" s="3">
        <v>0</v>
      </c>
    </row>
    <row r="186" spans="1:5" ht="15.75" customHeight="1" x14ac:dyDescent="0.2">
      <c r="A186" s="2">
        <v>788</v>
      </c>
      <c r="B186" s="3" t="s">
        <v>179</v>
      </c>
      <c r="C186" s="4" t="str">
        <f ca="1">IFERROR(__xludf.DUMMYFUNCTION("GOOGLETRANSLATE(B186,""ar"",""en"")"),"Was about wearing girls' Is the reason for harassment")</f>
        <v>Was about wearing girls' Is the reason for harassment</v>
      </c>
      <c r="D186" s="5">
        <v>1</v>
      </c>
      <c r="E186" s="3">
        <v>0</v>
      </c>
    </row>
    <row r="187" spans="1:5" ht="15.75" customHeight="1" x14ac:dyDescent="0.2">
      <c r="A187" s="6">
        <v>792</v>
      </c>
      <c r="B187" s="7" t="s">
        <v>180</v>
      </c>
      <c r="C187" s="8" t="str">
        <f ca="1">IFERROR(__xludf.DUMMYFUNCTION("GOOGLETRANSLATE(B187,""ar"",""en"")"),"Harassment in the work of violence against women, rape and how to act in case of harassment in the work of my colleague")</f>
        <v>Harassment in the work of violence against women, rape and how to act in case of harassment in the work of my colleague</v>
      </c>
      <c r="D187" s="9">
        <v>1</v>
      </c>
      <c r="E187" s="3">
        <v>0</v>
      </c>
    </row>
    <row r="188" spans="1:5" ht="15.75" customHeight="1" x14ac:dyDescent="0.2">
      <c r="A188" s="2">
        <v>793</v>
      </c>
      <c r="B188" s="3" t="s">
        <v>181</v>
      </c>
      <c r="C188" s="4" t="str">
        <f ca="1">IFERROR(__xludf.DUMMYFUNCTION("GOOGLETRANSLATE(B188,""ar"",""en"")"),"Is a program that discusses legal issues and legitimate interest to women in all its aspects")</f>
        <v>Is a program that discusses legal issues and legitimate interest to women in all its aspects</v>
      </c>
      <c r="D188" s="5">
        <v>1</v>
      </c>
      <c r="E188" s="3">
        <v>0</v>
      </c>
    </row>
    <row r="189" spans="1:5" ht="15.75" customHeight="1" x14ac:dyDescent="0.2">
      <c r="A189" s="6">
        <v>794</v>
      </c>
      <c r="B189" s="7" t="s">
        <v>182</v>
      </c>
      <c r="C189" s="8" t="str">
        <f ca="1">IFERROR(__xludf.DUMMYFUNCTION("GOOGLETRANSLATE(B189,""ar"",""en"")"),"Fun style in the form of nonfiction")</f>
        <v>Fun style in the form of nonfiction</v>
      </c>
      <c r="D189" s="9">
        <v>1</v>
      </c>
      <c r="E189" s="3">
        <v>0</v>
      </c>
    </row>
    <row r="190" spans="1:5" ht="15.75" customHeight="1" x14ac:dyDescent="0.2">
      <c r="A190" s="2">
        <v>796</v>
      </c>
      <c r="B190" s="3" t="s">
        <v>22</v>
      </c>
      <c r="C190" s="4" t="str">
        <f ca="1">IFERROR(__xludf.DUMMYFUNCTION("GOOGLETRANSLATE(B190,""ar"",""en"")"),"Harassment")</f>
        <v>Harassment</v>
      </c>
      <c r="D190" s="5">
        <v>1</v>
      </c>
      <c r="E190" s="3">
        <v>0</v>
      </c>
    </row>
    <row r="191" spans="1:5" ht="15.75" customHeight="1" x14ac:dyDescent="0.2">
      <c r="A191" s="6">
        <v>804</v>
      </c>
      <c r="B191" s="7" t="s">
        <v>183</v>
      </c>
      <c r="C191" s="8" t="str">
        <f ca="1">IFERROR(__xludf.DUMMYFUNCTION("GOOGLETRANSLATE(B191,""ar"",""en"")"),"well")</f>
        <v>well</v>
      </c>
      <c r="D191" s="9">
        <v>1</v>
      </c>
      <c r="E191" s="7">
        <v>1</v>
      </c>
    </row>
    <row r="192" spans="1:5" ht="15.75" customHeight="1" x14ac:dyDescent="0.2">
      <c r="A192" s="2">
        <v>810</v>
      </c>
      <c r="B192" s="3" t="s">
        <v>184</v>
      </c>
      <c r="C192" s="4" t="str">
        <f ca="1">IFERROR(__xludf.DUMMYFUNCTION("GOOGLETRANSLATE(B192,""ar"",""en"")"),"Violence against women and harassment and filled, and the effect of Corona sixes")</f>
        <v>Violence against women and harassment and filled, and the effect of Corona sixes</v>
      </c>
      <c r="D192" s="5">
        <v>1</v>
      </c>
      <c r="E192" s="3">
        <v>0</v>
      </c>
    </row>
    <row r="193" spans="1:5" ht="15.75" customHeight="1" x14ac:dyDescent="0.2">
      <c r="A193" s="6">
        <v>818</v>
      </c>
      <c r="B193" s="7" t="s">
        <v>185</v>
      </c>
      <c r="C193" s="8" t="str">
        <f ca="1">IFERROR(__xludf.DUMMYFUNCTION("GOOGLETRANSLATE(B193,""ar"",""en"")"),"Workshops on underage marriage cases and workshops on the rights after divorce")</f>
        <v>Workshops on underage marriage cases and workshops on the rights after divorce</v>
      </c>
      <c r="D193" s="9">
        <v>1</v>
      </c>
      <c r="E193" s="3">
        <v>0</v>
      </c>
    </row>
    <row r="194" spans="1:5" ht="15.75" customHeight="1" x14ac:dyDescent="0.2">
      <c r="A194" s="2">
        <v>826</v>
      </c>
      <c r="B194" s="3" t="s">
        <v>186</v>
      </c>
      <c r="C194" s="4" t="str">
        <f ca="1">IFERROR(__xludf.DUMMYFUNCTION("GOOGLETRANSLATE(B194,""ar"",""en"")"),"Early / nursery / divorce marriage")</f>
        <v>Early / nursery / divorce marriage</v>
      </c>
      <c r="D194" s="5">
        <v>1</v>
      </c>
      <c r="E194" s="3">
        <v>0</v>
      </c>
    </row>
    <row r="195" spans="1:5" ht="15.75" customHeight="1" x14ac:dyDescent="0.2">
      <c r="A195" s="6">
        <v>831</v>
      </c>
      <c r="B195" s="7" t="s">
        <v>187</v>
      </c>
      <c r="C195" s="8" t="str">
        <f ca="1">IFERROR(__xludf.DUMMYFUNCTION("GOOGLETRANSLATE(B195,""ar"",""en"")"),"Divorce and inheritance Alqaamh")</f>
        <v>Divorce and inheritance Alqaamh</v>
      </c>
      <c r="D195" s="9">
        <v>1</v>
      </c>
      <c r="E195" s="3">
        <v>0</v>
      </c>
    </row>
    <row r="196" spans="1:5" ht="15.75" customHeight="1" x14ac:dyDescent="0.2">
      <c r="A196" s="2">
        <v>833</v>
      </c>
      <c r="B196" s="3" t="s">
        <v>188</v>
      </c>
      <c r="C196" s="4" t="str">
        <f ca="1">IFERROR(__xludf.DUMMYFUNCTION("GOOGLETRANSLATE(B196,""ar"",""en"")"),"The throat and rape Worldwide that the girl needed to speak Mtski_ her right and keeps the effects of Kasai Ashan remain Amaaha Mtkhaddh guide consultation and retain Balhdom on condition")</f>
        <v>The throat and rape Worldwide that the girl needed to speak Mtski_ her right and keeps the effects of Kasai Ashan remain Amaaha Mtkhaddh guide consultation and retain Balhdom on condition</v>
      </c>
      <c r="D196" s="5">
        <v>1</v>
      </c>
      <c r="E196" s="3">
        <v>0</v>
      </c>
    </row>
    <row r="197" spans="1:5" ht="15.75" customHeight="1" x14ac:dyDescent="0.2">
      <c r="A197" s="6">
        <v>837</v>
      </c>
      <c r="B197" s="7" t="s">
        <v>189</v>
      </c>
      <c r="C197" s="8" t="str">
        <f ca="1">IFERROR(__xludf.DUMMYFUNCTION("GOOGLETRANSLATE(B197,""ar"",""en"")"),"woman's job")</f>
        <v>woman's job</v>
      </c>
      <c r="D197" s="9">
        <v>1</v>
      </c>
      <c r="E197" s="3">
        <v>0</v>
      </c>
    </row>
    <row r="198" spans="1:5" ht="15.75" customHeight="1" x14ac:dyDescent="0.2">
      <c r="A198" s="2">
        <v>839</v>
      </c>
      <c r="B198" s="3" t="s">
        <v>190</v>
      </c>
      <c r="C198" s="4" t="str">
        <f ca="1">IFERROR(__xludf.DUMMYFUNCTION("GOOGLETRANSLATE(B198,""ar"",""en"")"),"Harassment cases")</f>
        <v>Harassment cases</v>
      </c>
      <c r="D198" s="5">
        <v>1</v>
      </c>
      <c r="E198" s="3">
        <v>0</v>
      </c>
    </row>
    <row r="199" spans="1:5" ht="15.75" customHeight="1" x14ac:dyDescent="0.2">
      <c r="A199" s="6">
        <v>841</v>
      </c>
      <c r="B199" s="7" t="s">
        <v>191</v>
      </c>
      <c r="C199" s="8" t="str">
        <f ca="1">IFERROR(__xludf.DUMMYFUNCTION("GOOGLETRANSLATE(B199,""ar"",""en"")"),"Throat circumcision harassment, workshops and seminars live broadcast on YouTube")</f>
        <v>Throat circumcision harassment, workshops and seminars live broadcast on YouTube</v>
      </c>
      <c r="D199" s="9">
        <v>1</v>
      </c>
      <c r="E199" s="3">
        <v>0</v>
      </c>
    </row>
    <row r="200" spans="1:5" ht="15.75" customHeight="1" x14ac:dyDescent="0.2">
      <c r="A200" s="2">
        <v>842</v>
      </c>
      <c r="B200" s="3" t="s">
        <v>192</v>
      </c>
      <c r="C200" s="4" t="str">
        <f ca="1">IFERROR(__xludf.DUMMYFUNCTION("GOOGLETRANSLATE(B200,""ar"",""en"")"),"Registration of contracts for the purchase of apartments")</f>
        <v>Registration of contracts for the purchase of apartments</v>
      </c>
      <c r="D200" s="5">
        <v>1</v>
      </c>
      <c r="E200" s="3">
        <v>0</v>
      </c>
    </row>
    <row r="201" spans="1:5" ht="15.75" customHeight="1" x14ac:dyDescent="0.2">
      <c r="A201" s="6">
        <v>847</v>
      </c>
      <c r="B201" s="7" t="s">
        <v>193</v>
      </c>
      <c r="C201" s="8" t="str">
        <f ca="1">IFERROR(__xludf.DUMMYFUNCTION("GOOGLETRANSLATE(B201,""ar"",""en"")"),"Fun and calls for enthusiasm and optimism")</f>
        <v>Fun and calls for enthusiasm and optimism</v>
      </c>
      <c r="D201" s="9">
        <v>1</v>
      </c>
      <c r="E201" s="3">
        <v>0</v>
      </c>
    </row>
    <row r="202" spans="1:5" ht="15.75" customHeight="1" x14ac:dyDescent="0.2">
      <c r="A202" s="2">
        <v>852</v>
      </c>
      <c r="B202" s="3" t="s">
        <v>194</v>
      </c>
      <c r="C202" s="4" t="str">
        <f ca="1">IFERROR(__xludf.DUMMYFUNCTION("GOOGLETRANSLATE(B202,""ar"",""en"")"),"From a nearby shaft throat with a beautiful Nihad sixes Maarfush Akdboa for rape, harassment and Atkelmt from Kasai law Bataaml throat was beautiful and benefited from de very last time where her lip")</f>
        <v>From a nearby shaft throat with a beautiful Nihad sixes Maarfush Akdboa for rape, harassment and Atkelmt from Kasai law Bataaml throat was beautiful and benefited from de very last time where her lip</v>
      </c>
      <c r="D202" s="5">
        <v>1</v>
      </c>
      <c r="E202" s="3">
        <v>0</v>
      </c>
    </row>
    <row r="203" spans="1:5" ht="15.75" customHeight="1" x14ac:dyDescent="0.2">
      <c r="A203" s="6">
        <v>859</v>
      </c>
      <c r="B203" s="7" t="s">
        <v>195</v>
      </c>
      <c r="C203" s="8" t="str">
        <f ca="1">IFERROR(__xludf.DUMMYFUNCTION("GOOGLETRANSLATE(B203,""ar"",""en"")"),"Awareness of their rights Mrap way to solve social in the Law Problems")</f>
        <v>Awareness of their rights Mrap way to solve social in the Law Problems</v>
      </c>
      <c r="D203" s="9">
        <v>1</v>
      </c>
      <c r="E203" s="3">
        <v>0</v>
      </c>
    </row>
    <row r="204" spans="1:5" ht="15.75" customHeight="1" x14ac:dyDescent="0.2">
      <c r="A204" s="2">
        <v>861</v>
      </c>
      <c r="B204" s="3" t="s">
        <v>196</v>
      </c>
      <c r="C204" s="4" t="str">
        <f ca="1">IFERROR(__xludf.DUMMYFUNCTION("GOOGLETRANSLATE(B204,""ar"",""en"")"),"Useful and important")</f>
        <v>Useful and important</v>
      </c>
      <c r="D204" s="9">
        <v>1</v>
      </c>
      <c r="E204" s="7">
        <v>1</v>
      </c>
    </row>
    <row r="205" spans="1:5" ht="15.75" customHeight="1" x14ac:dyDescent="0.2">
      <c r="A205" s="6">
        <v>874</v>
      </c>
      <c r="B205" s="7" t="s">
        <v>197</v>
      </c>
      <c r="C205" s="8" t="str">
        <f ca="1">IFERROR(__xludf.DUMMYFUNCTION("GOOGLETRANSLATE(B205,""ar"",""en"")"),"I remember what Al was about awareness in general, whether women or men")</f>
        <v>I remember what Al was about awareness in general, whether women or men</v>
      </c>
      <c r="D205" s="9">
        <v>1</v>
      </c>
      <c r="E205" s="3">
        <v>0</v>
      </c>
    </row>
    <row r="206" spans="1:5" ht="15.75" customHeight="1" x14ac:dyDescent="0.2">
      <c r="A206" s="2">
        <v>881</v>
      </c>
      <c r="B206" s="3" t="s">
        <v>198</v>
      </c>
      <c r="C206" s="4" t="str">
        <f ca="1">IFERROR(__xludf.DUMMYFUNCTION("GOOGLETRANSLATE(B206,""ar"",""en"")"),"Episode of harassment and workshop on the impact of the ban on family")</f>
        <v>Episode of harassment and workshop on the impact of the ban on family</v>
      </c>
      <c r="D206" s="5">
        <v>1</v>
      </c>
      <c r="E206" s="3">
        <v>0</v>
      </c>
    </row>
    <row r="207" spans="1:5" ht="15.75" customHeight="1" x14ac:dyDescent="0.2">
      <c r="A207" s="6">
        <v>896</v>
      </c>
      <c r="B207" s="7" t="s">
        <v>199</v>
      </c>
      <c r="C207" s="8" t="str">
        <f ca="1">IFERROR(__xludf.DUMMYFUNCTION("GOOGLETRANSLATE(B207,""ar"",""en"")"),"Discusses important issues")</f>
        <v>Discusses important issues</v>
      </c>
      <c r="D207" s="9">
        <v>1</v>
      </c>
      <c r="E207" s="7">
        <v>1</v>
      </c>
    </row>
    <row r="208" spans="1:5" ht="15.75" customHeight="1" x14ac:dyDescent="0.2">
      <c r="A208" s="2">
        <v>902</v>
      </c>
      <c r="B208" s="3" t="s">
        <v>200</v>
      </c>
      <c r="C208" s="4" t="str">
        <f ca="1">IFERROR(__xludf.DUMMYFUNCTION("GOOGLETRANSLATE(B208,""ar"",""en"")"),"Discuss the questions on the page program and respond to them and discuss the issue of circumcision and early marriage")</f>
        <v>Discuss the questions on the page program and respond to them and discuss the issue of circumcision and early marriage</v>
      </c>
      <c r="D208" s="5">
        <v>1</v>
      </c>
      <c r="E208" s="3">
        <v>0</v>
      </c>
    </row>
    <row r="209" spans="1:5" ht="15.75" customHeight="1" x14ac:dyDescent="0.2">
      <c r="A209" s="6">
        <v>907</v>
      </c>
      <c r="B209" s="7" t="s">
        <v>201</v>
      </c>
      <c r="C209" s="8" t="str">
        <f ca="1">IFERROR(__xludf.DUMMYFUNCTION("GOOGLETRANSLATE(B209,""ar"",""en"")"),"Elly episode liked so you speaking about female circumcision")</f>
        <v>Elly episode liked so you speaking about female circumcision</v>
      </c>
      <c r="D209" s="9">
        <v>1</v>
      </c>
      <c r="E209" s="3">
        <v>0</v>
      </c>
    </row>
    <row r="210" spans="1:5" ht="15.75" customHeight="1" x14ac:dyDescent="0.2">
      <c r="A210" s="2">
        <v>912</v>
      </c>
      <c r="B210" s="3" t="s">
        <v>202</v>
      </c>
      <c r="C210" s="4" t="str">
        <f ca="1">IFERROR(__xludf.DUMMYFUNCTION("GOOGLETRANSLATE(B210,""ar"",""en"")"),"Meaningful and useful for women because it is in the advice and guidance")</f>
        <v>Meaningful and useful for women because it is in the advice and guidance</v>
      </c>
      <c r="D210" s="5">
        <v>1</v>
      </c>
      <c r="E210" s="7">
        <v>1</v>
      </c>
    </row>
    <row r="211" spans="1:5" ht="15.75" customHeight="1" x14ac:dyDescent="0.2">
      <c r="A211" s="6">
        <v>926</v>
      </c>
      <c r="B211" s="7" t="s">
        <v>203</v>
      </c>
      <c r="C211" s="8" t="str">
        <f ca="1">IFERROR(__xludf.DUMMYFUNCTION("GOOGLETRANSLATE(B211,""ar"",""en"")"),"Legal advice is recitative fun")</f>
        <v>Legal advice is recitative fun</v>
      </c>
      <c r="D211" s="9">
        <v>1</v>
      </c>
      <c r="E211" s="3">
        <v>0</v>
      </c>
    </row>
    <row r="212" spans="1:5" ht="15.75" customHeight="1" x14ac:dyDescent="0.2">
      <c r="A212" s="2">
        <v>927</v>
      </c>
      <c r="B212" s="3" t="s">
        <v>204</v>
      </c>
      <c r="C212" s="4" t="str">
        <f ca="1">IFERROR(__xludf.DUMMYFUNCTION("GOOGLETRANSLATE(B212,""ar"",""en"")"),"Realism confrontation and force .. for me is an example of the powerful I am not knowing that the stump Elly first step is to solve the problem faced")</f>
        <v>Realism confrontation and force .. for me is an example of the powerful I am not knowing that the stump Elly first step is to solve the problem faced</v>
      </c>
      <c r="D212" s="5">
        <v>1</v>
      </c>
      <c r="E212" s="3">
        <v>0</v>
      </c>
    </row>
    <row r="213" spans="1:5" ht="15.75" customHeight="1" x14ac:dyDescent="0.2">
      <c r="A213" s="6">
        <v>928</v>
      </c>
      <c r="B213" s="7" t="s">
        <v>205</v>
      </c>
      <c r="C213" s="8" t="str">
        <f ca="1">IFERROR(__xludf.DUMMYFUNCTION("GOOGLETRANSLATE(B213,""ar"",""en"")"),"Women's Law in Egypt, the conditions of the Egyptian girl, female circumcision")</f>
        <v>Women's Law in Egypt, the conditions of the Egyptian girl, female circumcision</v>
      </c>
      <c r="D213" s="9">
        <v>1</v>
      </c>
      <c r="E213" s="3">
        <v>0</v>
      </c>
    </row>
    <row r="214" spans="1:5" ht="15.75" customHeight="1" x14ac:dyDescent="0.2">
      <c r="A214" s="2">
        <v>931</v>
      </c>
      <c r="B214" s="3" t="s">
        <v>206</v>
      </c>
      <c r="C214" s="4" t="str">
        <f ca="1">IFERROR(__xludf.DUMMYFUNCTION("GOOGLETRANSLATE(B214,""ar"",""en"")"),"House of Representatives elections, what the girls said possible progress and be a small age")</f>
        <v>House of Representatives elections, what the girls said possible progress and be a small age</v>
      </c>
      <c r="D214" s="5">
        <v>1</v>
      </c>
      <c r="E214" s="3">
        <v>0</v>
      </c>
    </row>
    <row r="215" spans="1:5" ht="15.75" customHeight="1" x14ac:dyDescent="0.2">
      <c r="A215" s="6">
        <v>932</v>
      </c>
      <c r="B215" s="7" t="s">
        <v>207</v>
      </c>
      <c r="C215" s="8" t="str">
        <f ca="1">IFERROR(__xludf.DUMMYFUNCTION("GOOGLETRANSLATE(B215,""ar"",""en"")"),"Save your time in the kitchen")</f>
        <v>Save your time in the kitchen</v>
      </c>
      <c r="D215" s="9">
        <v>1</v>
      </c>
      <c r="E215" s="3">
        <v>0</v>
      </c>
    </row>
    <row r="216" spans="1:5" ht="15.75" customHeight="1" x14ac:dyDescent="0.2">
      <c r="A216" s="2">
        <v>942</v>
      </c>
      <c r="B216" s="3" t="s">
        <v>208</v>
      </c>
      <c r="C216" s="4" t="str">
        <f ca="1">IFERROR(__xludf.DUMMYFUNCTION("GOOGLETRANSLATE(B216,""ar"",""en"")"),"Women's right to inheritance")</f>
        <v>Women's right to inheritance</v>
      </c>
      <c r="D216" s="5">
        <v>1</v>
      </c>
      <c r="E216" s="3">
        <v>0</v>
      </c>
    </row>
    <row r="217" spans="1:5" ht="15.75" customHeight="1" x14ac:dyDescent="0.2">
      <c r="A217" s="6">
        <v>945</v>
      </c>
      <c r="B217" s="7" t="s">
        <v>209</v>
      </c>
      <c r="C217" s="8" t="str">
        <f ca="1">IFERROR(__xludf.DUMMYFUNCTION("GOOGLETRANSLATE(B217,""ar"",""en"")"),"Description situations and solving problems and fights")</f>
        <v>Description situations and solving problems and fights</v>
      </c>
      <c r="D217" s="9">
        <v>1</v>
      </c>
      <c r="E217" s="3">
        <v>0</v>
      </c>
    </row>
    <row r="218" spans="1:5" ht="15.75" customHeight="1" x14ac:dyDescent="0.2">
      <c r="A218" s="2">
        <v>946</v>
      </c>
      <c r="B218" s="3" t="s">
        <v>210</v>
      </c>
      <c r="C218" s="4" t="str">
        <f ca="1">IFERROR(__xludf.DUMMYFUNCTION("GOOGLETRANSLATE(B218,""ar"",""en"")"),"Dislocation")</f>
        <v>Dislocation</v>
      </c>
      <c r="D218" s="5">
        <v>1</v>
      </c>
      <c r="E218" s="3">
        <v>0</v>
      </c>
    </row>
    <row r="219" spans="1:5" ht="15.75" customHeight="1" x14ac:dyDescent="0.2">
      <c r="A219" s="6">
        <v>953</v>
      </c>
      <c r="B219" s="7" t="s">
        <v>211</v>
      </c>
      <c r="C219" s="8" t="str">
        <f ca="1">IFERROR(__xludf.DUMMYFUNCTION("GOOGLETRANSLATE(B219,""ar"",""en"")"),"Harassment, rape, female genital mutilation, domestic violence")</f>
        <v>Harassment, rape, female genital mutilation, domestic violence</v>
      </c>
      <c r="D219" s="9">
        <v>1</v>
      </c>
      <c r="E219" s="3">
        <v>0</v>
      </c>
    </row>
    <row r="220" spans="1:5" ht="15.75" customHeight="1" x14ac:dyDescent="0.2">
      <c r="A220" s="2">
        <v>959</v>
      </c>
      <c r="B220" s="3" t="s">
        <v>212</v>
      </c>
      <c r="C220" s="4" t="str">
        <f ca="1">IFERROR(__xludf.DUMMYFUNCTION("GOOGLETRANSLATE(B220,""ar"",""en"")"),"Sexual harassment and how to confront it")</f>
        <v>Sexual harassment and how to confront it</v>
      </c>
      <c r="D220" s="5">
        <v>1</v>
      </c>
      <c r="E220" s="3">
        <v>0</v>
      </c>
    </row>
    <row r="221" spans="1:5" ht="15.75" customHeight="1" x14ac:dyDescent="0.2">
      <c r="A221" s="6">
        <v>578</v>
      </c>
      <c r="B221" s="7" t="s">
        <v>9</v>
      </c>
      <c r="C221" s="8" t="str">
        <f ca="1">IFERROR(__xludf.DUMMYFUNCTION("GOOGLETRANSLATE(B147,""ar"",""en"")"),"good")</f>
        <v>good</v>
      </c>
      <c r="D221" s="9">
        <v>1</v>
      </c>
      <c r="E221" s="7">
        <v>1</v>
      </c>
    </row>
    <row r="222" spans="1:5" ht="15.75" customHeight="1" x14ac:dyDescent="0.2">
      <c r="A222" s="2">
        <v>963</v>
      </c>
      <c r="B222" s="3" t="s">
        <v>214</v>
      </c>
      <c r="C222" s="4" t="str">
        <f ca="1">IFERROR(__xludf.DUMMYFUNCTION("GOOGLETRANSLATE(B222,""ar"",""en"")"),"Workshops on how to communicate between individuals in the family and accept the other and the means of social communication")</f>
        <v>Workshops on how to communicate between individuals in the family and accept the other and the means of social communication</v>
      </c>
      <c r="D222" s="5">
        <v>1</v>
      </c>
      <c r="E222" s="3">
        <v>0</v>
      </c>
    </row>
    <row r="223" spans="1:5" ht="15.75" customHeight="1" x14ac:dyDescent="0.2">
      <c r="A223" s="6">
        <v>964</v>
      </c>
      <c r="B223" s="7" t="s">
        <v>215</v>
      </c>
      <c r="C223" s="8" t="str">
        <f ca="1">IFERROR(__xludf.DUMMYFUNCTION("GOOGLETRANSLATE(B223,""ar"",""en"")"),"Dislocation issues and family problems")</f>
        <v>Dislocation issues and family problems</v>
      </c>
      <c r="D223" s="9">
        <v>1</v>
      </c>
      <c r="E223" s="3">
        <v>0</v>
      </c>
    </row>
    <row r="224" spans="1:5" ht="15.75" customHeight="1" x14ac:dyDescent="0.2">
      <c r="A224" s="2">
        <v>965</v>
      </c>
      <c r="B224" s="3" t="s">
        <v>216</v>
      </c>
      <c r="C224" s="4" t="str">
        <f ca="1">IFERROR(__xludf.DUMMYFUNCTION("GOOGLETRANSLATE(B224,""ar"",""en"")"),"Aktar throat was Vakraha circumcision Worldwide")</f>
        <v>Aktar throat was Vakraha circumcision Worldwide</v>
      </c>
      <c r="D224" s="5">
        <v>1</v>
      </c>
      <c r="E224" s="3">
        <v>0</v>
      </c>
    </row>
    <row r="225" spans="1:5" ht="15.75" customHeight="1" x14ac:dyDescent="0.2">
      <c r="A225" s="6">
        <v>966</v>
      </c>
      <c r="B225" s="7" t="s">
        <v>217</v>
      </c>
      <c r="C225" s="8" t="str">
        <f ca="1">IFERROR(__xludf.DUMMYFUNCTION("GOOGLETRANSLATE(B225,""ar"",""en"")"),"Talk about women's issues, and they relate to society concerning friction")</f>
        <v>Talk about women's issues, and they relate to society concerning friction</v>
      </c>
      <c r="D225" s="9">
        <v>1</v>
      </c>
      <c r="E225" s="3">
        <v>0</v>
      </c>
    </row>
    <row r="226" spans="1:5" ht="15.75" customHeight="1" x14ac:dyDescent="0.2">
      <c r="A226" s="2">
        <v>969</v>
      </c>
      <c r="B226" s="3" t="s">
        <v>218</v>
      </c>
      <c r="C226" s="4" t="str">
        <f ca="1">IFERROR(__xludf.DUMMYFUNCTION("GOOGLETRANSLATE(B226,""ar"",""en"")"),"Ways to shorten the time in the preparation of eating")</f>
        <v>Ways to shorten the time in the preparation of eating</v>
      </c>
      <c r="D226" s="5">
        <v>1</v>
      </c>
      <c r="E226" s="3">
        <v>0</v>
      </c>
    </row>
    <row r="227" spans="1:5" ht="15.75" customHeight="1" x14ac:dyDescent="0.2">
      <c r="A227" s="6">
        <v>970</v>
      </c>
      <c r="B227" s="7" t="s">
        <v>219</v>
      </c>
      <c r="C227" s="8" t="str">
        <f ca="1">IFERROR(__xludf.DUMMYFUNCTION("GOOGLETRANSLATE(B227,""ar"",""en"")"),"Excellent")</f>
        <v>Excellent</v>
      </c>
      <c r="D227" s="9">
        <v>1</v>
      </c>
      <c r="E227" s="7">
        <v>1</v>
      </c>
    </row>
    <row r="228" spans="1:5" ht="15.75" customHeight="1" x14ac:dyDescent="0.2">
      <c r="A228" s="2">
        <v>971</v>
      </c>
      <c r="B228" s="3" t="s">
        <v>220</v>
      </c>
      <c r="C228" s="4" t="str">
        <f ca="1">IFERROR(__xludf.DUMMYFUNCTION("GOOGLETRANSLATE(B228,""ar"",""en"")"),"I do not remember exactly but it was about women and girls and violence against women")</f>
        <v>I do not remember exactly but it was about women and girls and violence against women</v>
      </c>
      <c r="D228" s="5">
        <v>1</v>
      </c>
      <c r="E228" s="3">
        <v>0</v>
      </c>
    </row>
    <row r="229" spans="1:5" ht="15.75" customHeight="1" x14ac:dyDescent="0.2">
      <c r="A229" s="6">
        <v>972</v>
      </c>
      <c r="B229" s="7" t="s">
        <v>221</v>
      </c>
      <c r="C229" s="8" t="str">
        <f ca="1">IFERROR(__xludf.DUMMYFUNCTION("GOOGLETRANSLATE(B229,""ar"",""en"")"),"Successful passports and the subject of his throat Jawazh two o'clock")</f>
        <v>Successful passports and the subject of his throat Jawazh two o'clock</v>
      </c>
      <c r="D229" s="9">
        <v>1</v>
      </c>
      <c r="E229" s="3">
        <v>0</v>
      </c>
    </row>
    <row r="230" spans="1:5" ht="15.75" customHeight="1" x14ac:dyDescent="0.2">
      <c r="A230" s="2">
        <v>974</v>
      </c>
      <c r="B230" s="3" t="s">
        <v>222</v>
      </c>
      <c r="C230" s="4" t="str">
        <f ca="1">IFERROR(__xludf.DUMMYFUNCTION("GOOGLETRANSLATE(B230,""ar"",""en"")"),"Worldwide women's rights and difficulties who Bhetwajhaa and Kasai estimates and improve the adoption of self-confidence and ambition and Worldwide rights and obligations Lina")</f>
        <v>Worldwide women's rights and difficulties who Bhetwajhaa and Kasai estimates and improve the adoption of self-confidence and ambition and Worldwide rights and obligations Lina</v>
      </c>
      <c r="D230" s="5">
        <v>1</v>
      </c>
      <c r="E230" s="3">
        <v>0</v>
      </c>
    </row>
    <row r="231" spans="1:5" ht="15.75" customHeight="1" x14ac:dyDescent="0.2">
      <c r="A231" s="6">
        <v>975</v>
      </c>
      <c r="B231" s="7" t="s">
        <v>223</v>
      </c>
      <c r="C231" s="8" t="str">
        <f ca="1">IFERROR(__xludf.DUMMYFUNCTION("GOOGLETRANSLATE(B231,""ar"",""en"")"),"Harassment and Kasai act, and we face harassment")</f>
        <v>Harassment and Kasai act, and we face harassment</v>
      </c>
      <c r="D231" s="9">
        <v>1</v>
      </c>
      <c r="E231" s="3">
        <v>0</v>
      </c>
    </row>
    <row r="232" spans="1:5" ht="15.75" customHeight="1" x14ac:dyDescent="0.2">
      <c r="A232" s="2">
        <v>978</v>
      </c>
      <c r="B232" s="3" t="s">
        <v>224</v>
      </c>
      <c r="C232" s="4" t="str">
        <f ca="1">IFERROR(__xludf.DUMMYFUNCTION("GOOGLETRANSLATE(B232,""ar"",""en"")"),"Loop cylinders Alrjalh and the role of the father in the upbringing of the birth and the wife Altanih and Qrvha")</f>
        <v>Loop cylinders Alrjalh and the role of the father in the upbringing of the birth and the wife Altanih and Qrvha</v>
      </c>
      <c r="D232" s="5">
        <v>1</v>
      </c>
      <c r="E232" s="3">
        <v>0</v>
      </c>
    </row>
    <row r="233" spans="1:5" ht="15.75" customHeight="1" x14ac:dyDescent="0.2">
      <c r="A233" s="6">
        <v>989</v>
      </c>
      <c r="B233" s="7" t="s">
        <v>225</v>
      </c>
      <c r="C233" s="8" t="str">
        <f ca="1">IFERROR(__xludf.DUMMYFUNCTION("GOOGLETRANSLATE(B233,""ar"",""en"")"),"Important")</f>
        <v>Important</v>
      </c>
      <c r="D233" s="9">
        <v>1</v>
      </c>
      <c r="E233" s="7">
        <v>1</v>
      </c>
    </row>
    <row r="234" spans="1:5" ht="15.75" customHeight="1" x14ac:dyDescent="0.2">
      <c r="A234" s="2">
        <v>990</v>
      </c>
      <c r="B234" s="3" t="s">
        <v>226</v>
      </c>
      <c r="C234" s="4" t="str">
        <f ca="1">IFERROR(__xludf.DUMMYFUNCTION("GOOGLETRANSLATE(B234,""ar"",""en"")"),"Gorgeous")</f>
        <v>Gorgeous</v>
      </c>
      <c r="D234" s="9">
        <v>1</v>
      </c>
      <c r="E234" s="7">
        <v>1</v>
      </c>
    </row>
    <row r="235" spans="1:5" ht="15.75" customHeight="1" x14ac:dyDescent="0.2">
      <c r="A235" s="6">
        <v>991</v>
      </c>
      <c r="B235" s="7" t="s">
        <v>227</v>
      </c>
      <c r="C235" s="8" t="str">
        <f ca="1">IFERROR(__xludf.DUMMYFUNCTION("GOOGLETRANSLATE(B235,""ar"",""en"")"),"Sexual harassment and female genital mutilation and violence against women")</f>
        <v>Sexual harassment and female genital mutilation and violence against women</v>
      </c>
      <c r="D235" s="9">
        <v>1</v>
      </c>
      <c r="E235" s="3">
        <v>0</v>
      </c>
    </row>
    <row r="236" spans="1:5" ht="15.75" customHeight="1" x14ac:dyDescent="0.2">
      <c r="A236" s="2">
        <v>994</v>
      </c>
      <c r="B236" s="3" t="s">
        <v>228</v>
      </c>
      <c r="C236" s="4" t="str">
        <f ca="1">IFERROR(__xludf.DUMMYFUNCTION("GOOGLETRANSLATE(B236,""ar"",""en"")"),"Women's issues and sexual harassment")</f>
        <v>Women's issues and sexual harassment</v>
      </c>
      <c r="D236" s="5">
        <v>1</v>
      </c>
      <c r="E236" s="3">
        <v>0</v>
      </c>
    </row>
    <row r="237" spans="1:5" ht="15.75" customHeight="1" x14ac:dyDescent="0.2">
      <c r="A237" s="6">
        <v>998</v>
      </c>
      <c r="B237" s="7" t="s">
        <v>229</v>
      </c>
      <c r="C237" s="8" t="str">
        <f ca="1">IFERROR(__xludf.DUMMYFUNCTION("GOOGLETRANSLATE(B237,""ar"",""en"")"),"A problem for a little girl he used an old footmen")</f>
        <v>A problem for a little girl he used an old footmen</v>
      </c>
      <c r="D237" s="9">
        <v>1</v>
      </c>
      <c r="E237" s="3">
        <v>0</v>
      </c>
    </row>
    <row r="238" spans="1:5" ht="15.75" customHeight="1" x14ac:dyDescent="0.2">
      <c r="A238" s="2">
        <v>999</v>
      </c>
      <c r="B238" s="3" t="s">
        <v>230</v>
      </c>
      <c r="C238" s="4" t="str">
        <f ca="1">IFERROR(__xludf.DUMMYFUNCTION("GOOGLETRANSLATE(B238,""ar"",""en"")"),"Early marriage and women's right to divorce itself")</f>
        <v>Early marriage and women's right to divorce itself</v>
      </c>
      <c r="D238" s="5">
        <v>1</v>
      </c>
      <c r="E238" s="3">
        <v>0</v>
      </c>
    </row>
    <row r="239" spans="1:5" ht="15.75" customHeight="1" x14ac:dyDescent="0.2">
      <c r="A239" s="6">
        <v>1003</v>
      </c>
      <c r="B239" s="7" t="s">
        <v>231</v>
      </c>
      <c r="C239" s="8" t="str">
        <f ca="1">IFERROR(__xludf.DUMMYFUNCTION("GOOGLETRANSLATE(B239,""ar"",""en"")"),"Rings divorce problems. Violence with Alzojat.alkhtan.kev to Choose the groom. The wife after separation rights")</f>
        <v>Rings divorce problems. Violence with Alzojat.alkhtan.kev to Choose the groom. The wife after separation rights</v>
      </c>
      <c r="D239" s="9">
        <v>1</v>
      </c>
      <c r="E239" s="3">
        <v>0</v>
      </c>
    </row>
    <row r="240" spans="1:5" ht="15.75" customHeight="1" x14ac:dyDescent="0.2">
      <c r="A240" s="2">
        <v>1023</v>
      </c>
      <c r="B240" s="3" t="s">
        <v>232</v>
      </c>
      <c r="C240" s="4" t="str">
        <f ca="1">IFERROR(__xludf.DUMMYFUNCTION("GOOGLETRANSLATE(B240,""ar"",""en"")"),"Nihad and her daughters and her mother Kasai girl Pthali episode Tanih about the age of Elias")</f>
        <v>Nihad and her daughters and her mother Kasai girl Pthali episode Tanih about the age of Elias</v>
      </c>
      <c r="D240" s="5">
        <v>1</v>
      </c>
      <c r="E240" s="3">
        <v>0</v>
      </c>
    </row>
    <row r="241" spans="1:5" ht="15.75" customHeight="1" x14ac:dyDescent="0.2">
      <c r="A241" s="2">
        <v>595</v>
      </c>
      <c r="B241" s="3" t="s">
        <v>9</v>
      </c>
      <c r="C241" s="4" t="str">
        <f ca="1">IFERROR(__xludf.DUMMYFUNCTION("GOOGLETRANSLATE(B148,""ar"",""en"")"),"good")</f>
        <v>good</v>
      </c>
      <c r="D241" s="9">
        <v>1</v>
      </c>
      <c r="E241" s="7">
        <v>1</v>
      </c>
    </row>
    <row r="242" spans="1:5" ht="15.75" customHeight="1" x14ac:dyDescent="0.2">
      <c r="A242" s="2">
        <v>1037</v>
      </c>
      <c r="B242" s="3" t="s">
        <v>234</v>
      </c>
      <c r="C242" s="4" t="str">
        <f ca="1">IFERROR(__xludf.DUMMYFUNCTION("GOOGLETRANSLATE(B242,""ar"",""en"")"),"Problems List of movables and underage marriage contracts customary")</f>
        <v>Problems List of movables and underage marriage contracts customary</v>
      </c>
      <c r="D242" s="5">
        <v>1</v>
      </c>
      <c r="E242" s="3">
        <v>0</v>
      </c>
    </row>
    <row r="243" spans="1:5" ht="15.75" customHeight="1" x14ac:dyDescent="0.2">
      <c r="A243" s="6">
        <v>1040</v>
      </c>
      <c r="B243" s="7" t="s">
        <v>235</v>
      </c>
      <c r="C243" s="8" t="str">
        <f ca="1">IFERROR(__xludf.DUMMYFUNCTION("GOOGLETRANSLATE(B243,""ar"",""en"")"),"Tips and Information")</f>
        <v>Tips and Information</v>
      </c>
      <c r="D243" s="9">
        <v>1</v>
      </c>
      <c r="E243" s="3">
        <v>0</v>
      </c>
    </row>
    <row r="244" spans="1:5" ht="15.75" customHeight="1" x14ac:dyDescent="0.2">
      <c r="A244" s="2">
        <v>1048</v>
      </c>
      <c r="B244" s="3" t="s">
        <v>236</v>
      </c>
      <c r="C244" s="4" t="str">
        <f ca="1">IFERROR(__xludf.DUMMYFUNCTION("GOOGLETRANSLATE(B244,""ar"",""en"")"),"Women and harassment issues, and women's issues and empowerment work is, and the issues of personal status, divorced, widows and their rights")</f>
        <v>Women and harassment issues, and women's issues and empowerment work is, and the issues of personal status, divorced, widows and their rights</v>
      </c>
      <c r="D244" s="5">
        <v>1</v>
      </c>
      <c r="E244" s="3">
        <v>0</v>
      </c>
    </row>
    <row r="245" spans="1:5" ht="15.75" customHeight="1" x14ac:dyDescent="0.2">
      <c r="A245" s="6">
        <v>1049</v>
      </c>
      <c r="B245" s="7" t="s">
        <v>237</v>
      </c>
      <c r="C245" s="8" t="str">
        <f ca="1">IFERROR(__xludf.DUMMYFUNCTION("GOOGLETRANSLATE(B245,""ar"",""en"")"),"Rings to Atkelmt where about Alsocheal Media and its impact and workshops on divorce cases")</f>
        <v>Rings to Atkelmt where about Alsocheal Media and its impact and workshops on divorce cases</v>
      </c>
      <c r="D245" s="9">
        <v>1</v>
      </c>
      <c r="E245" s="3">
        <v>0</v>
      </c>
    </row>
    <row r="246" spans="1:5" ht="15.75" customHeight="1" x14ac:dyDescent="0.2">
      <c r="A246" s="2">
        <v>1051</v>
      </c>
      <c r="B246" s="3" t="s">
        <v>238</v>
      </c>
      <c r="C246" s="4" t="str">
        <f ca="1">IFERROR(__xludf.DUMMYFUNCTION("GOOGLETRANSLATE(B246,""ar"",""en"")"),"It was very Kois and benefited from a lot. But I'm very much p mesh only watch TV I am following Fmarafch")</f>
        <v>It was very Kois and benefited from a lot. But I'm very much p mesh only watch TV I am following Fmarafch</v>
      </c>
      <c r="D246" s="5">
        <v>0</v>
      </c>
      <c r="E246" s="3">
        <v>0</v>
      </c>
    </row>
    <row r="247" spans="1:5" ht="15.75" customHeight="1" x14ac:dyDescent="0.2">
      <c r="A247" s="6">
        <v>1052</v>
      </c>
      <c r="B247" s="7" t="s">
        <v>239</v>
      </c>
      <c r="C247" s="8" t="str">
        <f ca="1">IFERROR(__xludf.DUMMYFUNCTION("GOOGLETRANSLATE(B247,""ar"",""en"")"),"It's throat Kasai Khsait very liked so")</f>
        <v>It's throat Kasai Khsait very liked so</v>
      </c>
      <c r="D247" s="9">
        <v>1</v>
      </c>
      <c r="E247" s="3">
        <v>0</v>
      </c>
    </row>
    <row r="248" spans="1:5" ht="15.75" customHeight="1" x14ac:dyDescent="0.2">
      <c r="A248" s="2">
        <v>1057</v>
      </c>
      <c r="B248" s="3" t="s">
        <v>240</v>
      </c>
      <c r="C248" s="4" t="str">
        <f ca="1">IFERROR(__xludf.DUMMYFUNCTION("GOOGLETRANSLATE(B248,""ar"",""en"")"),"Violence against women in the ban-circumcision-marriage of underage employment for women The importance")</f>
        <v>Violence against women in the ban-circumcision-marriage of underage employment for women The importance</v>
      </c>
      <c r="D248" s="5">
        <v>1</v>
      </c>
      <c r="E248" s="3">
        <v>0</v>
      </c>
    </row>
    <row r="249" spans="1:5" ht="15.75" customHeight="1" x14ac:dyDescent="0.2">
      <c r="A249" s="6">
        <v>1058</v>
      </c>
      <c r="B249" s="7" t="s">
        <v>241</v>
      </c>
      <c r="C249" s="8" t="str">
        <f ca="1">IFERROR(__xludf.DUMMYFUNCTION("GOOGLETRANSLATE(B249,""ar"",""en"")"),"Sexual harassment, rape Alaml.jraim Balotefal.altharc colleagues. The difference between divorce and divorce")</f>
        <v>Sexual harassment, rape Alaml.jraim Balotefal.altharc colleagues. The difference between divorce and divorce</v>
      </c>
      <c r="D249" s="9">
        <v>1</v>
      </c>
      <c r="E249" s="3">
        <v>0</v>
      </c>
    </row>
    <row r="250" spans="1:5" ht="15.75" customHeight="1" x14ac:dyDescent="0.2">
      <c r="A250" s="2">
        <v>1061</v>
      </c>
      <c r="B250" s="3" t="s">
        <v>242</v>
      </c>
      <c r="C250" s="4" t="str">
        <f ca="1">IFERROR(__xludf.DUMMYFUNCTION("GOOGLETRANSLATE(B250,""ar"",""en"")"),"Circumcision, violence against women,")</f>
        <v>Circumcision, violence against women,</v>
      </c>
      <c r="D250" s="5">
        <v>1</v>
      </c>
      <c r="E250" s="3">
        <v>0</v>
      </c>
    </row>
    <row r="251" spans="1:5" ht="15.75" customHeight="1" x14ac:dyDescent="0.2">
      <c r="A251" s="6">
        <v>1063</v>
      </c>
      <c r="B251" s="7" t="s">
        <v>243</v>
      </c>
      <c r="C251" s="8" t="str">
        <f ca="1">IFERROR(__xludf.DUMMYFUNCTION("GOOGLETRANSLATE(B251,""ar"",""en"")"),"Useful and meaningful content")</f>
        <v>Useful and meaningful content</v>
      </c>
      <c r="D251" s="9">
        <v>1</v>
      </c>
      <c r="E251" s="7">
        <v>1</v>
      </c>
    </row>
    <row r="252" spans="1:5" ht="15.75" customHeight="1" x14ac:dyDescent="0.2">
      <c r="A252" s="2">
        <v>1066</v>
      </c>
      <c r="B252" s="3" t="s">
        <v>244</v>
      </c>
      <c r="C252" s="4" t="str">
        <f ca="1">IFERROR(__xludf.DUMMYFUNCTION("GOOGLETRANSLATE(B252,""ar"",""en"")"),"Violence, harassment, rape, and to support women in labor")</f>
        <v>Violence, harassment, rape, and to support women in labor</v>
      </c>
      <c r="D252" s="5">
        <v>1</v>
      </c>
      <c r="E252" s="3">
        <v>0</v>
      </c>
    </row>
    <row r="253" spans="1:5" ht="15.75" customHeight="1" x14ac:dyDescent="0.2">
      <c r="A253" s="6">
        <v>1077</v>
      </c>
      <c r="B253" s="7" t="s">
        <v>245</v>
      </c>
      <c r="C253" s="8" t="str">
        <f ca="1">IFERROR(__xludf.DUMMYFUNCTION("GOOGLETRANSLATE(B253,""ar"",""en"")"),"Meaningfully and beneficially rings")</f>
        <v>Meaningfully and beneficially rings</v>
      </c>
      <c r="D253" s="9">
        <v>1</v>
      </c>
      <c r="E253" s="7">
        <v>1</v>
      </c>
    </row>
    <row r="254" spans="1:5" ht="15.75" customHeight="1" x14ac:dyDescent="0.2">
      <c r="A254" s="2">
        <v>1079</v>
      </c>
      <c r="B254" s="3" t="s">
        <v>246</v>
      </c>
      <c r="C254" s="4" t="str">
        <f ca="1">IFERROR(__xludf.DUMMYFUNCTION("GOOGLETRANSLATE(B254,""ar"",""en"")"),"High heel on the job harassment wife beating and post-divorce on children")</f>
        <v>High heel on the job harassment wife beating and post-divorce on children</v>
      </c>
      <c r="D254" s="5">
        <v>1</v>
      </c>
      <c r="E254" s="3">
        <v>0</v>
      </c>
    </row>
    <row r="255" spans="1:5" ht="15.75" customHeight="1" x14ac:dyDescent="0.2">
      <c r="A255" s="6">
        <v>1083</v>
      </c>
      <c r="B255" s="7" t="s">
        <v>247</v>
      </c>
      <c r="C255" s="8" t="str">
        <f ca="1">IFERROR(__xludf.DUMMYFUNCTION("GOOGLETRANSLATE(B255,""ar"",""en"")"),"What do I be happy")</f>
        <v>What do I be happy</v>
      </c>
      <c r="D255" s="9">
        <v>1</v>
      </c>
      <c r="E255" s="3">
        <v>0</v>
      </c>
    </row>
    <row r="256" spans="1:5" ht="15.75" customHeight="1" x14ac:dyDescent="0.2">
      <c r="A256" s="2">
        <v>1085</v>
      </c>
      <c r="B256" s="3" t="s">
        <v>248</v>
      </c>
      <c r="C256" s="4" t="str">
        <f ca="1">IFERROR(__xludf.DUMMYFUNCTION("GOOGLETRANSLATE(B256,""ar"",""en"")"),"The difference between divorce and divorce - female circumcision - harassment - the importance of women's work -")</f>
        <v>The difference between divorce and divorce - female circumcision - harassment - the importance of women's work -</v>
      </c>
      <c r="D256" s="5">
        <v>1</v>
      </c>
      <c r="E256" s="3">
        <v>0</v>
      </c>
    </row>
    <row r="257" spans="1:5" ht="15.75" customHeight="1" x14ac:dyDescent="0.2">
      <c r="A257" s="6">
        <v>1090</v>
      </c>
      <c r="B257" s="7" t="s">
        <v>249</v>
      </c>
      <c r="C257" s="8" t="str">
        <f ca="1">IFERROR(__xludf.DUMMYFUNCTION("GOOGLETRANSLATE(B257,""ar"",""en"")"),"Women's awareness of their rights")</f>
        <v>Women's awareness of their rights</v>
      </c>
      <c r="D257" s="9">
        <v>1</v>
      </c>
      <c r="E257" s="3">
        <v>0</v>
      </c>
    </row>
    <row r="258" spans="1:5" ht="15.75" customHeight="1" x14ac:dyDescent="0.2">
      <c r="A258" s="2">
        <v>1096</v>
      </c>
      <c r="B258" s="3" t="s">
        <v>250</v>
      </c>
      <c r="C258" s="4" t="str">
        <f ca="1">IFERROR(__xludf.DUMMYFUNCTION("GOOGLETRANSLATE(B258,""ar"",""en"")"),"For organizing the day with family work")</f>
        <v>For organizing the day with family work</v>
      </c>
      <c r="D258" s="5">
        <v>1</v>
      </c>
      <c r="E258" s="3">
        <v>0</v>
      </c>
    </row>
    <row r="259" spans="1:5" ht="15.75" customHeight="1" x14ac:dyDescent="0.2">
      <c r="A259" s="6">
        <v>1101</v>
      </c>
      <c r="B259" s="7" t="s">
        <v>251</v>
      </c>
      <c r="C259" s="8" t="str">
        <f ca="1">IFERROR(__xludf.DUMMYFUNCTION("GOOGLETRANSLATE(B259,""ar"",""en"")"),"Alimony rights in divorce and divorce cases")</f>
        <v>Alimony rights in divorce and divorce cases</v>
      </c>
      <c r="D259" s="9">
        <v>1</v>
      </c>
      <c r="E259" s="3">
        <v>0</v>
      </c>
    </row>
    <row r="260" spans="1:5" ht="15.75" customHeight="1" x14ac:dyDescent="0.2">
      <c r="A260" s="2">
        <v>1106</v>
      </c>
      <c r="B260" s="3" t="s">
        <v>252</v>
      </c>
      <c r="C260" s="4" t="str">
        <f ca="1">IFERROR(__xludf.DUMMYFUNCTION("GOOGLETRANSLATE(B260,""ar"",""en"")"),"Violence against Encore and support")</f>
        <v>Violence against Encore and support</v>
      </c>
      <c r="D260" s="5">
        <v>1</v>
      </c>
      <c r="E260" s="3">
        <v>0</v>
      </c>
    </row>
    <row r="261" spans="1:5" ht="15.75" customHeight="1" x14ac:dyDescent="0.2">
      <c r="A261" s="6">
        <v>1107</v>
      </c>
      <c r="B261" s="7" t="s">
        <v>253</v>
      </c>
      <c r="C261" s="8" t="str">
        <f ca="1">IFERROR(__xludf.DUMMYFUNCTION("GOOGLETRANSLATE(B261,""ar"",""en"")"),"I love the problem or hear the case and then, in their opinion, says fraud")</f>
        <v>I love the problem or hear the case and then, in their opinion, says fraud</v>
      </c>
      <c r="D261" s="9">
        <v>1</v>
      </c>
      <c r="E261" s="3">
        <v>0</v>
      </c>
    </row>
    <row r="262" spans="1:5" ht="15.75" customHeight="1" x14ac:dyDescent="0.2">
      <c r="A262" s="2">
        <v>1117</v>
      </c>
      <c r="B262" s="3" t="s">
        <v>254</v>
      </c>
      <c r="C262" s="4" t="str">
        <f ca="1">IFERROR(__xludf.DUMMYFUNCTION("GOOGLETRANSLATE(B262,""ar"",""en"")"),"Circumcision and the second passport")</f>
        <v>Circumcision and the second passport</v>
      </c>
      <c r="D262" s="5">
        <v>1</v>
      </c>
      <c r="E262" s="3">
        <v>0</v>
      </c>
    </row>
    <row r="263" spans="1:5" ht="15.75" customHeight="1" x14ac:dyDescent="0.2">
      <c r="A263" s="6">
        <v>1125</v>
      </c>
      <c r="B263" s="7" t="s">
        <v>255</v>
      </c>
      <c r="C263" s="8" t="str">
        <f ca="1">IFERROR(__xludf.DUMMYFUNCTION("GOOGLETRANSLATE(B263,""ar"",""en"")"),"For inheritance and Jawazh Altanih and Kasai kept personal mission and other")</f>
        <v>For inheritance and Jawazh Altanih and Kasai kept personal mission and other</v>
      </c>
      <c r="D263" s="9">
        <v>1</v>
      </c>
      <c r="E263" s="7">
        <v>1</v>
      </c>
    </row>
    <row r="264" spans="1:5" ht="15.75" customHeight="1" x14ac:dyDescent="0.2">
      <c r="A264" s="2">
        <v>1130</v>
      </c>
      <c r="B264" s="3" t="s">
        <v>256</v>
      </c>
      <c r="C264" s="4" t="str">
        <f ca="1">IFERROR(__xludf.DUMMYFUNCTION("GOOGLETRANSLATE(B264,""ar"",""en"")"),"Divorce and child custody")</f>
        <v>Divorce and child custody</v>
      </c>
      <c r="D264" s="5">
        <v>1</v>
      </c>
      <c r="E264" s="3">
        <v>0</v>
      </c>
    </row>
    <row r="265" spans="1:5" ht="15.75" customHeight="1" x14ac:dyDescent="0.2">
      <c r="A265" s="6">
        <v>1135</v>
      </c>
      <c r="B265" s="7" t="s">
        <v>257</v>
      </c>
      <c r="C265" s="8" t="str">
        <f ca="1">IFERROR(__xludf.DUMMYFUNCTION("GOOGLETRANSLATE(B265,""ar"",""en"")"),"Divorce and women face divorce")</f>
        <v>Divorce and women face divorce</v>
      </c>
      <c r="D265" s="9">
        <v>1</v>
      </c>
      <c r="E265" s="3">
        <v>0</v>
      </c>
    </row>
    <row r="266" spans="1:5" ht="15.75" customHeight="1" x14ac:dyDescent="0.2">
      <c r="A266" s="2">
        <v>1140</v>
      </c>
      <c r="B266" s="3" t="s">
        <v>258</v>
      </c>
      <c r="C266" s="4" t="str">
        <f ca="1">IFERROR(__xludf.DUMMYFUNCTION("GOOGLETRANSLATE(B266,""ar"",""en"")"),"Violence against women / harassment in the work / negative effects of Corona / women filled")</f>
        <v>Violence against women / harassment in the work / negative effects of Corona / women filled</v>
      </c>
      <c r="D266" s="5">
        <v>1</v>
      </c>
      <c r="E266" s="3">
        <v>0</v>
      </c>
    </row>
    <row r="267" spans="1:5" ht="15.75" customHeight="1" x14ac:dyDescent="0.2">
      <c r="A267" s="6">
        <v>1264</v>
      </c>
      <c r="B267" s="7" t="s">
        <v>9</v>
      </c>
      <c r="C267" s="8" t="str">
        <f ca="1">IFERROR(__xludf.DUMMYFUNCTION("GOOGLETRANSLATE(B295,""ar"",""en"")"),"good")</f>
        <v>good</v>
      </c>
      <c r="D267" s="9">
        <v>1</v>
      </c>
      <c r="E267" s="7">
        <v>1</v>
      </c>
    </row>
    <row r="268" spans="1:5" ht="15.75" customHeight="1" x14ac:dyDescent="0.2">
      <c r="A268" s="2">
        <v>1146</v>
      </c>
      <c r="B268" s="3" t="s">
        <v>260</v>
      </c>
      <c r="C268" s="4" t="str">
        <f ca="1">IFERROR(__xludf.DUMMYFUNCTION("GOOGLETRANSLATE(B268,""ar"",""en"")"),"Contracts and circumcision and with sixes")</f>
        <v>Contracts and circumcision and with sixes</v>
      </c>
      <c r="D268" s="5">
        <v>1</v>
      </c>
      <c r="E268" s="3">
        <v>0</v>
      </c>
    </row>
    <row r="269" spans="1:5" ht="15.75" customHeight="1" x14ac:dyDescent="0.2">
      <c r="A269" s="6">
        <v>1149</v>
      </c>
      <c r="B269" s="7" t="s">
        <v>261</v>
      </c>
      <c r="C269" s="8" t="str">
        <f ca="1">IFERROR(__xludf.DUMMYFUNCTION("GOOGLETRANSLATE(B269,""ar"",""en"")"),"Violence against women and harassment of women")</f>
        <v>Violence against women and harassment of women</v>
      </c>
      <c r="D269" s="9">
        <v>1</v>
      </c>
      <c r="E269" s="3">
        <v>0</v>
      </c>
    </row>
    <row r="270" spans="1:5" ht="15.75" customHeight="1" x14ac:dyDescent="0.2">
      <c r="A270" s="2">
        <v>1150</v>
      </c>
      <c r="B270" s="3" t="s">
        <v>262</v>
      </c>
      <c r="C270" s="4" t="str">
        <f ca="1">IFERROR(__xludf.DUMMYFUNCTION("GOOGLETRANSLATE(B270,""ar"",""en"")"),"Is very important and simplified and useful")</f>
        <v>Is very important and simplified and useful</v>
      </c>
      <c r="D270" s="9">
        <v>1</v>
      </c>
      <c r="E270" s="7">
        <v>1</v>
      </c>
    </row>
    <row r="271" spans="1:5" ht="15.75" customHeight="1" x14ac:dyDescent="0.2">
      <c r="A271" s="6">
        <v>1158</v>
      </c>
      <c r="B271" s="7" t="s">
        <v>263</v>
      </c>
      <c r="C271" s="8" t="str">
        <f ca="1">IFERROR(__xludf.DUMMYFUNCTION("GOOGLETRANSLATE(B271,""ar"",""en"")"),"The content of the ring for female circumcision")</f>
        <v>The content of the ring for female circumcision</v>
      </c>
      <c r="D271" s="9">
        <v>1</v>
      </c>
      <c r="E271" s="3">
        <v>0</v>
      </c>
    </row>
    <row r="272" spans="1:5" ht="15.75" customHeight="1" x14ac:dyDescent="0.2">
      <c r="A272" s="2">
        <v>1162</v>
      </c>
      <c r="B272" s="3" t="s">
        <v>264</v>
      </c>
      <c r="C272" s="4" t="str">
        <f ca="1">IFERROR(__xludf.DUMMYFUNCTION("GOOGLETRANSLATE(B272,""ar"",""en"")"),"Inheritances and circumcision")</f>
        <v>Inheritances and circumcision</v>
      </c>
      <c r="D272" s="5">
        <v>1</v>
      </c>
      <c r="E272" s="3">
        <v>0</v>
      </c>
    </row>
    <row r="273" spans="1:5" ht="15.75" customHeight="1" x14ac:dyDescent="0.2">
      <c r="A273" s="6">
        <v>1164</v>
      </c>
      <c r="B273" s="7" t="s">
        <v>265</v>
      </c>
      <c r="C273" s="8" t="str">
        <f ca="1">IFERROR(__xludf.DUMMYFUNCTION("GOOGLETRANSLATE(B273,""ar"",""en"")"),"The last was the need for circumcision")</f>
        <v>The last was the need for circumcision</v>
      </c>
      <c r="D273" s="9">
        <v>1</v>
      </c>
      <c r="E273" s="3">
        <v>0</v>
      </c>
    </row>
    <row r="274" spans="1:5" ht="15.75" customHeight="1" x14ac:dyDescent="0.2">
      <c r="A274" s="2">
        <v>1165</v>
      </c>
      <c r="B274" s="3" t="s">
        <v>266</v>
      </c>
      <c r="C274" s="4" t="str">
        <f ca="1">IFERROR(__xludf.DUMMYFUNCTION("GOOGLETRANSLATE(B274,""ar"",""en"")"),"Women's Issues in the Family")</f>
        <v>Women's Issues in the Family</v>
      </c>
      <c r="D274" s="5">
        <v>1</v>
      </c>
      <c r="E274" s="3">
        <v>0</v>
      </c>
    </row>
    <row r="275" spans="1:5" ht="15.75" customHeight="1" x14ac:dyDescent="0.2">
      <c r="A275" s="6">
        <v>1168</v>
      </c>
      <c r="B275" s="7" t="s">
        <v>267</v>
      </c>
      <c r="C275" s="8" t="str">
        <f ca="1">IFERROR(__xludf.DUMMYFUNCTION("GOOGLETRANSLATE(B275,""ar"",""en"")"),"Ptodh women's legal rights")</f>
        <v>Ptodh women's legal rights</v>
      </c>
      <c r="D275" s="9">
        <v>1</v>
      </c>
      <c r="E275" s="3">
        <v>0</v>
      </c>
    </row>
    <row r="276" spans="1:5" ht="15.75" customHeight="1" x14ac:dyDescent="0.2">
      <c r="A276" s="2">
        <v>1170</v>
      </c>
      <c r="B276" s="3" t="s">
        <v>268</v>
      </c>
      <c r="C276" s="4" t="str">
        <f ca="1">IFERROR(__xludf.DUMMYFUNCTION("GOOGLETRANSLATE(B276,""ar"",""en"")"),"Special problems Belanf prisoners and harassment")</f>
        <v>Special problems Belanf prisoners and harassment</v>
      </c>
      <c r="D276" s="5">
        <v>1</v>
      </c>
      <c r="E276" s="3">
        <v>0</v>
      </c>
    </row>
    <row r="277" spans="1:5" ht="15.75" customHeight="1" x14ac:dyDescent="0.2">
      <c r="A277" s="6">
        <v>1173</v>
      </c>
      <c r="B277" s="7" t="s">
        <v>269</v>
      </c>
      <c r="C277" s="8" t="str">
        <f ca="1">IFERROR(__xludf.DUMMYFUNCTION("GOOGLETRANSLATE(B277,""ar"",""en"")"),"Inheritance")</f>
        <v>Inheritance</v>
      </c>
      <c r="D277" s="9">
        <v>1</v>
      </c>
      <c r="E277" s="3">
        <v>0</v>
      </c>
    </row>
    <row r="278" spans="1:5" ht="15.75" customHeight="1" x14ac:dyDescent="0.2">
      <c r="A278" s="2">
        <v>1183</v>
      </c>
      <c r="B278" s="3" t="s">
        <v>270</v>
      </c>
      <c r="C278" s="4" t="str">
        <f ca="1">IFERROR(__xludf.DUMMYFUNCTION("GOOGLETRANSLATE(B278,""ar"",""en"")"),"Female circumcision and general power of attorney")</f>
        <v>Female circumcision and general power of attorney</v>
      </c>
      <c r="D278" s="5">
        <v>1</v>
      </c>
      <c r="E278" s="3">
        <v>0</v>
      </c>
    </row>
    <row r="279" spans="1:5" ht="15.75" customHeight="1" x14ac:dyDescent="0.2">
      <c r="A279" s="6">
        <v>1189</v>
      </c>
      <c r="B279" s="7" t="s">
        <v>271</v>
      </c>
      <c r="C279" s="8" t="str">
        <f ca="1">IFERROR(__xludf.DUMMYFUNCTION("GOOGLETRANSLATE(B279,""ar"",""en"")"),"Workshops on harassment and violence against women and female genital mutilation")</f>
        <v>Workshops on harassment and violence against women and female genital mutilation</v>
      </c>
      <c r="D279" s="9">
        <v>1</v>
      </c>
      <c r="E279" s="3">
        <v>0</v>
      </c>
    </row>
    <row r="280" spans="1:5" ht="15.75" customHeight="1" x14ac:dyDescent="0.2">
      <c r="A280" s="2">
        <v>1211</v>
      </c>
      <c r="B280" s="3" t="s">
        <v>272</v>
      </c>
      <c r="C280" s="4" t="str">
        <f ca="1">IFERROR(__xludf.DUMMYFUNCTION("GOOGLETRANSLATE(B280,""ar"",""en"")"),"Awareness Corona virus ring awareness against female circumcision")</f>
        <v>Awareness Corona virus ring awareness against female circumcision</v>
      </c>
      <c r="D280" s="5">
        <v>1</v>
      </c>
      <c r="E280" s="3">
        <v>0</v>
      </c>
    </row>
    <row r="281" spans="1:5" ht="15.75" customHeight="1" x14ac:dyDescent="0.2">
      <c r="A281" s="6">
        <v>1214</v>
      </c>
      <c r="B281" s="7" t="s">
        <v>273</v>
      </c>
      <c r="C281" s="8" t="str">
        <f ca="1">IFERROR(__xludf.DUMMYFUNCTION("GOOGLETRANSLATE(B281,""ar"",""en"")"),"The law of women in a row")</f>
        <v>The law of women in a row</v>
      </c>
      <c r="D281" s="9">
        <v>1</v>
      </c>
      <c r="E281" s="3">
        <v>0</v>
      </c>
    </row>
    <row r="282" spans="1:5" ht="15.75" customHeight="1" x14ac:dyDescent="0.2">
      <c r="A282" s="2">
        <v>1216</v>
      </c>
      <c r="B282" s="3" t="s">
        <v>274</v>
      </c>
      <c r="C282" s="4" t="str">
        <f ca="1">IFERROR(__xludf.DUMMYFUNCTION("GOOGLETRANSLATE(B282,""ar"",""en"")"),"About the issue of harassment and filled women")</f>
        <v>About the issue of harassment and filled women</v>
      </c>
      <c r="D282" s="5">
        <v>1</v>
      </c>
      <c r="E282" s="3">
        <v>0</v>
      </c>
    </row>
    <row r="283" spans="1:5" ht="15.75" customHeight="1" x14ac:dyDescent="0.2">
      <c r="A283" s="6">
        <v>1218</v>
      </c>
      <c r="B283" s="7" t="s">
        <v>98</v>
      </c>
      <c r="C283" s="8" t="str">
        <f ca="1">IFERROR(__xludf.DUMMYFUNCTION("GOOGLETRANSLATE(B283,""ar"",""en"")"),"Divorce")</f>
        <v>Divorce</v>
      </c>
      <c r="D283" s="9">
        <v>1</v>
      </c>
      <c r="E283" s="3">
        <v>0</v>
      </c>
    </row>
    <row r="284" spans="1:5" ht="15.75" customHeight="1" x14ac:dyDescent="0.2">
      <c r="A284" s="2">
        <v>1224</v>
      </c>
      <c r="B284" s="3" t="s">
        <v>275</v>
      </c>
      <c r="C284" s="4" t="str">
        <f ca="1">IFERROR(__xludf.DUMMYFUNCTION("GOOGLETRANSLATE(B284,""ar"",""en"")"),"About life issues in the field of law and women's awareness")</f>
        <v>About life issues in the field of law and women's awareness</v>
      </c>
      <c r="D284" s="5">
        <v>1</v>
      </c>
      <c r="E284" s="3">
        <v>0</v>
      </c>
    </row>
    <row r="285" spans="1:5" ht="15.75" customHeight="1" x14ac:dyDescent="0.2">
      <c r="A285" s="6">
        <v>1226</v>
      </c>
      <c r="B285" s="7" t="s">
        <v>276</v>
      </c>
      <c r="C285" s="8" t="str">
        <f ca="1">IFERROR(__xludf.DUMMYFUNCTION("GOOGLETRANSLATE(B285,""ar"",""en"")"),"Useful and interesting")</f>
        <v>Useful and interesting</v>
      </c>
      <c r="D285" s="9">
        <v>1</v>
      </c>
      <c r="E285" s="7">
        <v>1</v>
      </c>
    </row>
    <row r="286" spans="1:5" ht="15.75" customHeight="1" x14ac:dyDescent="0.2">
      <c r="A286" s="2">
        <v>1227</v>
      </c>
      <c r="B286" s="3" t="s">
        <v>277</v>
      </c>
      <c r="C286" s="4" t="str">
        <f ca="1">IFERROR(__xludf.DUMMYFUNCTION("GOOGLETRANSLATE(B286,""ar"",""en"")"),"Episode of what had left of our Lord and law office offset")</f>
        <v>Episode of what had left of our Lord and law office offset</v>
      </c>
      <c r="D286" s="5">
        <v>1</v>
      </c>
      <c r="E286" s="3">
        <v>0</v>
      </c>
    </row>
    <row r="287" spans="1:5" ht="15.75" customHeight="1" x14ac:dyDescent="0.2">
      <c r="A287" s="6">
        <v>1228</v>
      </c>
      <c r="B287" s="7" t="s">
        <v>278</v>
      </c>
      <c r="C287" s="8" t="str">
        <f ca="1">IFERROR(__xludf.DUMMYFUNCTION("GOOGLETRANSLATE(B287,""ar"",""en"")"),"Problems for women")</f>
        <v>Problems for women</v>
      </c>
      <c r="D287" s="9">
        <v>1</v>
      </c>
      <c r="E287" s="3">
        <v>0</v>
      </c>
    </row>
    <row r="288" spans="1:5" ht="15.75" customHeight="1" x14ac:dyDescent="0.2">
      <c r="A288" s="2">
        <v>1231</v>
      </c>
      <c r="B288" s="3" t="s">
        <v>279</v>
      </c>
      <c r="C288" s="4" t="str">
        <f ca="1">IFERROR(__xludf.DUMMYFUNCTION("GOOGLETRANSLATE(B288,""ar"",""en"")"),"Harassment and the effect of the krona on women")</f>
        <v>Harassment and the effect of the krona on women</v>
      </c>
      <c r="D288" s="5">
        <v>1</v>
      </c>
      <c r="E288" s="3">
        <v>0</v>
      </c>
    </row>
    <row r="289" spans="1:5" ht="15.75" customHeight="1" x14ac:dyDescent="0.2">
      <c r="A289" s="6">
        <v>1232</v>
      </c>
      <c r="B289" s="7" t="s">
        <v>280</v>
      </c>
      <c r="C289" s="8" t="str">
        <f ca="1">IFERROR(__xludf.DUMMYFUNCTION("GOOGLETRANSLATE(B289,""ar"",""en"")"),"It was a gathering of her children and Atnaakeco important topics in a sweet way Bs treatment Mabinhm treated by the owners, despite all differences in age")</f>
        <v>It was a gathering of her children and Atnaakeco important topics in a sweet way Bs treatment Mabinhm treated by the owners, despite all differences in age</v>
      </c>
      <c r="D289" s="9">
        <v>1</v>
      </c>
      <c r="E289" s="7">
        <v>1</v>
      </c>
    </row>
    <row r="290" spans="1:5" ht="15.75" customHeight="1" x14ac:dyDescent="0.2">
      <c r="A290" s="2">
        <v>1236</v>
      </c>
      <c r="B290" s="3" t="s">
        <v>281</v>
      </c>
      <c r="C290" s="4" t="str">
        <f ca="1">IFERROR(__xludf.DUMMYFUNCTION("GOOGLETRANSLATE(B290,""ar"",""en"")"),"Women's problems")</f>
        <v>Women's problems</v>
      </c>
      <c r="D290" s="5">
        <v>1</v>
      </c>
      <c r="E290" s="3">
        <v>0</v>
      </c>
    </row>
    <row r="291" spans="1:5" ht="15.75" customHeight="1" x14ac:dyDescent="0.2">
      <c r="A291" s="6">
        <v>1237</v>
      </c>
      <c r="B291" s="7" t="s">
        <v>282</v>
      </c>
      <c r="C291" s="8" t="str">
        <f ca="1">IFERROR(__xludf.DUMMYFUNCTION("GOOGLETRANSLATE(B291,""ar"",""en"")"),"Legal support battered woman")</f>
        <v>Legal support battered woman</v>
      </c>
      <c r="D291" s="9">
        <v>1</v>
      </c>
      <c r="E291" s="3">
        <v>0</v>
      </c>
    </row>
    <row r="292" spans="1:5" ht="15.75" customHeight="1" x14ac:dyDescent="0.2">
      <c r="A292" s="2">
        <v>1238</v>
      </c>
      <c r="B292" s="3" t="s">
        <v>283</v>
      </c>
      <c r="C292" s="4" t="str">
        <f ca="1">IFERROR(__xludf.DUMMYFUNCTION("GOOGLETRANSLATE(B292,""ar"",""en"")"),"The age of forty")</f>
        <v>The age of forty</v>
      </c>
      <c r="D292" s="5">
        <v>1</v>
      </c>
      <c r="E292" s="3">
        <v>0</v>
      </c>
    </row>
    <row r="293" spans="1:5" ht="15.75" customHeight="1" x14ac:dyDescent="0.2">
      <c r="A293" s="6">
        <v>1244</v>
      </c>
      <c r="B293" s="7" t="s">
        <v>284</v>
      </c>
      <c r="C293" s="8" t="str">
        <f ca="1">IFERROR(__xludf.DUMMYFUNCTION("GOOGLETRANSLATE(B293,""ar"",""en"")"),"Episode of sexual harassment of children and how to protect them and also the definition of sexual harassment and the same kinds")</f>
        <v>Episode of sexual harassment of children and how to protect them and also the definition of sexual harassment and the same kinds</v>
      </c>
      <c r="D293" s="9">
        <v>1</v>
      </c>
      <c r="E293" s="3">
        <v>0</v>
      </c>
    </row>
    <row r="294" spans="1:5" ht="15.75" customHeight="1" x14ac:dyDescent="0.2">
      <c r="A294" s="2">
        <v>1260</v>
      </c>
      <c r="B294" s="3" t="s">
        <v>285</v>
      </c>
      <c r="C294" s="4" t="str">
        <f ca="1">IFERROR(__xludf.DUMMYFUNCTION("GOOGLETRANSLATE(B294,""ar"",""en"")"),"It was useful and realistic problems for women")</f>
        <v>It was useful and realistic problems for women</v>
      </c>
      <c r="D294" s="9">
        <v>1</v>
      </c>
      <c r="E294" s="7">
        <v>1</v>
      </c>
    </row>
    <row r="295" spans="1:5" ht="15.75" customHeight="1" x14ac:dyDescent="0.2">
      <c r="A295" s="2">
        <v>1453</v>
      </c>
      <c r="B295" s="3" t="s">
        <v>9</v>
      </c>
      <c r="C295" s="4" t="str">
        <f ca="1">IFERROR(__xludf.DUMMYFUNCTION("GOOGLETRANSLATE(B338,""ar"",""en"")"),"good")</f>
        <v>good</v>
      </c>
      <c r="D295" s="9">
        <v>1</v>
      </c>
      <c r="E295" s="7">
        <v>1</v>
      </c>
    </row>
    <row r="296" spans="1:5" ht="15.75" customHeight="1" x14ac:dyDescent="0.2">
      <c r="A296" s="2">
        <v>1274</v>
      </c>
      <c r="B296" s="3" t="s">
        <v>286</v>
      </c>
      <c r="C296" s="4" t="str">
        <f ca="1">IFERROR(__xludf.DUMMYFUNCTION("GOOGLETRANSLATE(B296,""ar"",""en"")"),"Honest to what we see in the current society")</f>
        <v>Honest to what we see in the current society</v>
      </c>
      <c r="D296" s="5">
        <v>1</v>
      </c>
      <c r="E296" s="3">
        <v>0</v>
      </c>
    </row>
    <row r="297" spans="1:5" ht="15.75" customHeight="1" x14ac:dyDescent="0.2">
      <c r="A297" s="6">
        <v>1277</v>
      </c>
      <c r="B297" s="7" t="s">
        <v>287</v>
      </c>
      <c r="C297" s="8" t="str">
        <f ca="1">IFERROR(__xludf.DUMMYFUNCTION("GOOGLETRANSLATE(B297,""ar"",""en"")"),"On women's issues in general")</f>
        <v>On women's issues in general</v>
      </c>
      <c r="D297" s="9">
        <v>1</v>
      </c>
      <c r="E297" s="3">
        <v>0</v>
      </c>
    </row>
    <row r="298" spans="1:5" ht="15.75" customHeight="1" x14ac:dyDescent="0.2">
      <c r="A298" s="2">
        <v>1280</v>
      </c>
      <c r="B298" s="3" t="s">
        <v>288</v>
      </c>
      <c r="C298" s="4" t="str">
        <f ca="1">IFERROR(__xludf.DUMMYFUNCTION("GOOGLETRANSLATE(B298,""ar"",""en"")"),"Inheritance and domestic violence")</f>
        <v>Inheritance and domestic violence</v>
      </c>
      <c r="D298" s="5">
        <v>1</v>
      </c>
      <c r="E298" s="3">
        <v>0</v>
      </c>
    </row>
    <row r="299" spans="1:5" ht="15.75" customHeight="1" x14ac:dyDescent="0.2">
      <c r="A299" s="6">
        <v>1282</v>
      </c>
      <c r="B299" s="7" t="s">
        <v>289</v>
      </c>
      <c r="C299" s="8" t="str">
        <f ca="1">IFERROR(__xludf.DUMMYFUNCTION("GOOGLETRANSLATE(B299,""ar"",""en"")"),"Women's rights and violence against women")</f>
        <v>Women's rights and violence against women</v>
      </c>
      <c r="D299" s="9">
        <v>1</v>
      </c>
      <c r="E299" s="3">
        <v>0</v>
      </c>
    </row>
    <row r="300" spans="1:5" ht="15.75" customHeight="1" x14ac:dyDescent="0.2">
      <c r="A300" s="2">
        <v>1285</v>
      </c>
      <c r="B300" s="3" t="s">
        <v>290</v>
      </c>
      <c r="C300" s="4" t="str">
        <f ca="1">IFERROR(__xludf.DUMMYFUNCTION("GOOGLETRANSLATE(B300,""ar"",""en"")"),"Tnaakect rings problem of female genital mutilation and other problems to Ptusband woman violin known information on the National Council for Women")</f>
        <v>Tnaakect rings problem of female genital mutilation and other problems to Ptusband woman violin known information on the National Council for Women</v>
      </c>
      <c r="D300" s="5">
        <v>1</v>
      </c>
      <c r="E300" s="3">
        <v>0</v>
      </c>
    </row>
    <row r="301" spans="1:5" ht="15.75" customHeight="1" x14ac:dyDescent="0.2">
      <c r="A301" s="6">
        <v>1288</v>
      </c>
      <c r="B301" s="7" t="s">
        <v>291</v>
      </c>
      <c r="C301" s="8" t="str">
        <f ca="1">IFERROR(__xludf.DUMMYFUNCTION("GOOGLETRANSLATE(B301,""ar"",""en"")"),"If the content of an influential and applied in most areas of women had another Shan higher and better but there are laws that govern the size of women's communal laws mostly")</f>
        <v>If the content of an influential and applied in most areas of women had another Shan higher and better but there are laws that govern the size of women's communal laws mostly</v>
      </c>
      <c r="D301" s="9">
        <v>1</v>
      </c>
      <c r="E301" s="3">
        <v>0</v>
      </c>
    </row>
    <row r="302" spans="1:5" ht="15.75" customHeight="1" x14ac:dyDescent="0.2">
      <c r="A302" s="2">
        <v>1290</v>
      </c>
      <c r="B302" s="3" t="s">
        <v>292</v>
      </c>
      <c r="C302" s="4" t="str">
        <f ca="1">IFERROR(__xludf.DUMMYFUNCTION("GOOGLETRANSLATE(B302,""ar"",""en"")"),"Violence against women and issues of harassment")</f>
        <v>Violence against women and issues of harassment</v>
      </c>
      <c r="D302" s="5">
        <v>1</v>
      </c>
      <c r="E302" s="3">
        <v>0</v>
      </c>
    </row>
    <row r="303" spans="1:5" ht="15.75" customHeight="1" x14ac:dyDescent="0.2">
      <c r="A303" s="6">
        <v>1291</v>
      </c>
      <c r="B303" s="7" t="s">
        <v>293</v>
      </c>
      <c r="C303" s="8" t="str">
        <f ca="1">IFERROR(__xludf.DUMMYFUNCTION("GOOGLETRANSLATE(B303,""ar"",""en"")"),"Female circumcision ,, men Aaozh any reported harassment of Kasai")</f>
        <v>Female circumcision ,, men Aaozh any reported harassment of Kasai</v>
      </c>
      <c r="D303" s="9">
        <v>1</v>
      </c>
      <c r="E303" s="3">
        <v>0</v>
      </c>
    </row>
    <row r="304" spans="1:5" ht="15.75" customHeight="1" x14ac:dyDescent="0.2">
      <c r="A304" s="2">
        <v>1302</v>
      </c>
      <c r="B304" s="3" t="s">
        <v>294</v>
      </c>
      <c r="C304" s="4" t="str">
        <f ca="1">IFERROR(__xludf.DUMMYFUNCTION("GOOGLETRANSLATE(B304,""ar"",""en"")"),"The idea of ​​each episode was ... Worldwide harassment episode was about the story of the girl Worldwide who speak about Facebook and the episode reputation through Facebook about what way we choose Worldwide is true and we get married, most of the episo"&amp;"des showed almost YouTube who was in Ramadan was very beautiful")</f>
        <v>The idea of ​​each episode was ... Worldwide harassment episode was about the story of the girl Worldwide who speak about Facebook and the episode reputation through Facebook about what way we choose Worldwide is true and we get married, most of the episodes showed almost YouTube who was in Ramadan was very beautiful</v>
      </c>
      <c r="D304" s="5">
        <v>1</v>
      </c>
      <c r="E304" s="3">
        <v>0</v>
      </c>
    </row>
    <row r="305" spans="1:5" ht="15.75" customHeight="1" x14ac:dyDescent="0.2">
      <c r="A305" s="6">
        <v>1303</v>
      </c>
      <c r="B305" s="7" t="s">
        <v>295</v>
      </c>
      <c r="C305" s="8" t="str">
        <f ca="1">IFERROR(__xludf.DUMMYFUNCTION("GOOGLETRANSLATE(B305,""ar"",""en"")"),"What do you keep happy despite the inconvenience who Hawwalaki and the protection of girls education and circumcision is not to choose a spouse health")</f>
        <v>What do you keep happy despite the inconvenience who Hawwalaki and the protection of girls education and circumcision is not to choose a spouse health</v>
      </c>
      <c r="D305" s="9">
        <v>1</v>
      </c>
      <c r="E305" s="3">
        <v>0</v>
      </c>
    </row>
    <row r="306" spans="1:5" ht="15.75" customHeight="1" x14ac:dyDescent="0.2">
      <c r="A306" s="2">
        <v>1304</v>
      </c>
      <c r="B306" s="3" t="s">
        <v>296</v>
      </c>
      <c r="C306" s="4" t="str">
        <f ca="1">IFERROR(__xludf.DUMMYFUNCTION("GOOGLETRANSLATE(B306,""ar"",""en"")"),"Circumcision. Harassment")</f>
        <v>Circumcision. Harassment</v>
      </c>
      <c r="D306" s="5">
        <v>1</v>
      </c>
      <c r="E306" s="3">
        <v>0</v>
      </c>
    </row>
    <row r="307" spans="1:5" ht="15.75" customHeight="1" x14ac:dyDescent="0.2">
      <c r="A307" s="6">
        <v>1306</v>
      </c>
      <c r="B307" s="7" t="s">
        <v>297</v>
      </c>
      <c r="C307" s="8" t="str">
        <f ca="1">IFERROR(__xludf.DUMMYFUNCTION("GOOGLETRANSLATE(B307,""ar"",""en"")"),"Loops Worldwide p issues and the role of women in society and how to face all the challenges Elly interface bravely")</f>
        <v>Loops Worldwide p issues and the role of women in society and how to face all the challenges Elly interface bravely</v>
      </c>
      <c r="D307" s="9">
        <v>1</v>
      </c>
      <c r="E307" s="3">
        <v>0</v>
      </c>
    </row>
    <row r="308" spans="1:5" ht="15.75" customHeight="1" x14ac:dyDescent="0.2">
      <c r="A308" s="2">
        <v>1309</v>
      </c>
      <c r="B308" s="3" t="s">
        <v>298</v>
      </c>
      <c r="C308" s="4" t="str">
        <f ca="1">IFERROR(__xludf.DUMMYFUNCTION("GOOGLETRANSLATE(B308,""ar"",""en"")"),"For girls and their story")</f>
        <v>For girls and their story</v>
      </c>
      <c r="D308" s="5">
        <v>1</v>
      </c>
      <c r="E308" s="3">
        <v>0</v>
      </c>
    </row>
    <row r="309" spans="1:5" ht="15.75" customHeight="1" x14ac:dyDescent="0.2">
      <c r="A309" s="6">
        <v>1312</v>
      </c>
      <c r="B309" s="7" t="s">
        <v>299</v>
      </c>
      <c r="C309" s="8" t="str">
        <f ca="1">IFERROR(__xludf.DUMMYFUNCTION("GOOGLETRANSLATE(B309,""ar"",""en"")"),"Support for women and violence against women")</f>
        <v>Support for women and violence against women</v>
      </c>
      <c r="D309" s="9">
        <v>1</v>
      </c>
      <c r="E309" s="3">
        <v>0</v>
      </c>
    </row>
    <row r="310" spans="1:5" ht="15.75" customHeight="1" x14ac:dyDescent="0.2">
      <c r="A310" s="2">
        <v>1314</v>
      </c>
      <c r="B310" s="3" t="s">
        <v>300</v>
      </c>
      <c r="C310" s="4" t="str">
        <f ca="1">IFERROR(__xludf.DUMMYFUNCTION("GOOGLETRANSLATE(B310,""ar"",""en"")"),"For underage marriage and circumcision of girls and rape cases")</f>
        <v>For underage marriage and circumcision of girls and rape cases</v>
      </c>
      <c r="D310" s="5">
        <v>1</v>
      </c>
      <c r="E310" s="3">
        <v>0</v>
      </c>
    </row>
    <row r="311" spans="1:5" ht="15.75" customHeight="1" x14ac:dyDescent="0.2">
      <c r="A311" s="6">
        <v>1321</v>
      </c>
      <c r="B311" s="7" t="s">
        <v>301</v>
      </c>
      <c r="C311" s="8" t="str">
        <f ca="1">IFERROR(__xludf.DUMMYFUNCTION("GOOGLETRANSLATE(B311,""ar"",""en"")"),"Sexual harassment in all its forms")</f>
        <v>Sexual harassment in all its forms</v>
      </c>
      <c r="D311" s="9">
        <v>1</v>
      </c>
      <c r="E311" s="3">
        <v>0</v>
      </c>
    </row>
    <row r="312" spans="1:5" ht="15.75" customHeight="1" x14ac:dyDescent="0.2">
      <c r="A312" s="2">
        <v>1327</v>
      </c>
      <c r="B312" s="3" t="s">
        <v>302</v>
      </c>
      <c r="C312" s="4" t="str">
        <f ca="1">IFERROR(__xludf.DUMMYFUNCTION("GOOGLETRANSLATE(B312,""ar"",""en"")"),"Circumcision of girls .... passport ..... rape")</f>
        <v>Circumcision of girls .... passport ..... rape</v>
      </c>
      <c r="D312" s="5">
        <v>1</v>
      </c>
      <c r="E312" s="3">
        <v>0</v>
      </c>
    </row>
    <row r="313" spans="1:5" ht="15.75" customHeight="1" x14ac:dyDescent="0.2">
      <c r="A313" s="6">
        <v>1328</v>
      </c>
      <c r="B313" s="7" t="s">
        <v>303</v>
      </c>
      <c r="C313" s="8" t="str">
        <f ca="1">IFERROR(__xludf.DUMMYFUNCTION("GOOGLETRANSLATE(B313,""ar"",""en"")"),"Domestic violence")</f>
        <v>Domestic violence</v>
      </c>
      <c r="D313" s="9">
        <v>1</v>
      </c>
      <c r="E313" s="3">
        <v>0</v>
      </c>
    </row>
    <row r="314" spans="1:5" ht="15.75" customHeight="1" x14ac:dyDescent="0.2">
      <c r="A314" s="2">
        <v>1335</v>
      </c>
      <c r="B314" s="3" t="s">
        <v>304</v>
      </c>
      <c r="C314" s="4" t="str">
        <f ca="1">IFERROR(__xludf.DUMMYFUNCTION("GOOGLETRANSLATE(B314,""ar"",""en"")"),"Freedom of appearance")</f>
        <v>Freedom of appearance</v>
      </c>
      <c r="D314" s="5">
        <v>1</v>
      </c>
      <c r="E314" s="3">
        <v>0</v>
      </c>
    </row>
    <row r="315" spans="1:5" ht="15.75" customHeight="1" x14ac:dyDescent="0.2">
      <c r="A315" s="6">
        <v>1336</v>
      </c>
      <c r="B315" s="7" t="s">
        <v>305</v>
      </c>
      <c r="C315" s="8" t="str">
        <f ca="1">IFERROR(__xludf.DUMMYFUNCTION("GOOGLETRANSLATE(B315,""ar"",""en"")"),"Sexual harassment of children and sexual harassment of women and harassment in the work of new female employees and the difference between divorce and divorce")</f>
        <v>Sexual harassment of children and sexual harassment of women and harassment in the work of new female employees and the difference between divorce and divorce</v>
      </c>
      <c r="D315" s="9">
        <v>1</v>
      </c>
      <c r="E315" s="3">
        <v>0</v>
      </c>
    </row>
    <row r="316" spans="1:5" ht="15.75" customHeight="1" x14ac:dyDescent="0.2">
      <c r="A316" s="2">
        <v>1341</v>
      </c>
      <c r="B316" s="3" t="s">
        <v>306</v>
      </c>
      <c r="C316" s="4" t="str">
        <f ca="1">IFERROR(__xludf.DUMMYFUNCTION("GOOGLETRANSLATE(B316,""ar"",""en"")"),"About the needs and problems Koruna Elly entailed")</f>
        <v>About the needs and problems Koruna Elly entailed</v>
      </c>
      <c r="D316" s="5">
        <v>1</v>
      </c>
      <c r="E316" s="3">
        <v>0</v>
      </c>
    </row>
    <row r="317" spans="1:5" ht="15.75" customHeight="1" x14ac:dyDescent="0.2">
      <c r="A317" s="6">
        <v>1343</v>
      </c>
      <c r="B317" s="7" t="s">
        <v>307</v>
      </c>
      <c r="C317" s="8" t="str">
        <f ca="1">IFERROR(__xludf.DUMMYFUNCTION("GOOGLETRANSLATE(B317,""ar"",""en"")"),"Divorce cases, the expense of issues, family problems")</f>
        <v>Divorce cases, the expense of issues, family problems</v>
      </c>
      <c r="D317" s="9">
        <v>1</v>
      </c>
      <c r="E317" s="3">
        <v>0</v>
      </c>
    </row>
    <row r="318" spans="1:5" ht="15.75" customHeight="1" x14ac:dyDescent="0.2">
      <c r="A318" s="2">
        <v>1347</v>
      </c>
      <c r="B318" s="3" t="s">
        <v>308</v>
      </c>
      <c r="C318" s="4" t="str">
        <f ca="1">IFERROR(__xludf.DUMMYFUNCTION("GOOGLETRANSLATE(B318,""ar"",""en"")"),"A discussion of the role of women's legal rights and role of working such as his command")</f>
        <v>A discussion of the role of women's legal rights and role of working such as his command</v>
      </c>
      <c r="D318" s="5">
        <v>1</v>
      </c>
      <c r="E318" s="3">
        <v>0</v>
      </c>
    </row>
    <row r="319" spans="1:5" ht="15.75" customHeight="1" x14ac:dyDescent="0.2">
      <c r="A319" s="6">
        <v>1349</v>
      </c>
      <c r="B319" s="7" t="s">
        <v>309</v>
      </c>
      <c r="C319" s="8" t="str">
        <f ca="1">IFERROR(__xludf.DUMMYFUNCTION("GOOGLETRANSLATE(B319,""ar"",""en"")"),"Dealing with social issues")</f>
        <v>Dealing with social issues</v>
      </c>
      <c r="D319" s="9">
        <v>1</v>
      </c>
      <c r="E319" s="3">
        <v>0</v>
      </c>
    </row>
    <row r="320" spans="1:5" ht="15.75" customHeight="1" x14ac:dyDescent="0.2">
      <c r="A320" s="2">
        <v>1350</v>
      </c>
      <c r="B320" s="3" t="s">
        <v>310</v>
      </c>
      <c r="C320" s="4" t="str">
        <f ca="1">IFERROR(__xludf.DUMMYFUNCTION("GOOGLETRANSLATE(B320,""ar"",""en"")"),"Validity of the signature and registration of contracts. Harassment. List of marriage")</f>
        <v>Validity of the signature and registration of contracts. Harassment. List of marriage</v>
      </c>
      <c r="D320" s="5">
        <v>1</v>
      </c>
      <c r="E320" s="3">
        <v>0</v>
      </c>
    </row>
    <row r="321" spans="1:5" ht="15.75" customHeight="1" x14ac:dyDescent="0.2">
      <c r="A321" s="6">
        <v>1351</v>
      </c>
      <c r="B321" s="7" t="s">
        <v>311</v>
      </c>
      <c r="C321" s="8" t="str">
        <f ca="1">IFERROR(__xludf.DUMMYFUNCTION("GOOGLETRANSLATE(B321,""ar"",""en"")"),"Circumcision harassment")</f>
        <v>Circumcision harassment</v>
      </c>
      <c r="D321" s="9">
        <v>1</v>
      </c>
      <c r="E321" s="3">
        <v>0</v>
      </c>
    </row>
    <row r="322" spans="1:5" ht="15.75" customHeight="1" x14ac:dyDescent="0.2">
      <c r="A322" s="2">
        <v>1364</v>
      </c>
      <c r="B322" s="3" t="s">
        <v>312</v>
      </c>
      <c r="C322" s="4" t="str">
        <f ca="1">IFERROR(__xludf.DUMMYFUNCTION("GOOGLETRANSLATE(B322,""ar"",""en"")"),"Violence against women at work and outside and how to confront it")</f>
        <v>Violence against women at work and outside and how to confront it</v>
      </c>
      <c r="D322" s="5">
        <v>1</v>
      </c>
      <c r="E322" s="3">
        <v>0</v>
      </c>
    </row>
    <row r="323" spans="1:5" ht="15.75" customHeight="1" x14ac:dyDescent="0.2">
      <c r="A323" s="6">
        <v>1372</v>
      </c>
      <c r="B323" s="7" t="s">
        <v>313</v>
      </c>
      <c r="C323" s="8" t="str">
        <f ca="1">IFERROR(__xludf.DUMMYFUNCTION("GOOGLETRANSLATE(B323,""ar"",""en"")"),"Domestic violence .. Education")</f>
        <v>Domestic violence .. Education</v>
      </c>
      <c r="D323" s="9">
        <v>1</v>
      </c>
      <c r="E323" s="3">
        <v>0</v>
      </c>
    </row>
    <row r="324" spans="1:5" ht="15.75" customHeight="1" x14ac:dyDescent="0.2">
      <c r="A324" s="2">
        <v>1376</v>
      </c>
      <c r="B324" s="3" t="s">
        <v>125</v>
      </c>
      <c r="C324" s="4" t="str">
        <f ca="1">IFERROR(__xludf.DUMMYFUNCTION("GOOGLETRANSLATE(B324,""ar"",""en"")"),"Circumcision")</f>
        <v>Circumcision</v>
      </c>
      <c r="D324" s="5">
        <v>1</v>
      </c>
      <c r="E324" s="3">
        <v>0</v>
      </c>
    </row>
    <row r="325" spans="1:5" ht="15.75" customHeight="1" x14ac:dyDescent="0.2">
      <c r="A325" s="6">
        <v>1391</v>
      </c>
      <c r="B325" s="7" t="s">
        <v>314</v>
      </c>
      <c r="C325" s="8" t="str">
        <f ca="1">IFERROR(__xludf.DUMMYFUNCTION("GOOGLETRANSLATE(B325,""ar"",""en"")"),"Harassment and how to address it")</f>
        <v>Harassment and how to address it</v>
      </c>
      <c r="D325" s="9">
        <v>1</v>
      </c>
      <c r="E325" s="3">
        <v>0</v>
      </c>
    </row>
    <row r="326" spans="1:5" ht="15.75" customHeight="1" x14ac:dyDescent="0.2">
      <c r="A326" s="2">
        <v>1392</v>
      </c>
      <c r="B326" s="3" t="s">
        <v>315</v>
      </c>
      <c r="C326" s="4" t="str">
        <f ca="1">IFERROR(__xludf.DUMMYFUNCTION("GOOGLETRANSLATE(B326,""ar"",""en"")"),"Women's rights and women's issues")</f>
        <v>Women's rights and women's issues</v>
      </c>
      <c r="D326" s="5">
        <v>1</v>
      </c>
      <c r="E326" s="3">
        <v>0</v>
      </c>
    </row>
    <row r="327" spans="1:5" ht="15.75" customHeight="1" x14ac:dyDescent="0.2">
      <c r="A327" s="6">
        <v>1395</v>
      </c>
      <c r="B327" s="7" t="s">
        <v>316</v>
      </c>
      <c r="C327" s="8" t="str">
        <f ca="1">IFERROR(__xludf.DUMMYFUNCTION("GOOGLETRANSLATE(B327,""ar"",""en"")"),"Circumcision, harassment, some episodes telling the story of cases of violence mirror")</f>
        <v>Circumcision, harassment, some episodes telling the story of cases of violence mirror</v>
      </c>
      <c r="D327" s="9">
        <v>1</v>
      </c>
      <c r="E327" s="3">
        <v>0</v>
      </c>
    </row>
    <row r="328" spans="1:5" ht="15.75" customHeight="1" x14ac:dyDescent="0.2">
      <c r="A328" s="2">
        <v>1400</v>
      </c>
      <c r="B328" s="3" t="s">
        <v>317</v>
      </c>
      <c r="C328" s="4" t="str">
        <f ca="1">IFERROR(__xludf.DUMMYFUNCTION("GOOGLETRANSLATE(B328,""ar"",""en"")"),"Divorce problems and violence against women")</f>
        <v>Divorce problems and violence against women</v>
      </c>
      <c r="D328" s="5">
        <v>1</v>
      </c>
      <c r="E328" s="3">
        <v>0</v>
      </c>
    </row>
    <row r="329" spans="1:5" ht="15.75" customHeight="1" x14ac:dyDescent="0.2">
      <c r="A329" s="6">
        <v>1407</v>
      </c>
      <c r="B329" s="7" t="s">
        <v>318</v>
      </c>
      <c r="C329" s="8" t="str">
        <f ca="1">IFERROR(__xludf.DUMMYFUNCTION("GOOGLETRANSLATE(B329,""ar"",""en"")"),"Inheritance of women's empowerment of women work for women")</f>
        <v>Inheritance of women's empowerment of women work for women</v>
      </c>
      <c r="D329" s="9">
        <v>1</v>
      </c>
      <c r="E329" s="3">
        <v>0</v>
      </c>
    </row>
    <row r="330" spans="1:5" ht="15.75" customHeight="1" x14ac:dyDescent="0.2">
      <c r="A330" s="2">
        <v>1417</v>
      </c>
      <c r="B330" s="3" t="s">
        <v>319</v>
      </c>
      <c r="C330" s="4" t="str">
        <f ca="1">IFERROR(__xludf.DUMMYFUNCTION("GOOGLETRANSLATE(B330,""ar"",""en"")"),"An important and supportive of women's content")</f>
        <v>An important and supportive of women's content</v>
      </c>
      <c r="D330" s="9">
        <v>1</v>
      </c>
      <c r="E330" s="7">
        <v>1</v>
      </c>
    </row>
    <row r="331" spans="1:5" ht="15.75" customHeight="1" x14ac:dyDescent="0.2">
      <c r="A331" s="6">
        <v>1422</v>
      </c>
      <c r="B331" s="7" t="s">
        <v>320</v>
      </c>
      <c r="C331" s="8" t="str">
        <f ca="1">IFERROR(__xludf.DUMMYFUNCTION("GOOGLETRANSLATE(B331,""ar"",""en"")"),"Awareness")</f>
        <v>Awareness</v>
      </c>
      <c r="D331" s="9">
        <v>1</v>
      </c>
      <c r="E331" s="3">
        <v>0</v>
      </c>
    </row>
    <row r="332" spans="1:5" ht="15.75" customHeight="1" x14ac:dyDescent="0.2">
      <c r="A332" s="2">
        <v>1423</v>
      </c>
      <c r="B332" s="3" t="s">
        <v>321</v>
      </c>
      <c r="C332" s="4" t="str">
        <f ca="1">IFERROR(__xludf.DUMMYFUNCTION("GOOGLETRANSLATE(B332,""ar"",""en"")"),"Absolute expense .. the old rent. Rape. Harassment. a lot")</f>
        <v>Absolute expense .. the old rent. Rape. Harassment. a lot</v>
      </c>
      <c r="D332" s="5">
        <v>1</v>
      </c>
      <c r="E332" s="3">
        <v>0</v>
      </c>
    </row>
    <row r="333" spans="1:5" ht="15.75" customHeight="1" x14ac:dyDescent="0.2">
      <c r="A333" s="6">
        <v>1425</v>
      </c>
      <c r="B333" s="7" t="s">
        <v>322</v>
      </c>
      <c r="C333" s="8" t="str">
        <f ca="1">IFERROR(__xludf.DUMMYFUNCTION("GOOGLETRANSLATE(B333,""ar"",""en"")"),"Professor Nihad her way different in the case narrative or theme of the seminar because it enjoys unique neutrality and often de Elly Bejzbna the Hawwartha Aktar issue was an impressive Villa and who introduced me to it was the episode I heard from a long"&amp;" time were you speaking about marriage of foreign Elly often all Arabs Bahelmo Bay and themselves as they travel and Itjoza foreign Eachdo the nationality of her and then began Otabaha almost regularly because affection are not always available Leah watch"&amp;" television or be online all the time Ashan study or job but as much as possible Bhol Otabaha period and I hope Gaah be a longer time I have to follow them")</f>
        <v>Professor Nihad her way different in the case narrative or theme of the seminar because it enjoys unique neutrality and often de Elly Bejzbna the Hawwartha Aktar issue was an impressive Villa and who introduced me to it was the episode I heard from a long time were you speaking about marriage of foreign Elly often all Arabs Bahelmo Bay and themselves as they travel and Itjoza foreign Eachdo the nationality of her and then began Otabaha almost regularly because affection are not always available Leah watch television or be online all the time Ashan study or job but as much as possible Bhol Otabaha period and I hope Gaah be a longer time I have to follow them</v>
      </c>
      <c r="D333" s="9">
        <v>1</v>
      </c>
      <c r="E333" s="3">
        <v>0</v>
      </c>
    </row>
    <row r="334" spans="1:5" ht="15.75" customHeight="1" x14ac:dyDescent="0.2">
      <c r="A334" s="2">
        <v>1428</v>
      </c>
      <c r="B334" s="3" t="s">
        <v>107</v>
      </c>
      <c r="C334" s="4" t="str">
        <f ca="1">IFERROR(__xludf.DUMMYFUNCTION("GOOGLETRANSLATE(B334,""ar"",""en"")"),"Women's Issues")</f>
        <v>Women's Issues</v>
      </c>
      <c r="D334" s="5">
        <v>1</v>
      </c>
      <c r="E334" s="3">
        <v>0</v>
      </c>
    </row>
    <row r="335" spans="1:5" ht="15.75" customHeight="1" x14ac:dyDescent="0.2">
      <c r="A335" s="6">
        <v>1430</v>
      </c>
      <c r="B335" s="7" t="s">
        <v>323</v>
      </c>
      <c r="C335" s="8" t="str">
        <f ca="1">IFERROR(__xludf.DUMMYFUNCTION("GOOGLETRANSLATE(B335,""ar"",""en"")"),"The legacy of female")</f>
        <v>The legacy of female</v>
      </c>
      <c r="D335" s="9">
        <v>1</v>
      </c>
      <c r="E335" s="3">
        <v>0</v>
      </c>
    </row>
    <row r="336" spans="1:5" ht="15.75" customHeight="1" x14ac:dyDescent="0.2">
      <c r="A336" s="2">
        <v>1431</v>
      </c>
      <c r="B336" s="3" t="s">
        <v>324</v>
      </c>
      <c r="C336" s="4" t="str">
        <f ca="1">IFERROR(__xludf.DUMMYFUNCTION("GOOGLETRANSLATE(B336,""ar"",""en"")"),"Women's right to education")</f>
        <v>Women's right to education</v>
      </c>
      <c r="D336" s="5">
        <v>1</v>
      </c>
      <c r="E336" s="3">
        <v>0</v>
      </c>
    </row>
    <row r="337" spans="1:5" ht="15.75" customHeight="1" x14ac:dyDescent="0.2">
      <c r="A337" s="6">
        <v>1443</v>
      </c>
      <c r="B337" s="7" t="s">
        <v>325</v>
      </c>
      <c r="C337" s="8" t="str">
        <f ca="1">IFERROR(__xludf.DUMMYFUNCTION("GOOGLETRANSLATE(B337,""ar"",""en"")"),"Harassment, customary marriages")</f>
        <v>Harassment, customary marriages</v>
      </c>
      <c r="D337" s="9">
        <v>1</v>
      </c>
      <c r="E337" s="3">
        <v>0</v>
      </c>
    </row>
    <row r="338" spans="1:5" ht="15.75" customHeight="1" x14ac:dyDescent="0.2">
      <c r="A338" s="6">
        <v>1673</v>
      </c>
      <c r="B338" s="7" t="s">
        <v>9</v>
      </c>
      <c r="C338" s="8" t="str">
        <f ca="1">IFERROR(__xludf.DUMMYFUNCTION("GOOGLETRANSLATE(B401,""ar"",""en"")"),"good")</f>
        <v>good</v>
      </c>
      <c r="D338" s="9">
        <v>1</v>
      </c>
      <c r="E338" s="7">
        <v>1</v>
      </c>
    </row>
    <row r="339" spans="1:5" ht="15.75" customHeight="1" x14ac:dyDescent="0.2">
      <c r="A339" s="6">
        <v>1458</v>
      </c>
      <c r="B339" s="7" t="s">
        <v>326</v>
      </c>
      <c r="C339" s="8" t="str">
        <f ca="1">IFERROR(__xludf.DUMMYFUNCTION("GOOGLETRANSLATE(B339,""ar"",""en"")"),"woman")</f>
        <v>woman</v>
      </c>
      <c r="D339" s="9">
        <v>1</v>
      </c>
      <c r="E339" s="3">
        <v>0</v>
      </c>
    </row>
    <row r="340" spans="1:5" ht="15.75" customHeight="1" x14ac:dyDescent="0.2">
      <c r="A340" s="2">
        <v>1460</v>
      </c>
      <c r="B340" s="3" t="s">
        <v>83</v>
      </c>
      <c r="C340" s="4" t="str">
        <f ca="1">IFERROR(__xludf.DUMMYFUNCTION("GOOGLETRANSLATE(B340,""ar"",""en"")"),"violence against Woman")</f>
        <v>violence against Woman</v>
      </c>
      <c r="D340" s="5">
        <v>1</v>
      </c>
      <c r="E340" s="3">
        <v>0</v>
      </c>
    </row>
    <row r="341" spans="1:5" ht="15.75" customHeight="1" x14ac:dyDescent="0.2">
      <c r="A341" s="6">
        <v>1462</v>
      </c>
      <c r="B341" s="7" t="s">
        <v>327</v>
      </c>
      <c r="C341" s="8" t="str">
        <f ca="1">IFERROR(__xludf.DUMMYFUNCTION("GOOGLETRANSLATE(B341,""ar"",""en"")"),"The negative impact of circumcision on the marital life and violence against women")</f>
        <v>The negative impact of circumcision on the marital life and violence against women</v>
      </c>
      <c r="D341" s="9">
        <v>1</v>
      </c>
      <c r="E341" s="3">
        <v>0</v>
      </c>
    </row>
    <row r="342" spans="1:5" ht="15.75" customHeight="1" x14ac:dyDescent="0.2">
      <c r="A342" s="2">
        <v>1467</v>
      </c>
      <c r="B342" s="3" t="s">
        <v>328</v>
      </c>
      <c r="C342" s="4" t="str">
        <f ca="1">IFERROR(__xludf.DUMMYFUNCTION("GOOGLETRANSLATE(B342,""ar"",""en"")"),"Women's participation in parliament")</f>
        <v>Women's participation in parliament</v>
      </c>
      <c r="D342" s="5">
        <v>1</v>
      </c>
      <c r="E342" s="3">
        <v>0</v>
      </c>
    </row>
    <row r="343" spans="1:5" ht="15.75" customHeight="1" x14ac:dyDescent="0.2">
      <c r="A343" s="6">
        <v>1469</v>
      </c>
      <c r="B343" s="7" t="s">
        <v>329</v>
      </c>
      <c r="C343" s="8" t="str">
        <f ca="1">IFERROR(__xludf.DUMMYFUNCTION("GOOGLETRANSLATE(B343,""ar"",""en"")"),"Circumcision. Marriage and rape of girls")</f>
        <v>Circumcision. Marriage and rape of girls</v>
      </c>
      <c r="D343" s="9">
        <v>1</v>
      </c>
      <c r="E343" s="3">
        <v>0</v>
      </c>
    </row>
    <row r="344" spans="1:5" ht="15.75" customHeight="1" x14ac:dyDescent="0.2">
      <c r="A344" s="2">
        <v>1470</v>
      </c>
      <c r="B344" s="3" t="s">
        <v>330</v>
      </c>
      <c r="C344" s="4" t="str">
        <f ca="1">IFERROR(__xludf.DUMMYFUNCTION("GOOGLETRANSLATE(B344,""ar"",""en"")"),"Women's rights in marriage and career professor Nihad internationalist")</f>
        <v>Women's rights in marriage and career professor Nihad internationalist</v>
      </c>
      <c r="D344" s="5">
        <v>1</v>
      </c>
      <c r="E344" s="3">
        <v>0</v>
      </c>
    </row>
    <row r="345" spans="1:5" ht="15.75" customHeight="1" x14ac:dyDescent="0.2">
      <c r="A345" s="6">
        <v>1471</v>
      </c>
      <c r="B345" s="7" t="s">
        <v>331</v>
      </c>
      <c r="C345" s="8" t="str">
        <f ca="1">IFERROR(__xludf.DUMMYFUNCTION("GOOGLETRANSLATE(B345,""ar"",""en"")"),"And purposefully with the idea of")</f>
        <v>And purposefully with the idea of</v>
      </c>
      <c r="D345" s="9">
        <v>1</v>
      </c>
      <c r="E345" s="7">
        <v>1</v>
      </c>
    </row>
    <row r="346" spans="1:5" ht="15.75" customHeight="1" x14ac:dyDescent="0.2">
      <c r="A346" s="2">
        <v>1475</v>
      </c>
      <c r="B346" s="3" t="s">
        <v>332</v>
      </c>
      <c r="C346" s="4" t="str">
        <f ca="1">IFERROR(__xludf.DUMMYFUNCTION("GOOGLETRANSLATE(B346,""ar"",""en"")"),"Worldwide P solution to the issues of family, civil")</f>
        <v>Worldwide P solution to the issues of family, civil</v>
      </c>
      <c r="D346" s="5">
        <v>1</v>
      </c>
      <c r="E346" s="3">
        <v>0</v>
      </c>
    </row>
    <row r="347" spans="1:5" ht="15.75" customHeight="1" x14ac:dyDescent="0.2">
      <c r="A347" s="6">
        <v>1476</v>
      </c>
      <c r="B347" s="7" t="s">
        <v>333</v>
      </c>
      <c r="C347" s="8" t="str">
        <f ca="1">IFERROR(__xludf.DUMMYFUNCTION("GOOGLETRANSLATE(B347,""ar"",""en"")"),"Was Petklm on violence against women")</f>
        <v>Was Petklm on violence against women</v>
      </c>
      <c r="D347" s="9">
        <v>1</v>
      </c>
      <c r="E347" s="3">
        <v>0</v>
      </c>
    </row>
    <row r="348" spans="1:5" ht="15.75" customHeight="1" x14ac:dyDescent="0.2">
      <c r="A348" s="2">
        <v>1480</v>
      </c>
      <c r="B348" s="3" t="s">
        <v>334</v>
      </c>
      <c r="C348" s="4" t="str">
        <f ca="1">IFERROR(__xludf.DUMMYFUNCTION("GOOGLETRANSLATE(B348,""ar"",""en"")"),"Throat talking about hit men for women and for the cause of his throat and throat Faramont about our lives Htngar and smarter after KRONA other rings did not remember")</f>
        <v>Throat talking about hit men for women and for the cause of his throat and throat Faramont about our lives Htngar and smarter after KRONA other rings did not remember</v>
      </c>
      <c r="D348" s="5">
        <v>1</v>
      </c>
      <c r="E348" s="3">
        <v>0</v>
      </c>
    </row>
    <row r="349" spans="1:5" ht="15.75" customHeight="1" x14ac:dyDescent="0.2">
      <c r="A349" s="6">
        <v>1487</v>
      </c>
      <c r="B349" s="7" t="s">
        <v>335</v>
      </c>
      <c r="C349" s="8" t="str">
        <f ca="1">IFERROR(__xludf.DUMMYFUNCTION("GOOGLETRANSLATE(B349,""ar"",""en"")"),"A judge very much related to violence and mirrors the difference between divorce and divorce")</f>
        <v>A judge very much related to violence and mirrors the difference between divorce and divorce</v>
      </c>
      <c r="D349" s="9">
        <v>1</v>
      </c>
      <c r="E349" s="3">
        <v>0</v>
      </c>
    </row>
    <row r="350" spans="1:5" ht="15.75" customHeight="1" x14ac:dyDescent="0.2">
      <c r="A350" s="2">
        <v>1488</v>
      </c>
      <c r="B350" s="3" t="s">
        <v>336</v>
      </c>
      <c r="C350" s="4" t="str">
        <f ca="1">IFERROR(__xludf.DUMMYFUNCTION("GOOGLETRANSLATE(B350,""ar"",""en"")"),"The role of work for women")</f>
        <v>The role of work for women</v>
      </c>
      <c r="D350" s="5">
        <v>1</v>
      </c>
      <c r="E350" s="3">
        <v>0</v>
      </c>
    </row>
    <row r="351" spans="1:5" ht="15.75" customHeight="1" x14ac:dyDescent="0.2">
      <c r="A351" s="6">
        <v>1493</v>
      </c>
      <c r="B351" s="7" t="s">
        <v>337</v>
      </c>
      <c r="C351" s="8" t="str">
        <f ca="1">IFERROR(__xludf.DUMMYFUNCTION("GOOGLETRANSLATE(B351,""ar"",""en"")"),"Circumcision of girls and violence against women")</f>
        <v>Circumcision of girls and violence against women</v>
      </c>
      <c r="D351" s="9">
        <v>1</v>
      </c>
      <c r="E351" s="3">
        <v>0</v>
      </c>
    </row>
    <row r="352" spans="1:5" ht="15.75" customHeight="1" x14ac:dyDescent="0.2">
      <c r="A352" s="2">
        <v>1495</v>
      </c>
      <c r="B352" s="3" t="s">
        <v>338</v>
      </c>
      <c r="C352" s="4" t="str">
        <f ca="1">IFERROR(__xludf.DUMMYFUNCTION("GOOGLETRANSLATE(B352,""ar"",""en"")"),"Negative effects of Corona, harassment in the work, violence against women")</f>
        <v>Negative effects of Corona, harassment in the work, violence against women</v>
      </c>
      <c r="D352" s="5">
        <v>1</v>
      </c>
      <c r="E352" s="3">
        <v>0</v>
      </c>
    </row>
    <row r="353" spans="1:5" ht="15.75" customHeight="1" x14ac:dyDescent="0.2">
      <c r="A353" s="6">
        <v>1502</v>
      </c>
      <c r="B353" s="7" t="s">
        <v>339</v>
      </c>
      <c r="C353" s="8" t="str">
        <f ca="1">IFERROR(__xludf.DUMMYFUNCTION("GOOGLETRANSLATE(B353,""ar"",""en"")"),"What do you do Atalmt entity for myself and keep a personal mission without m wait any limit .. be myself and Bs before any sexual harassment episodes Hajh..o Nash b Bs Allns loyalty also wordy and Kasai Athaoz da")</f>
        <v>What do you do Atalmt entity for myself and keep a personal mission without m wait any limit .. be myself and Bs before any sexual harassment episodes Hajh..o Nash b Bs Allns loyalty also wordy and Kasai Athaoz da</v>
      </c>
      <c r="D353" s="9">
        <v>1</v>
      </c>
      <c r="E353" s="3">
        <v>0</v>
      </c>
    </row>
    <row r="354" spans="1:5" ht="15.75" customHeight="1" x14ac:dyDescent="0.2">
      <c r="A354" s="2">
        <v>1507</v>
      </c>
      <c r="B354" s="3" t="s">
        <v>340</v>
      </c>
      <c r="C354" s="4" t="str">
        <f ca="1">IFERROR(__xludf.DUMMYFUNCTION("GOOGLETRANSLATE(B354,""ar"",""en"")"),"Sexual harassment: What do we deal with him")</f>
        <v>Sexual harassment: What do we deal with him</v>
      </c>
      <c r="D354" s="5">
        <v>1</v>
      </c>
      <c r="E354" s="3">
        <v>0</v>
      </c>
    </row>
    <row r="355" spans="1:5" ht="15.75" customHeight="1" x14ac:dyDescent="0.2">
      <c r="A355" s="6">
        <v>1510</v>
      </c>
      <c r="B355" s="7" t="s">
        <v>341</v>
      </c>
      <c r="C355" s="8" t="str">
        <f ca="1">IFERROR(__xludf.DUMMYFUNCTION("GOOGLETRANSLATE(B355,""ar"",""en"")"),"To discuss issues of concern to women and things, offset and how to face it")</f>
        <v>To discuss issues of concern to women and things, offset and how to face it</v>
      </c>
      <c r="D355" s="9">
        <v>1</v>
      </c>
      <c r="E355" s="3">
        <v>0</v>
      </c>
    </row>
    <row r="356" spans="1:5" ht="15.75" customHeight="1" x14ac:dyDescent="0.2">
      <c r="A356" s="2">
        <v>1513</v>
      </c>
      <c r="B356" s="3" t="s">
        <v>342</v>
      </c>
      <c r="C356" s="4" t="str">
        <f ca="1">IFERROR(__xludf.DUMMYFUNCTION("GOOGLETRANSLATE(B356,""ar"",""en"")"),"Ring content was about female circumcision and its gravity and its psychological impact and negative on the female society")</f>
        <v>Ring content was about female circumcision and its gravity and its psychological impact and negative on the female society</v>
      </c>
      <c r="D356" s="5">
        <v>1</v>
      </c>
      <c r="E356" s="3">
        <v>0</v>
      </c>
    </row>
    <row r="357" spans="1:5" ht="15.75" customHeight="1" x14ac:dyDescent="0.2">
      <c r="A357" s="6">
        <v>1518</v>
      </c>
      <c r="B357" s="7" t="s">
        <v>343</v>
      </c>
      <c r="C357" s="8" t="str">
        <f ca="1">IFERROR(__xludf.DUMMYFUNCTION("GOOGLETRANSLATE(B357,""ar"",""en"")"),"I remember a university student episode US")</f>
        <v>I remember a university student episode US</v>
      </c>
      <c r="D357" s="9">
        <v>1</v>
      </c>
      <c r="E357" s="3">
        <v>0</v>
      </c>
    </row>
    <row r="358" spans="1:5" ht="15.75" customHeight="1" x14ac:dyDescent="0.2">
      <c r="A358" s="2">
        <v>1519</v>
      </c>
      <c r="B358" s="3" t="s">
        <v>344</v>
      </c>
      <c r="C358" s="4" t="str">
        <f ca="1">IFERROR(__xludf.DUMMYFUNCTION("GOOGLETRANSLATE(B358,""ar"",""en"")"),"What do you keep important personal circumcision ban women online")</f>
        <v>What do you keep important personal circumcision ban women online</v>
      </c>
      <c r="D358" s="5">
        <v>1</v>
      </c>
      <c r="E358" s="3">
        <v>0</v>
      </c>
    </row>
    <row r="359" spans="1:5" ht="15.75" customHeight="1" x14ac:dyDescent="0.2">
      <c r="A359" s="6">
        <v>1526</v>
      </c>
      <c r="B359" s="7" t="s">
        <v>345</v>
      </c>
      <c r="C359" s="8" t="str">
        <f ca="1">IFERROR(__xludf.DUMMYFUNCTION("GOOGLETRANSLATE(B359,""ar"",""en"")"),"Almost all were you speaking stories and issues of law and the position of which almost can not remember exactly")</f>
        <v>Almost all were you speaking stories and issues of law and the position of which almost can not remember exactly</v>
      </c>
      <c r="D359" s="9">
        <v>1</v>
      </c>
      <c r="E359" s="3">
        <v>0</v>
      </c>
    </row>
    <row r="360" spans="1:5" ht="15.75" customHeight="1" x14ac:dyDescent="0.2">
      <c r="A360" s="2">
        <v>1530</v>
      </c>
      <c r="B360" s="3" t="s">
        <v>346</v>
      </c>
      <c r="C360" s="4" t="str">
        <f ca="1">IFERROR(__xludf.DUMMYFUNCTION("GOOGLETRANSLATE(B360,""ar"",""en"")"),"Support women's rights, claim and identification of various issues related to women")</f>
        <v>Support women's rights, claim and identification of various issues related to women</v>
      </c>
      <c r="D360" s="5">
        <v>1</v>
      </c>
      <c r="E360" s="3">
        <v>0</v>
      </c>
    </row>
    <row r="361" spans="1:5" ht="15.75" customHeight="1" x14ac:dyDescent="0.2">
      <c r="A361" s="6">
        <v>1531</v>
      </c>
      <c r="B361" s="7" t="s">
        <v>347</v>
      </c>
      <c r="C361" s="8" t="str">
        <f ca="1">IFERROR(__xludf.DUMMYFUNCTION("GOOGLETRANSLATE(B361,""ar"",""en"")"),"Violence against women and children by the husband")</f>
        <v>Violence against women and children by the husband</v>
      </c>
      <c r="D361" s="9">
        <v>1</v>
      </c>
      <c r="E361" s="3">
        <v>0</v>
      </c>
    </row>
    <row r="362" spans="1:5" ht="15.75" customHeight="1" x14ac:dyDescent="0.2">
      <c r="A362" s="2">
        <v>1534</v>
      </c>
      <c r="B362" s="3" t="s">
        <v>348</v>
      </c>
      <c r="C362" s="4" t="str">
        <f ca="1">IFERROR(__xludf.DUMMYFUNCTION("GOOGLETRANSLATE(B362,""ar"",""en"")"),"The difference between divorce and divorce / harassment in the job and face")</f>
        <v>The difference between divorce and divorce / harassment in the job and face</v>
      </c>
      <c r="D362" s="5">
        <v>1</v>
      </c>
      <c r="E362" s="3">
        <v>0</v>
      </c>
    </row>
    <row r="363" spans="1:5" ht="15.75" customHeight="1" x14ac:dyDescent="0.2">
      <c r="A363" s="6">
        <v>1543</v>
      </c>
      <c r="B363" s="7" t="s">
        <v>349</v>
      </c>
      <c r="C363" s="8" t="str">
        <f ca="1">IFERROR(__xludf.DUMMYFUNCTION("GOOGLETRANSLATE(B363,""ar"",""en"")"),"Atfaragt Ali workshops on the subject of harassment")</f>
        <v>Atfaragt Ali workshops on the subject of harassment</v>
      </c>
      <c r="D363" s="9">
        <v>1</v>
      </c>
      <c r="E363" s="3">
        <v>0</v>
      </c>
    </row>
    <row r="364" spans="1:5" ht="15.75" customHeight="1" x14ac:dyDescent="0.2">
      <c r="A364" s="2">
        <v>1550</v>
      </c>
      <c r="B364" s="3" t="s">
        <v>350</v>
      </c>
      <c r="C364" s="4" t="str">
        <f ca="1">IFERROR(__xludf.DUMMYFUNCTION("GOOGLETRANSLATE(B364,""ar"",""en"")"),"Circumcision and the punishment of those who support it and harassment Vyalaml and how to confront violence against women and this Mananih")</f>
        <v>Circumcision and the punishment of those who support it and harassment Vyalaml and how to confront violence against women and this Mananih</v>
      </c>
      <c r="D364" s="5">
        <v>1</v>
      </c>
      <c r="E364" s="3">
        <v>0</v>
      </c>
    </row>
    <row r="365" spans="1:5" ht="15.75" customHeight="1" x14ac:dyDescent="0.2">
      <c r="A365" s="6">
        <v>1551</v>
      </c>
      <c r="B365" s="7" t="s">
        <v>351</v>
      </c>
      <c r="C365" s="8" t="str">
        <f ca="1">IFERROR(__xludf.DUMMYFUNCTION("GOOGLETRANSLATE(B365,""ar"",""en"")"),"Always talk very useful and even videos and recreation delicious and fun is the style of Nihad Abiejbny in a different and you speaking very interesting and useful topics to learn how Alemraep protect themselves")</f>
        <v>Always talk very useful and even videos and recreation delicious and fun is the style of Nihad Abiejbny in a different and you speaking very interesting and useful topics to learn how Alemraep protect themselves</v>
      </c>
      <c r="D365" s="9">
        <v>1</v>
      </c>
      <c r="E365" s="7">
        <v>1</v>
      </c>
    </row>
    <row r="366" spans="1:5" ht="15.75" customHeight="1" x14ac:dyDescent="0.2">
      <c r="A366" s="2">
        <v>1552</v>
      </c>
      <c r="B366" s="3" t="s">
        <v>352</v>
      </c>
      <c r="C366" s="4" t="str">
        <f ca="1">IFERROR(__xludf.DUMMYFUNCTION("GOOGLETRANSLATE(B366,""ar"",""en"")"),"Issues concerning uniform harassment of women")</f>
        <v>Issues concerning uniform harassment of women</v>
      </c>
      <c r="D366" s="5">
        <v>1</v>
      </c>
      <c r="E366" s="3">
        <v>0</v>
      </c>
    </row>
    <row r="367" spans="1:5" ht="15.75" customHeight="1" x14ac:dyDescent="0.2">
      <c r="A367" s="6">
        <v>1566</v>
      </c>
      <c r="B367" s="7" t="s">
        <v>353</v>
      </c>
      <c r="C367" s="8" t="str">
        <f ca="1">IFERROR(__xludf.DUMMYFUNCTION("GOOGLETRANSLATE(B367,""ar"",""en"")"),"Shoft workshop on female circumcision and family issues and divorce Aktar issue can not remember episodes Kues")</f>
        <v>Shoft workshop on female circumcision and family issues and divorce Aktar issue can not remember episodes Kues</v>
      </c>
      <c r="D367" s="9">
        <v>1</v>
      </c>
      <c r="E367" s="3">
        <v>0</v>
      </c>
    </row>
    <row r="368" spans="1:5" ht="15.75" customHeight="1" x14ac:dyDescent="0.2">
      <c r="A368" s="2">
        <v>1570</v>
      </c>
      <c r="B368" s="3" t="s">
        <v>354</v>
      </c>
      <c r="C368" s="4" t="str">
        <f ca="1">IFERROR(__xludf.DUMMYFUNCTION("GOOGLETRANSLATE(B368,""ar"",""en"")"),"Simplified content clearly a media professionals frequent follow-up, but sometimes cause depression")</f>
        <v>Simplified content clearly a media professionals frequent follow-up, but sometimes cause depression</v>
      </c>
      <c r="D368" s="9">
        <v>1</v>
      </c>
      <c r="E368" s="7">
        <v>1</v>
      </c>
    </row>
    <row r="369" spans="1:5" ht="15.75" customHeight="1" x14ac:dyDescent="0.2">
      <c r="A369" s="6">
        <v>1573</v>
      </c>
      <c r="B369" s="7" t="s">
        <v>355</v>
      </c>
      <c r="C369" s="8" t="str">
        <f ca="1">IFERROR(__xludf.DUMMYFUNCTION("GOOGLETRANSLATE(B369,""ar"",""en"")"),"On education between the public and private differences and almost Ktobat and the way to deal")</f>
        <v>On education between the public and private differences and almost Ktobat and the way to deal</v>
      </c>
      <c r="D369" s="9">
        <v>1</v>
      </c>
      <c r="E369" s="3">
        <v>0</v>
      </c>
    </row>
    <row r="370" spans="1:5" ht="15.75" customHeight="1" x14ac:dyDescent="0.2">
      <c r="A370" s="2">
        <v>1575</v>
      </c>
      <c r="B370" s="3" t="s">
        <v>356</v>
      </c>
      <c r="C370" s="4" t="str">
        <f ca="1">IFERROR(__xludf.DUMMYFUNCTION("GOOGLETRANSLATE(B370,""ar"",""en"")"),"Atfaragt on the throat of circumcision and violence against women")</f>
        <v>Atfaragt on the throat of circumcision and violence against women</v>
      </c>
      <c r="D370" s="5">
        <v>1</v>
      </c>
      <c r="E370" s="3">
        <v>0</v>
      </c>
    </row>
    <row r="371" spans="1:5" ht="15.75" customHeight="1" x14ac:dyDescent="0.2">
      <c r="A371" s="6">
        <v>1584</v>
      </c>
      <c r="B371" s="7" t="s">
        <v>357</v>
      </c>
      <c r="C371" s="8" t="str">
        <f ca="1">IFERROR(__xludf.DUMMYFUNCTION("GOOGLETRANSLATE(B371,""ar"",""en"")"),"Harassment and divorce")</f>
        <v>Harassment and divorce</v>
      </c>
      <c r="D371" s="9">
        <v>1</v>
      </c>
      <c r="E371" s="3">
        <v>0</v>
      </c>
    </row>
    <row r="372" spans="1:5" ht="15.75" customHeight="1" x14ac:dyDescent="0.2">
      <c r="A372" s="2">
        <v>1585</v>
      </c>
      <c r="B372" s="3" t="s">
        <v>96</v>
      </c>
      <c r="C372" s="4" t="str">
        <f ca="1">IFERROR(__xludf.DUMMYFUNCTION("GOOGLETRANSLATE(B372,""ar"",""en"")"),"Talk about women's rights")</f>
        <v>Talk about women's rights</v>
      </c>
      <c r="D372" s="5">
        <v>1</v>
      </c>
      <c r="E372" s="3">
        <v>0</v>
      </c>
    </row>
    <row r="373" spans="1:5" ht="15.75" customHeight="1" x14ac:dyDescent="0.2">
      <c r="A373" s="6">
        <v>1595</v>
      </c>
      <c r="B373" s="7" t="s">
        <v>358</v>
      </c>
      <c r="C373" s="8" t="str">
        <f ca="1">IFERROR(__xludf.DUMMYFUNCTION("GOOGLETRANSLATE(B373,""ar"",""en"")"),"The legal situation of some women's issues, harassment,")</f>
        <v>The legal situation of some women's issues, harassment,</v>
      </c>
      <c r="D373" s="9">
        <v>1</v>
      </c>
      <c r="E373" s="3">
        <v>0</v>
      </c>
    </row>
    <row r="374" spans="1:5" ht="15.75" customHeight="1" x14ac:dyDescent="0.2">
      <c r="A374" s="2">
        <v>1599</v>
      </c>
      <c r="B374" s="3" t="s">
        <v>359</v>
      </c>
      <c r="C374" s="4" t="str">
        <f ca="1">IFERROR(__xludf.DUMMYFUNCTION("GOOGLETRANSLATE(B374,""ar"",""en"")"),"The persecution of women from the husband, not the empowerment of women, silence their rights")</f>
        <v>The persecution of women from the husband, not the empowerment of women, silence their rights</v>
      </c>
      <c r="D374" s="5">
        <v>1</v>
      </c>
      <c r="E374" s="3">
        <v>0</v>
      </c>
    </row>
    <row r="375" spans="1:5" ht="15.75" customHeight="1" x14ac:dyDescent="0.2">
      <c r="A375" s="6">
        <v>1601</v>
      </c>
      <c r="B375" s="7" t="s">
        <v>107</v>
      </c>
      <c r="C375" s="8" t="str">
        <f ca="1">IFERROR(__xludf.DUMMYFUNCTION("GOOGLETRANSLATE(B375,""ar"",""en"")"),"Women's Issues")</f>
        <v>Women's Issues</v>
      </c>
      <c r="D375" s="9">
        <v>1</v>
      </c>
      <c r="E375" s="3">
        <v>0</v>
      </c>
    </row>
    <row r="376" spans="1:5" ht="15.75" customHeight="1" x14ac:dyDescent="0.2">
      <c r="A376" s="2">
        <v>1605</v>
      </c>
      <c r="B376" s="3" t="s">
        <v>360</v>
      </c>
      <c r="C376" s="4" t="str">
        <f ca="1">IFERROR(__xludf.DUMMYFUNCTION("GOOGLETRANSLATE(B376,""ar"",""en"")"),"I am a fan of the time Nihad accompanying teachers Angrjt on the rings and arrange home Kasai Ader my time, and rape, and Kasai know to protect myself and Eilty and very much of the episodes that are not mentioned a capacity")</f>
        <v>I am a fan of the time Nihad accompanying teachers Angrjt on the rings and arrange home Kasai Ader my time, and rape, and Kasai know to protect myself and Eilty and very much of the episodes that are not mentioned a capacity</v>
      </c>
      <c r="D376" s="5">
        <v>1</v>
      </c>
      <c r="E376" s="3">
        <v>0</v>
      </c>
    </row>
    <row r="377" spans="1:5" ht="15.75" customHeight="1" x14ac:dyDescent="0.2">
      <c r="A377" s="6">
        <v>1613</v>
      </c>
      <c r="B377" s="7" t="s">
        <v>361</v>
      </c>
      <c r="C377" s="8" t="str">
        <f ca="1">IFERROR(__xludf.DUMMYFUNCTION("GOOGLETRANSLATE(B377,""ar"",""en"")"),"For women rights")</f>
        <v>For women rights</v>
      </c>
      <c r="D377" s="9">
        <v>1</v>
      </c>
      <c r="E377" s="3">
        <v>0</v>
      </c>
    </row>
    <row r="378" spans="1:5" ht="15.75" customHeight="1" x14ac:dyDescent="0.2">
      <c r="A378" s="2">
        <v>1614</v>
      </c>
      <c r="B378" s="3" t="s">
        <v>362</v>
      </c>
      <c r="C378" s="4" t="str">
        <f ca="1">IFERROR(__xludf.DUMMYFUNCTION("GOOGLETRANSLATE(B378,""ar"",""en"")"),"An anti circumcision rejection of violence")</f>
        <v>An anti circumcision rejection of violence</v>
      </c>
      <c r="D378" s="5">
        <v>1</v>
      </c>
      <c r="E378" s="3">
        <v>0</v>
      </c>
    </row>
    <row r="379" spans="1:5" ht="15.75" customHeight="1" x14ac:dyDescent="0.2">
      <c r="A379" s="6">
        <v>1615</v>
      </c>
      <c r="B379" s="7" t="s">
        <v>363</v>
      </c>
      <c r="C379" s="8" t="str">
        <f ca="1">IFERROR(__xludf.DUMMYFUNCTION("GOOGLETRANSLATE(B379,""ar"",""en"")"),"Circumcision and violence against women and other")</f>
        <v>Circumcision and violence against women and other</v>
      </c>
      <c r="D379" s="9">
        <v>1</v>
      </c>
      <c r="E379" s="3">
        <v>0</v>
      </c>
    </row>
    <row r="380" spans="1:5" ht="15.75" customHeight="1" x14ac:dyDescent="0.2">
      <c r="A380" s="2">
        <v>1616</v>
      </c>
      <c r="B380" s="3" t="s">
        <v>364</v>
      </c>
      <c r="C380" s="4" t="str">
        <f ca="1">IFERROR(__xludf.DUMMYFUNCTION("GOOGLETRANSLATE(B380,""ar"",""en"")"),"I benefited a lot of them")</f>
        <v>I benefited a lot of them</v>
      </c>
      <c r="D380" s="9">
        <v>1</v>
      </c>
      <c r="E380" s="7">
        <v>1</v>
      </c>
    </row>
    <row r="381" spans="1:5" ht="15.75" customHeight="1" x14ac:dyDescent="0.2">
      <c r="A381" s="6">
        <v>1620</v>
      </c>
      <c r="B381" s="7" t="s">
        <v>365</v>
      </c>
      <c r="C381" s="8" t="str">
        <f ca="1">IFERROR(__xludf.DUMMYFUNCTION("GOOGLETRANSLATE(B381,""ar"",""en"")"),"Women's rights upon divorce, enabling the wife of the apartment, the new law and the vision of children")</f>
        <v>Women's rights upon divorce, enabling the wife of the apartment, the new law and the vision of children</v>
      </c>
      <c r="D381" s="9">
        <v>1</v>
      </c>
      <c r="E381" s="3">
        <v>0</v>
      </c>
    </row>
    <row r="382" spans="1:5" ht="15.75" customHeight="1" x14ac:dyDescent="0.2">
      <c r="A382" s="2">
        <v>1622</v>
      </c>
      <c r="B382" s="3" t="s">
        <v>366</v>
      </c>
      <c r="C382" s="4" t="str">
        <f ca="1">IFERROR(__xludf.DUMMYFUNCTION("GOOGLETRANSLATE(B382,""ar"",""en"")"),"Kasai remains an important figure")</f>
        <v>Kasai remains an important figure</v>
      </c>
      <c r="D382" s="9">
        <v>1</v>
      </c>
      <c r="E382" s="7">
        <v>1</v>
      </c>
    </row>
    <row r="383" spans="1:5" ht="15.75" customHeight="1" x14ac:dyDescent="0.2">
      <c r="A383" s="6">
        <v>1623</v>
      </c>
      <c r="B383" s="7" t="s">
        <v>367</v>
      </c>
      <c r="C383" s="8" t="str">
        <f ca="1">IFERROR(__xludf.DUMMYFUNCTION("GOOGLETRANSLATE(B383,""ar"",""en"")"),".. Circumcision means a word man")</f>
        <v>.. Circumcision means a word man</v>
      </c>
      <c r="D383" s="9">
        <v>1</v>
      </c>
      <c r="E383" s="3">
        <v>0</v>
      </c>
    </row>
    <row r="384" spans="1:5" ht="15.75" customHeight="1" x14ac:dyDescent="0.2">
      <c r="A384" s="2">
        <v>1624</v>
      </c>
      <c r="B384" s="3" t="s">
        <v>368</v>
      </c>
      <c r="C384" s="4" t="str">
        <f ca="1">IFERROR(__xludf.DUMMYFUNCTION("GOOGLETRANSLATE(B384,""ar"",""en"")"),"Divorce cases")</f>
        <v>Divorce cases</v>
      </c>
      <c r="D384" s="5">
        <v>1</v>
      </c>
      <c r="E384" s="3">
        <v>0</v>
      </c>
    </row>
    <row r="385" spans="1:5" ht="15.75" customHeight="1" x14ac:dyDescent="0.2">
      <c r="A385" s="6">
        <v>1625</v>
      </c>
      <c r="B385" s="7" t="s">
        <v>369</v>
      </c>
      <c r="C385" s="8" t="str">
        <f ca="1">IFERROR(__xludf.DUMMYFUNCTION("GOOGLETRANSLATE(B385,""ar"",""en"")"),"Vision")</f>
        <v>Vision</v>
      </c>
      <c r="D385" s="9">
        <v>1</v>
      </c>
      <c r="E385" s="3">
        <v>0</v>
      </c>
    </row>
    <row r="386" spans="1:5" ht="15.75" customHeight="1" x14ac:dyDescent="0.2">
      <c r="A386" s="2">
        <v>1630</v>
      </c>
      <c r="B386" s="3" t="s">
        <v>370</v>
      </c>
      <c r="C386" s="4" t="str">
        <f ca="1">IFERROR(__xludf.DUMMYFUNCTION("GOOGLETRANSLATE(B386,""ar"",""en"")"),"Bezid a successful program of women's awareness of their rights")</f>
        <v>Bezid a successful program of women's awareness of their rights</v>
      </c>
      <c r="D386" s="5">
        <v>1</v>
      </c>
      <c r="E386" s="3">
        <v>0</v>
      </c>
    </row>
    <row r="387" spans="1:5" ht="15.75" customHeight="1" x14ac:dyDescent="0.2">
      <c r="A387" s="6">
        <v>1631</v>
      </c>
      <c r="B387" s="7" t="s">
        <v>371</v>
      </c>
      <c r="C387" s="8" t="str">
        <f ca="1">IFERROR(__xludf.DUMMYFUNCTION("GOOGLETRANSLATE(B387,""ar"",""en"")"),"Socio-cultural")</f>
        <v>Socio-cultural</v>
      </c>
      <c r="D387" s="9">
        <v>1</v>
      </c>
      <c r="E387" s="3">
        <v>0</v>
      </c>
    </row>
    <row r="388" spans="1:5" ht="15.75" customHeight="1" x14ac:dyDescent="0.2">
      <c r="A388" s="2">
        <v>1632</v>
      </c>
      <c r="B388" s="3" t="s">
        <v>372</v>
      </c>
      <c r="C388" s="4" t="str">
        <f ca="1">IFERROR(__xludf.DUMMYFUNCTION("GOOGLETRANSLATE(B388,""ar"",""en"")"),"Freedom of confusion and feel 'the beauty of women after forty' achievement on the subject of girl Fairmont 'stubbornness and causing the destruction of the houses because of the hardening of opinion and other rings")</f>
        <v>Freedom of confusion and feel 'the beauty of women after forty' achievement on the subject of girl Fairmont 'stubbornness and causing the destruction of the houses because of the hardening of opinion and other rings</v>
      </c>
      <c r="D388" s="5">
        <v>1</v>
      </c>
      <c r="E388" s="3">
        <v>0</v>
      </c>
    </row>
    <row r="389" spans="1:5" ht="15.75" customHeight="1" x14ac:dyDescent="0.2">
      <c r="A389" s="6">
        <v>1635</v>
      </c>
      <c r="B389" s="7" t="s">
        <v>373</v>
      </c>
      <c r="C389" s="8" t="str">
        <f ca="1">IFERROR(__xludf.DUMMYFUNCTION("GOOGLETRANSLATE(B389,""ar"",""en"")"),"About life after marriage and rights")</f>
        <v>About life after marriage and rights</v>
      </c>
      <c r="D389" s="9">
        <v>1</v>
      </c>
      <c r="E389" s="3">
        <v>0</v>
      </c>
    </row>
    <row r="390" spans="1:5" ht="15.75" customHeight="1" x14ac:dyDescent="0.2">
      <c r="A390" s="2">
        <v>1636</v>
      </c>
      <c r="B390" s="3" t="s">
        <v>374</v>
      </c>
      <c r="C390" s="4" t="str">
        <f ca="1">IFERROR(__xludf.DUMMYFUNCTION("GOOGLETRANSLATE(B390,""ar"",""en"")"),"Interested in the Balemraeh and Qzaiha")</f>
        <v>Interested in the Balemraeh and Qzaiha</v>
      </c>
      <c r="D390" s="9">
        <v>1</v>
      </c>
      <c r="E390" s="7">
        <v>1</v>
      </c>
    </row>
    <row r="391" spans="1:5" ht="15.75" customHeight="1" x14ac:dyDescent="0.2">
      <c r="A391" s="2">
        <v>4086</v>
      </c>
      <c r="B391" s="3" t="s">
        <v>9</v>
      </c>
      <c r="C391" s="4" t="str">
        <f ca="1">IFERROR(__xludf.DUMMYFUNCTION("GOOGLETRANSLATE(B984,""ar"",""en"")"),"good")</f>
        <v>good</v>
      </c>
      <c r="D391" s="9">
        <v>1</v>
      </c>
      <c r="E391" s="7">
        <v>1</v>
      </c>
    </row>
    <row r="392" spans="1:5" ht="15.75" customHeight="1" x14ac:dyDescent="0.2">
      <c r="A392" s="2">
        <v>1639</v>
      </c>
      <c r="B392" s="3" t="s">
        <v>376</v>
      </c>
      <c r="C392" s="4" t="str">
        <f ca="1">IFERROR(__xludf.DUMMYFUNCTION("GOOGLETRANSLATE(B392,""ar"",""en"")"),"Legal and life")</f>
        <v>Legal and life</v>
      </c>
      <c r="D392" s="5">
        <v>1</v>
      </c>
      <c r="E392" s="3">
        <v>0</v>
      </c>
    </row>
    <row r="393" spans="1:5" ht="15.75" customHeight="1" x14ac:dyDescent="0.2">
      <c r="A393" s="6">
        <v>1640</v>
      </c>
      <c r="B393" s="7" t="s">
        <v>377</v>
      </c>
      <c r="C393" s="8" t="str">
        <f ca="1">IFERROR(__xludf.DUMMYFUNCTION("GOOGLETRANSLATE(B393,""ar"",""en"")"),"Close to some extent to the events")</f>
        <v>Close to some extent to the events</v>
      </c>
      <c r="D393" s="9">
        <v>1</v>
      </c>
      <c r="E393" s="3">
        <v>0</v>
      </c>
    </row>
    <row r="394" spans="1:5" ht="15.75" customHeight="1" x14ac:dyDescent="0.2">
      <c r="A394" s="2">
        <v>1641</v>
      </c>
      <c r="B394" s="3" t="s">
        <v>378</v>
      </c>
      <c r="C394" s="4" t="str">
        <f ca="1">IFERROR(__xludf.DUMMYFUNCTION("GOOGLETRANSLATE(B394,""ar"",""en"")"),"Violence against women, female genital mutilation, harassment and models of success for girls")</f>
        <v>Violence against women, female genital mutilation, harassment and models of success for girls</v>
      </c>
      <c r="D394" s="5">
        <v>1</v>
      </c>
      <c r="E394" s="3">
        <v>0</v>
      </c>
    </row>
    <row r="395" spans="1:5" ht="15.75" customHeight="1" x14ac:dyDescent="0.2">
      <c r="A395" s="6">
        <v>1644</v>
      </c>
      <c r="B395" s="7" t="s">
        <v>379</v>
      </c>
      <c r="C395" s="8" t="str">
        <f ca="1">IFERROR(__xludf.DUMMYFUNCTION("GOOGLETRANSLATE(B395,""ar"",""en"")"),"Meals husband and building the future, and the workshop on civil society")</f>
        <v>Meals husband and building the future, and the workshop on civil society</v>
      </c>
      <c r="D395" s="9">
        <v>1</v>
      </c>
      <c r="E395" s="3">
        <v>0</v>
      </c>
    </row>
    <row r="396" spans="1:5" ht="15.75" customHeight="1" x14ac:dyDescent="0.2">
      <c r="A396" s="2">
        <v>1657</v>
      </c>
      <c r="B396" s="3" t="s">
        <v>380</v>
      </c>
      <c r="C396" s="4" t="str">
        <f ca="1">IFERROR(__xludf.DUMMYFUNCTION("GOOGLETRANSLATE(B396,""ar"",""en"")"),"The episode showed Ptgi for the owners of motivational and in workshops on harassment")</f>
        <v>The episode showed Ptgi for the owners of motivational and in workshops on harassment</v>
      </c>
      <c r="D396" s="5">
        <v>1</v>
      </c>
      <c r="E396" s="3">
        <v>0</v>
      </c>
    </row>
    <row r="397" spans="1:5" ht="15.75" customHeight="1" x14ac:dyDescent="0.2">
      <c r="A397" s="6">
        <v>1659</v>
      </c>
      <c r="B397" s="7" t="s">
        <v>381</v>
      </c>
      <c r="C397" s="8" t="str">
        <f ca="1">IFERROR(__xludf.DUMMYFUNCTION("GOOGLETRANSLATE(B397,""ar"",""en"")"),"Talk about multiple issues concerning women")</f>
        <v>Talk about multiple issues concerning women</v>
      </c>
      <c r="D397" s="9">
        <v>1</v>
      </c>
      <c r="E397" s="3">
        <v>0</v>
      </c>
    </row>
    <row r="398" spans="1:5" ht="15.75" customHeight="1" x14ac:dyDescent="0.2">
      <c r="A398" s="2">
        <v>1660</v>
      </c>
      <c r="B398" s="3" t="s">
        <v>382</v>
      </c>
      <c r="C398" s="4" t="str">
        <f ca="1">IFERROR(__xludf.DUMMYFUNCTION("GOOGLETRANSLATE(B398,""ar"",""en"")"),"Talk about women's rights and issues")</f>
        <v>Talk about women's rights and issues</v>
      </c>
      <c r="D398" s="5">
        <v>1</v>
      </c>
      <c r="E398" s="3">
        <v>0</v>
      </c>
    </row>
    <row r="399" spans="1:5" ht="15.75" customHeight="1" x14ac:dyDescent="0.2">
      <c r="A399" s="6">
        <v>1666</v>
      </c>
      <c r="B399" s="7" t="s">
        <v>383</v>
      </c>
      <c r="C399" s="8" t="str">
        <f ca="1">IFERROR(__xludf.DUMMYFUNCTION("GOOGLETRANSLATE(B399,""ar"",""en"")"),"Women support legal awareness and psychologically to some extent")</f>
        <v>Women support legal awareness and psychologically to some extent</v>
      </c>
      <c r="D399" s="9">
        <v>1</v>
      </c>
      <c r="E399" s="3">
        <v>0</v>
      </c>
    </row>
    <row r="400" spans="1:5" ht="15.75" customHeight="1" x14ac:dyDescent="0.2">
      <c r="A400" s="2">
        <v>1672</v>
      </c>
      <c r="B400" s="3" t="s">
        <v>384</v>
      </c>
      <c r="C400" s="4" t="str">
        <f ca="1">IFERROR(__xludf.DUMMYFUNCTION("GOOGLETRANSLATE(B400,""ar"",""en"")"),"Specifically women about divorce issues")</f>
        <v>Specifically women about divorce issues</v>
      </c>
      <c r="D400" s="5">
        <v>1</v>
      </c>
      <c r="E400" s="3">
        <v>0</v>
      </c>
    </row>
    <row r="401" spans="1:5" ht="15.75" customHeight="1" x14ac:dyDescent="0.2">
      <c r="A401" s="6">
        <v>961</v>
      </c>
      <c r="B401" s="7" t="s">
        <v>213</v>
      </c>
      <c r="C401" s="8" t="str">
        <f ca="1">IFERROR(__xludf.DUMMYFUNCTION("GOOGLETRANSLATE(B221,""ar"",""en"")"),"very good")</f>
        <v>very good</v>
      </c>
      <c r="D401" s="9">
        <v>1</v>
      </c>
      <c r="E401" s="7">
        <v>1</v>
      </c>
    </row>
    <row r="402" spans="1:5" ht="15.75" customHeight="1" x14ac:dyDescent="0.2">
      <c r="A402" s="2">
        <v>1676</v>
      </c>
      <c r="B402" s="3" t="s">
        <v>385</v>
      </c>
      <c r="C402" s="4" t="str">
        <f ca="1">IFERROR(__xludf.DUMMYFUNCTION("GOOGLETRANSLATE(B402,""ar"",""en"")"),"Family courts")</f>
        <v>Family courts</v>
      </c>
      <c r="D402" s="5">
        <v>1</v>
      </c>
      <c r="E402" s="3">
        <v>0</v>
      </c>
    </row>
    <row r="403" spans="1:5" ht="15.75" customHeight="1" x14ac:dyDescent="0.2">
      <c r="A403" s="6">
        <v>1683</v>
      </c>
      <c r="B403" s="7" t="s">
        <v>386</v>
      </c>
      <c r="C403" s="8" t="str">
        <f ca="1">IFERROR(__xludf.DUMMYFUNCTION("GOOGLETRANSLATE(B403,""ar"",""en"")"),"Legal awareness about the rights of divorced women")</f>
        <v>Legal awareness about the rights of divorced women</v>
      </c>
      <c r="D403" s="9">
        <v>1</v>
      </c>
      <c r="E403" s="3">
        <v>0</v>
      </c>
    </row>
    <row r="404" spans="1:5" ht="15.75" customHeight="1" x14ac:dyDescent="0.2">
      <c r="A404" s="2">
        <v>1692</v>
      </c>
      <c r="B404" s="3" t="s">
        <v>387</v>
      </c>
      <c r="C404" s="4" t="str">
        <f ca="1">IFERROR(__xludf.DUMMYFUNCTION("GOOGLETRANSLATE(B404,""ar"",""en"")"),"Women and the rights of family violence against women")</f>
        <v>Women and the rights of family violence against women</v>
      </c>
      <c r="D404" s="5">
        <v>1</v>
      </c>
      <c r="E404" s="3">
        <v>0</v>
      </c>
    </row>
    <row r="405" spans="1:5" ht="15.75" customHeight="1" x14ac:dyDescent="0.2">
      <c r="A405" s="6">
        <v>1694</v>
      </c>
      <c r="B405" s="7" t="s">
        <v>388</v>
      </c>
      <c r="C405" s="8" t="str">
        <f ca="1">IFERROR(__xludf.DUMMYFUNCTION("GOOGLETRANSLATE(B405,""ar"",""en"")"),"On women's issues and legal topics")</f>
        <v>On women's issues and legal topics</v>
      </c>
      <c r="D405" s="9">
        <v>1</v>
      </c>
      <c r="E405" s="3">
        <v>0</v>
      </c>
    </row>
    <row r="406" spans="1:5" ht="15.75" customHeight="1" x14ac:dyDescent="0.2">
      <c r="A406" s="2">
        <v>1696</v>
      </c>
      <c r="B406" s="3" t="s">
        <v>389</v>
      </c>
      <c r="C406" s="4" t="str">
        <f ca="1">IFERROR(__xludf.DUMMYFUNCTION("GOOGLETRANSLATE(B406,""ar"",""en"")"),"The differences between Saklogih women and men Saklogih")</f>
        <v>The differences between Saklogih women and men Saklogih</v>
      </c>
      <c r="D406" s="5">
        <v>1</v>
      </c>
      <c r="E406" s="3">
        <v>0</v>
      </c>
    </row>
    <row r="407" spans="1:5" ht="15.75" customHeight="1" x14ac:dyDescent="0.2">
      <c r="A407" s="6">
        <v>1700</v>
      </c>
      <c r="B407" s="7" t="s">
        <v>390</v>
      </c>
      <c r="C407" s="8" t="str">
        <f ca="1">IFERROR(__xludf.DUMMYFUNCTION("GOOGLETRANSLATE(B407,""ar"",""en"")"),"All learning loops women face disadvantages society Kasai in its various forms, whether violence or harassment and seriousness of FGM psychologically and physically")</f>
        <v>All learning loops women face disadvantages society Kasai in its various forms, whether violence or harassment and seriousness of FGM psychologically and physically</v>
      </c>
      <c r="D407" s="9">
        <v>1</v>
      </c>
      <c r="E407" s="3">
        <v>0</v>
      </c>
    </row>
    <row r="408" spans="1:5" ht="15.75" customHeight="1" x14ac:dyDescent="0.2">
      <c r="A408" s="2">
        <v>1706</v>
      </c>
      <c r="B408" s="3" t="s">
        <v>391</v>
      </c>
      <c r="C408" s="4" t="str">
        <f ca="1">IFERROR(__xludf.DUMMYFUNCTION("GOOGLETRANSLATE(B408,""ar"",""en"")"),"40 age of maturity and never think of myself and Elly my comfort zone, and do not keep myself busy the opinions of others")</f>
        <v>40 age of maturity and never think of myself and Elly my comfort zone, and do not keep myself busy the opinions of others</v>
      </c>
      <c r="D408" s="5">
        <v>1</v>
      </c>
      <c r="E408" s="3">
        <v>0</v>
      </c>
    </row>
    <row r="409" spans="1:5" ht="15.75" customHeight="1" x14ac:dyDescent="0.2">
      <c r="A409" s="6">
        <v>1712</v>
      </c>
      <c r="B409" s="7" t="s">
        <v>392</v>
      </c>
      <c r="C409" s="8" t="str">
        <f ca="1">IFERROR(__xludf.DUMMYFUNCTION("GOOGLETRANSLATE(B409,""ar"",""en"")"),"Petklm for the freedom and rights of women and Kasai estimated to deal with society without ceded its rights not fall short in any of its duties and dealing with violin Kasai guy as his partner's rights and duties")</f>
        <v>Petklm for the freedom and rights of women and Kasai estimated to deal with society without ceded its rights not fall short in any of its duties and dealing with violin Kasai guy as his partner's rights and duties</v>
      </c>
      <c r="D409" s="9">
        <v>1</v>
      </c>
      <c r="E409" s="3">
        <v>0</v>
      </c>
    </row>
    <row r="410" spans="1:5" ht="15.75" customHeight="1" x14ac:dyDescent="0.2">
      <c r="A410" s="2">
        <v>1726</v>
      </c>
      <c r="B410" s="3" t="s">
        <v>117</v>
      </c>
      <c r="C410" s="4" t="str">
        <f ca="1">IFERROR(__xludf.DUMMYFUNCTION("GOOGLETRANSLATE(B410,""ar"",""en"")"),"Women's rights")</f>
        <v>Women's rights</v>
      </c>
      <c r="D410" s="5">
        <v>1</v>
      </c>
      <c r="E410" s="3">
        <v>0</v>
      </c>
    </row>
    <row r="411" spans="1:5" ht="15.75" customHeight="1" x14ac:dyDescent="0.2">
      <c r="A411" s="6">
        <v>1728</v>
      </c>
      <c r="B411" s="7" t="s">
        <v>393</v>
      </c>
      <c r="C411" s="8" t="str">
        <f ca="1">IFERROR(__xludf.DUMMYFUNCTION("GOOGLETRANSLATE(B411,""ar"",""en"")"),"About sexual harassment. And an insult to working women from the husband and bear responsibility")</f>
        <v>About sexual harassment. And an insult to working women from the husband and bear responsibility</v>
      </c>
      <c r="D411" s="9">
        <v>1</v>
      </c>
      <c r="E411" s="3">
        <v>0</v>
      </c>
    </row>
    <row r="412" spans="1:5" ht="15.75" customHeight="1" x14ac:dyDescent="0.2">
      <c r="A412" s="2">
        <v>1731</v>
      </c>
      <c r="B412" s="3" t="s">
        <v>394</v>
      </c>
      <c r="C412" s="4" t="str">
        <f ca="1">IFERROR(__xludf.DUMMYFUNCTION("GOOGLETRANSLATE(B412,""ar"",""en"")"),"Harassment and violence against women")</f>
        <v>Harassment and violence against women</v>
      </c>
      <c r="D412" s="5">
        <v>1</v>
      </c>
      <c r="E412" s="3">
        <v>0</v>
      </c>
    </row>
    <row r="413" spans="1:5" ht="15.75" customHeight="1" x14ac:dyDescent="0.2">
      <c r="A413" s="6">
        <v>1732</v>
      </c>
      <c r="B413" s="7" t="s">
        <v>395</v>
      </c>
      <c r="C413" s="8" t="str">
        <f ca="1">IFERROR(__xludf.DUMMYFUNCTION("GOOGLETRANSLATE(B413,""ar"",""en"")"),"Divorce. Work and time management. Corona virus")</f>
        <v>Divorce. Work and time management. Corona virus</v>
      </c>
      <c r="D413" s="9">
        <v>1</v>
      </c>
      <c r="E413" s="3">
        <v>0</v>
      </c>
    </row>
    <row r="414" spans="1:5" ht="15.75" customHeight="1" x14ac:dyDescent="0.2">
      <c r="A414" s="2">
        <v>1733</v>
      </c>
      <c r="B414" s="3" t="s">
        <v>396</v>
      </c>
      <c r="C414" s="4" t="str">
        <f ca="1">IFERROR(__xludf.DUMMYFUNCTION("GOOGLETRANSLATE(B414,""ar"",""en"")"),"Beatings and sexual harassment")</f>
        <v>Beatings and sexual harassment</v>
      </c>
      <c r="D414" s="5">
        <v>1</v>
      </c>
      <c r="E414" s="3">
        <v>0</v>
      </c>
    </row>
    <row r="415" spans="1:5" ht="15.75" customHeight="1" x14ac:dyDescent="0.2">
      <c r="A415" s="6">
        <v>1735</v>
      </c>
      <c r="B415" s="7" t="s">
        <v>397</v>
      </c>
      <c r="C415" s="8" t="str">
        <f ca="1">IFERROR(__xludf.DUMMYFUNCTION("GOOGLETRANSLATE(B415,""ar"",""en"")"),"Awareness giving positive energy")</f>
        <v>Awareness giving positive energy</v>
      </c>
      <c r="D415" s="9">
        <v>1</v>
      </c>
      <c r="E415" s="3">
        <v>0</v>
      </c>
    </row>
    <row r="416" spans="1:5" ht="15.75" customHeight="1" x14ac:dyDescent="0.2">
      <c r="A416" s="2">
        <v>1736</v>
      </c>
      <c r="B416" s="3" t="s">
        <v>398</v>
      </c>
      <c r="C416" s="4" t="str">
        <f ca="1">IFERROR(__xludf.DUMMYFUNCTION("GOOGLETRANSLATE(B416,""ar"",""en"")"),"A footmen or keep footmen means Kasai")</f>
        <v>A footmen or keep footmen means Kasai</v>
      </c>
      <c r="D416" s="5">
        <v>1</v>
      </c>
      <c r="E416" s="3">
        <v>0</v>
      </c>
    </row>
    <row r="417" spans="1:5" ht="15.75" customHeight="1" x14ac:dyDescent="0.2">
      <c r="A417" s="6">
        <v>1737</v>
      </c>
      <c r="B417" s="7" t="s">
        <v>399</v>
      </c>
      <c r="C417" s="8" t="str">
        <f ca="1">IFERROR(__xludf.DUMMYFUNCTION("GOOGLETRANSLATE(B417,""ar"",""en"")"),"Rings talk about women's issues and in the episode that tells you who all mesh Ante Ze Ze daughter keeps Laboke")</f>
        <v>Rings talk about women's issues and in the episode that tells you who all mesh Ante Ze Ze daughter keeps Laboke</v>
      </c>
      <c r="D417" s="9">
        <v>1</v>
      </c>
      <c r="E417" s="3">
        <v>0</v>
      </c>
    </row>
    <row r="418" spans="1:5" ht="15.75" customHeight="1" x14ac:dyDescent="0.2">
      <c r="A418" s="6">
        <v>2811</v>
      </c>
      <c r="B418" s="7" t="s">
        <v>213</v>
      </c>
      <c r="C418" s="8" t="str">
        <f ca="1">IFERROR(__xludf.DUMMYFUNCTION("GOOGLETRANSLATE(B691,""ar"",""en"")"),"very good")</f>
        <v>very good</v>
      </c>
      <c r="D418" s="9">
        <v>1</v>
      </c>
      <c r="E418" s="7">
        <v>1</v>
      </c>
    </row>
    <row r="419" spans="1:5" ht="15.75" customHeight="1" x14ac:dyDescent="0.2">
      <c r="A419" s="6">
        <v>1745</v>
      </c>
      <c r="B419" s="7" t="s">
        <v>401</v>
      </c>
      <c r="C419" s="8" t="str">
        <f ca="1">IFERROR(__xludf.DUMMYFUNCTION("GOOGLETRANSLATE(B419,""ar"",""en"")"),"The subject of harassment")</f>
        <v>The subject of harassment</v>
      </c>
      <c r="D419" s="9">
        <v>1</v>
      </c>
      <c r="E419" s="3">
        <v>0</v>
      </c>
    </row>
    <row r="420" spans="1:5" ht="15.75" customHeight="1" x14ac:dyDescent="0.2">
      <c r="A420" s="2">
        <v>1747</v>
      </c>
      <c r="B420" s="3" t="s">
        <v>402</v>
      </c>
      <c r="C420" s="4" t="str">
        <f ca="1">IFERROR(__xludf.DUMMYFUNCTION("GOOGLETRANSLATE(B420,""ar"",""en"")"),"Worldwide about community issues, including women's issues")</f>
        <v>Worldwide about community issues, including women's issues</v>
      </c>
      <c r="D420" s="5">
        <v>1</v>
      </c>
      <c r="E420" s="3">
        <v>0</v>
      </c>
    </row>
    <row r="421" spans="1:5" ht="15.75" customHeight="1" x14ac:dyDescent="0.2">
      <c r="A421" s="6">
        <v>1749</v>
      </c>
      <c r="B421" s="7" t="s">
        <v>403</v>
      </c>
      <c r="C421" s="8" t="str">
        <f ca="1">IFERROR(__xludf.DUMMYFUNCTION("GOOGLETRANSLATE(B421,""ar"",""en"")"),"Relationship or the husband to the wife of her son")</f>
        <v>Relationship or the husband to the wife of her son</v>
      </c>
      <c r="D421" s="9">
        <v>1</v>
      </c>
      <c r="E421" s="3">
        <v>0</v>
      </c>
    </row>
    <row r="422" spans="1:5" ht="15.75" customHeight="1" x14ac:dyDescent="0.2">
      <c r="A422" s="2">
        <v>1753</v>
      </c>
      <c r="B422" s="3" t="s">
        <v>404</v>
      </c>
      <c r="C422" s="4" t="str">
        <f ca="1">IFERROR(__xludf.DUMMYFUNCTION("GOOGLETRANSLATE(B422,""ar"",""en"")"),"Dr.. Jamal Sorour and circumcision of girls and the Messenger of Allah peace be upon him and his daughters .. marriage for girls and organize time and home and work jacket for girls")</f>
        <v>Dr.. Jamal Sorour and circumcision of girls and the Messenger of Allah peace be upon him and his daughters .. marriage for girls and organize time and home and work jacket for girls</v>
      </c>
      <c r="D422" s="5">
        <v>1</v>
      </c>
      <c r="E422" s="3">
        <v>0</v>
      </c>
    </row>
    <row r="423" spans="1:5" ht="15.75" customHeight="1" x14ac:dyDescent="0.2">
      <c r="A423" s="6">
        <v>1754</v>
      </c>
      <c r="B423" s="7" t="s">
        <v>405</v>
      </c>
      <c r="C423" s="8" t="str">
        <f ca="1">IFERROR(__xludf.DUMMYFUNCTION("GOOGLETRANSLATE(B423,""ar"",""en"")"),"Issues relating to women and girls and to discuss issues Zahelvirmont")</f>
        <v>Issues relating to women and girls and to discuss issues Zahelvirmont</v>
      </c>
      <c r="D423" s="9">
        <v>1</v>
      </c>
      <c r="E423" s="3">
        <v>0</v>
      </c>
    </row>
    <row r="424" spans="1:5" ht="15.75" customHeight="1" x14ac:dyDescent="0.2">
      <c r="A424" s="2">
        <v>1755</v>
      </c>
      <c r="B424" s="3" t="s">
        <v>406</v>
      </c>
      <c r="C424" s="4" t="str">
        <f ca="1">IFERROR(__xludf.DUMMYFUNCTION("GOOGLETRANSLATE(B424,""ar"",""en"")"),"Useful and awareness for people caters")</f>
        <v>Useful and awareness for people caters</v>
      </c>
      <c r="D424" s="9">
        <v>1</v>
      </c>
      <c r="E424" s="7">
        <v>1</v>
      </c>
    </row>
    <row r="425" spans="1:5" ht="15.75" customHeight="1" x14ac:dyDescent="0.2">
      <c r="A425" s="6">
        <v>1761</v>
      </c>
      <c r="B425" s="7" t="s">
        <v>407</v>
      </c>
      <c r="C425" s="8" t="str">
        <f ca="1">IFERROR(__xludf.DUMMYFUNCTION("GOOGLETRANSLATE(B425,""ar"",""en"")"),"The girls tend to become footmen who form fine for fear of violence")</f>
        <v>The girls tend to become footmen who form fine for fear of violence</v>
      </c>
      <c r="D425" s="9">
        <v>1</v>
      </c>
      <c r="E425" s="3">
        <v>0</v>
      </c>
    </row>
    <row r="426" spans="1:5" ht="15.75" customHeight="1" x14ac:dyDescent="0.2">
      <c r="A426" s="2">
        <v>1767</v>
      </c>
      <c r="B426" s="3" t="s">
        <v>408</v>
      </c>
      <c r="C426" s="4" t="str">
        <f ca="1">IFERROR(__xludf.DUMMYFUNCTION("GOOGLETRANSLATE(B426,""ar"",""en"")"),"Marriage Alvaasrat and the difference between the Egyptian and Western marriage and divorce")</f>
        <v>Marriage Alvaasrat and the difference between the Egyptian and Western marriage and divorce</v>
      </c>
      <c r="D426" s="5">
        <v>1</v>
      </c>
      <c r="E426" s="3">
        <v>0</v>
      </c>
    </row>
    <row r="427" spans="1:5" ht="15.75" customHeight="1" x14ac:dyDescent="0.2">
      <c r="A427" s="6">
        <v>1769</v>
      </c>
      <c r="B427" s="7" t="s">
        <v>409</v>
      </c>
      <c r="C427" s="8" t="str">
        <f ca="1">IFERROR(__xludf.DUMMYFUNCTION("GOOGLETRANSLATE(B427,""ar"",""en"")"),"Violence against women / female genital mutilation / inheritances")</f>
        <v>Violence against women / female genital mutilation / inheritances</v>
      </c>
      <c r="D427" s="9">
        <v>1</v>
      </c>
      <c r="E427" s="3">
        <v>0</v>
      </c>
    </row>
    <row r="428" spans="1:5" ht="15.75" customHeight="1" x14ac:dyDescent="0.2">
      <c r="A428" s="2">
        <v>1772</v>
      </c>
      <c r="B428" s="3" t="s">
        <v>410</v>
      </c>
      <c r="C428" s="4" t="str">
        <f ca="1">IFERROR(__xludf.DUMMYFUNCTION("GOOGLETRANSLATE(B428,""ar"",""en"")"),"Quality legal and women's issues")</f>
        <v>Quality legal and women's issues</v>
      </c>
      <c r="D428" s="5">
        <v>1</v>
      </c>
      <c r="E428" s="3">
        <v>0</v>
      </c>
    </row>
    <row r="429" spans="1:5" ht="15.75" customHeight="1" x14ac:dyDescent="0.2">
      <c r="A429" s="6">
        <v>1775</v>
      </c>
      <c r="B429" s="7" t="s">
        <v>411</v>
      </c>
      <c r="C429" s="8" t="str">
        <f ca="1">IFERROR(__xludf.DUMMYFUNCTION("GOOGLETRANSLATE(B429,""ar"",""en"")"),"Violence with women and wasting their right and some of the problems of inheritance for women")</f>
        <v>Violence with women and wasting their right and some of the problems of inheritance for women</v>
      </c>
      <c r="D429" s="9">
        <v>1</v>
      </c>
      <c r="E429" s="3">
        <v>0</v>
      </c>
    </row>
    <row r="430" spans="1:5" ht="15.75" customHeight="1" x14ac:dyDescent="0.2">
      <c r="A430" s="2">
        <v>1776</v>
      </c>
      <c r="B430" s="3" t="s">
        <v>412</v>
      </c>
      <c r="C430" s="4" t="str">
        <f ca="1">IFERROR(__xludf.DUMMYFUNCTION("GOOGLETRANSLATE(B430,""ar"",""en"")"),"The meaning of manhood and Kasai keep your mind and your respect footmen and Hanank to Anthak instead used Stotk and muscles, female genital mutilation and the impact of the Internet in the awareness of girls")</f>
        <v>The meaning of manhood and Kasai keep your mind and your respect footmen and Hanank to Anthak instead used Stotk and muscles, female genital mutilation and the impact of the Internet in the awareness of girls</v>
      </c>
      <c r="D430" s="5">
        <v>1</v>
      </c>
      <c r="E430" s="3">
        <v>0</v>
      </c>
    </row>
    <row r="431" spans="1:5" ht="15.75" customHeight="1" x14ac:dyDescent="0.2">
      <c r="A431" s="6">
        <v>1785</v>
      </c>
      <c r="B431" s="7" t="s">
        <v>413</v>
      </c>
      <c r="C431" s="8" t="str">
        <f ca="1">IFERROR(__xludf.DUMMYFUNCTION("GOOGLETRANSLATE(B431,""ar"",""en"")"),"female mutilation")</f>
        <v>female mutilation</v>
      </c>
      <c r="D431" s="9">
        <v>1</v>
      </c>
      <c r="E431" s="3">
        <v>0</v>
      </c>
    </row>
    <row r="432" spans="1:5" ht="15.75" customHeight="1" x14ac:dyDescent="0.2">
      <c r="A432" s="2">
        <v>1786</v>
      </c>
      <c r="B432" s="3" t="s">
        <v>414</v>
      </c>
      <c r="C432" s="4" t="str">
        <f ca="1">IFERROR(__xludf.DUMMYFUNCTION("GOOGLETRANSLATE(B432,""ar"",""en"")"),"Circumcision / harassment / girls and the Internet")</f>
        <v>Circumcision / harassment / girls and the Internet</v>
      </c>
      <c r="D432" s="5">
        <v>1</v>
      </c>
      <c r="E432" s="3">
        <v>0</v>
      </c>
    </row>
    <row r="433" spans="1:5" ht="15.75" customHeight="1" x14ac:dyDescent="0.2">
      <c r="A433" s="6">
        <v>1787</v>
      </c>
      <c r="B433" s="7" t="s">
        <v>415</v>
      </c>
      <c r="C433" s="8" t="str">
        <f ca="1">IFERROR(__xludf.DUMMYFUNCTION("GOOGLETRANSLATE(B433,""ar"",""en"")"),"Talk about personal status issues and answers questions in the program")</f>
        <v>Talk about personal status issues and answers questions in the program</v>
      </c>
      <c r="D433" s="9">
        <v>1</v>
      </c>
      <c r="E433" s="3">
        <v>0</v>
      </c>
    </row>
    <row r="434" spans="1:5" ht="15.75" customHeight="1" x14ac:dyDescent="0.2">
      <c r="A434" s="2">
        <v>1793</v>
      </c>
      <c r="B434" s="3" t="s">
        <v>15</v>
      </c>
      <c r="C434" s="4" t="str">
        <f ca="1">IFERROR(__xludf.DUMMYFUNCTION("GOOGLETRANSLATE(B434,""ar"",""en"")"),"Female circumcision")</f>
        <v>Female circumcision</v>
      </c>
      <c r="D434" s="5">
        <v>1</v>
      </c>
      <c r="E434" s="3">
        <v>0</v>
      </c>
    </row>
    <row r="435" spans="1:5" ht="15.75" customHeight="1" x14ac:dyDescent="0.2">
      <c r="A435" s="6">
        <v>1794</v>
      </c>
      <c r="B435" s="7" t="s">
        <v>416</v>
      </c>
      <c r="C435" s="8" t="str">
        <f ca="1">IFERROR(__xludf.DUMMYFUNCTION("GOOGLETRANSLATE(B435,""ar"",""en"")"),"A useful program Jaddaa Bihssny Bakaty and regular and Ojbaty and human rights Mesh Mtaavah Ali frankly TV Ui Bs Berga watch it p YouTube or Facebook Hkuraa on your labor and please continue to shine")</f>
        <v>A useful program Jaddaa Bihssny Bakaty and regular and Ojbaty and human rights Mesh Mtaavah Ali frankly TV Ui Bs Berga watch it p YouTube or Facebook Hkuraa on your labor and please continue to shine</v>
      </c>
      <c r="D435" s="9">
        <v>1</v>
      </c>
      <c r="E435" s="7">
        <v>1</v>
      </c>
    </row>
    <row r="436" spans="1:5" ht="15.75" customHeight="1" x14ac:dyDescent="0.2">
      <c r="A436" s="2">
        <v>1796</v>
      </c>
      <c r="B436" s="3" t="s">
        <v>417</v>
      </c>
      <c r="C436" s="4" t="str">
        <f ca="1">IFERROR(__xludf.DUMMYFUNCTION("GOOGLETRANSLATE(B436,""ar"",""en"")"),"violence against Woman")</f>
        <v>violence against Woman</v>
      </c>
      <c r="D436" s="5">
        <v>1</v>
      </c>
      <c r="E436" s="3">
        <v>0</v>
      </c>
    </row>
    <row r="437" spans="1:5" ht="15.75" customHeight="1" x14ac:dyDescent="0.2">
      <c r="A437" s="6">
        <v>1798</v>
      </c>
      <c r="B437" s="7" t="s">
        <v>418</v>
      </c>
      <c r="C437" s="8" t="str">
        <f ca="1">IFERROR(__xludf.DUMMYFUNCTION("GOOGLETRANSLATE(B437,""ar"",""en"")"),"Violence against women, female genital mutilation")</f>
        <v>Violence against women, female genital mutilation</v>
      </c>
      <c r="D437" s="9">
        <v>1</v>
      </c>
      <c r="E437" s="3">
        <v>0</v>
      </c>
    </row>
    <row r="438" spans="1:5" ht="15.75" customHeight="1" x14ac:dyDescent="0.2">
      <c r="A438" s="2">
        <v>1799</v>
      </c>
      <c r="B438" s="3" t="s">
        <v>419</v>
      </c>
      <c r="C438" s="4" t="str">
        <f ca="1">IFERROR(__xludf.DUMMYFUNCTION("GOOGLETRANSLATE(B438,""ar"",""en"")"),"Circumcision, Internet and throat means A footmen")</f>
        <v>Circumcision, Internet and throat means A footmen</v>
      </c>
      <c r="D438" s="5">
        <v>1</v>
      </c>
      <c r="E438" s="3">
        <v>0</v>
      </c>
    </row>
    <row r="439" spans="1:5" ht="15.75" customHeight="1" x14ac:dyDescent="0.2">
      <c r="A439" s="6">
        <v>2580</v>
      </c>
      <c r="B439" s="7" t="s">
        <v>583</v>
      </c>
      <c r="C439" s="8" t="str">
        <f ca="1">IFERROR(__xludf.DUMMYFUNCTION("GOOGLETRANSLATE(B629,""ar"",""en"")"),"Very good and useful for women Egyptian")</f>
        <v>Very good and useful for women Egyptian</v>
      </c>
      <c r="D439" s="9">
        <v>1</v>
      </c>
      <c r="E439" s="7">
        <v>1</v>
      </c>
    </row>
    <row r="440" spans="1:5" ht="15.75" customHeight="1" x14ac:dyDescent="0.2">
      <c r="A440" s="2">
        <v>1808</v>
      </c>
      <c r="B440" s="3" t="s">
        <v>421</v>
      </c>
      <c r="C440" s="4" t="str">
        <f ca="1">IFERROR(__xludf.DUMMYFUNCTION("GOOGLETRANSLATE(B440,""ar"",""en"")"),"Aktar throat Vala on the subject of circumcision")</f>
        <v>Aktar throat Vala on the subject of circumcision</v>
      </c>
      <c r="D440" s="5">
        <v>1</v>
      </c>
      <c r="E440" s="3">
        <v>0</v>
      </c>
    </row>
    <row r="441" spans="1:5" ht="15.75" customHeight="1" x14ac:dyDescent="0.2">
      <c r="A441" s="6">
        <v>1809</v>
      </c>
      <c r="B441" s="7" t="s">
        <v>422</v>
      </c>
      <c r="C441" s="8" t="str">
        <f ca="1">IFERROR(__xludf.DUMMYFUNCTION("GOOGLETRANSLATE(B441,""ar"",""en"")"),"Women's rights")</f>
        <v>Women's rights</v>
      </c>
      <c r="D441" s="9">
        <v>1</v>
      </c>
      <c r="E441" s="3">
        <v>0</v>
      </c>
    </row>
    <row r="442" spans="1:5" ht="15.75" customHeight="1" x14ac:dyDescent="0.2">
      <c r="A442" s="2">
        <v>1819</v>
      </c>
      <c r="B442" s="3" t="s">
        <v>423</v>
      </c>
      <c r="C442" s="4" t="str">
        <f ca="1">IFERROR(__xludf.DUMMYFUNCTION("GOOGLETRANSLATE(B442,""ar"",""en"")"),"Content was clearly reveals the rejection of violence against women, whether married or widowed or whatever it was in addition to clarify many things in the law on women and their rights .... etc")</f>
        <v>Content was clearly reveals the rejection of violence against women, whether married or widowed or whatever it was in addition to clarify many things in the law on women and their rights .... etc</v>
      </c>
      <c r="D442" s="5">
        <v>1</v>
      </c>
      <c r="E442" s="3">
        <v>0</v>
      </c>
    </row>
    <row r="443" spans="1:5" ht="15.75" customHeight="1" x14ac:dyDescent="0.2">
      <c r="A443" s="6">
        <v>1820</v>
      </c>
      <c r="B443" s="7" t="s">
        <v>424</v>
      </c>
      <c r="C443" s="8" t="str">
        <f ca="1">IFERROR(__xludf.DUMMYFUNCTION("GOOGLETRANSLATE(B443,""ar"",""en"")"),"All episodes who divorce problems Worldwide and Alimony")</f>
        <v>All episodes who divorce problems Worldwide and Alimony</v>
      </c>
      <c r="D443" s="9">
        <v>1</v>
      </c>
      <c r="E443" s="3">
        <v>0</v>
      </c>
    </row>
    <row r="444" spans="1:5" ht="15.75" customHeight="1" x14ac:dyDescent="0.2">
      <c r="A444" s="2">
        <v>1821</v>
      </c>
      <c r="B444" s="3" t="s">
        <v>425</v>
      </c>
      <c r="C444" s="4" t="str">
        <f ca="1">IFERROR(__xludf.DUMMYFUNCTION("GOOGLETRANSLATE(B444,""ar"",""en"")"),"Circumcision Alainat")</f>
        <v>Circumcision Alainat</v>
      </c>
      <c r="D444" s="5">
        <v>1</v>
      </c>
      <c r="E444" s="3">
        <v>0</v>
      </c>
    </row>
    <row r="445" spans="1:5" ht="15.75" customHeight="1" x14ac:dyDescent="0.2">
      <c r="A445" s="6">
        <v>1822</v>
      </c>
      <c r="B445" s="7" t="s">
        <v>426</v>
      </c>
      <c r="C445" s="8" t="str">
        <f ca="1">IFERROR(__xludf.DUMMYFUNCTION("GOOGLETRANSLATE(B445,""ar"",""en"")"),"Talk about women breadwinner living conditions which Tjibrai man to humiliation, talk about women's right, talk about love Admgmos beat and insulted and laughed Alaogiz men small girls")</f>
        <v>Talk about women breadwinner living conditions which Tjibrai man to humiliation, talk about women's right, talk about love Admgmos beat and insulted and laughed Alaogiz men small girls</v>
      </c>
      <c r="D445" s="9">
        <v>1</v>
      </c>
      <c r="E445" s="3">
        <v>0</v>
      </c>
    </row>
    <row r="446" spans="1:5" ht="15.75" customHeight="1" x14ac:dyDescent="0.2">
      <c r="A446" s="2">
        <v>1823</v>
      </c>
      <c r="B446" s="3" t="s">
        <v>427</v>
      </c>
      <c r="C446" s="4" t="str">
        <f ca="1">IFERROR(__xludf.DUMMYFUNCTION("GOOGLETRANSLATE(B446,""ar"",""en"")"),"To what Aatzkr was talking about female circumcision and other throat early marriage")</f>
        <v>To what Aatzkr was talking about female circumcision and other throat early marriage</v>
      </c>
      <c r="D446" s="5">
        <v>1</v>
      </c>
      <c r="E446" s="3">
        <v>0</v>
      </c>
    </row>
    <row r="447" spans="1:5" ht="15.75" customHeight="1" x14ac:dyDescent="0.2">
      <c r="A447" s="6">
        <v>1827</v>
      </c>
      <c r="B447" s="7" t="s">
        <v>428</v>
      </c>
      <c r="C447" s="8" t="str">
        <f ca="1">IFERROR(__xludf.DUMMYFUNCTION("GOOGLETRANSLATE(B447,""ar"",""en"")"),"Elly episodes Hovtha divorce issues and vision law")</f>
        <v>Elly episodes Hovtha divorce issues and vision law</v>
      </c>
      <c r="D447" s="9">
        <v>1</v>
      </c>
      <c r="E447" s="3">
        <v>0</v>
      </c>
    </row>
    <row r="448" spans="1:5" ht="15.75" customHeight="1" x14ac:dyDescent="0.2">
      <c r="A448" s="2">
        <v>1828</v>
      </c>
      <c r="B448" s="3" t="s">
        <v>96</v>
      </c>
      <c r="C448" s="4" t="str">
        <f ca="1">IFERROR(__xludf.DUMMYFUNCTION("GOOGLETRANSLATE(B448,""ar"",""en"")"),"Talk about women's rights")</f>
        <v>Talk about women's rights</v>
      </c>
      <c r="D448" s="5">
        <v>1</v>
      </c>
      <c r="E448" s="3">
        <v>0</v>
      </c>
    </row>
    <row r="449" spans="1:5" ht="15.75" customHeight="1" x14ac:dyDescent="0.2">
      <c r="A449" s="6">
        <v>1831</v>
      </c>
      <c r="B449" s="7" t="s">
        <v>429</v>
      </c>
      <c r="C449" s="8" t="str">
        <f ca="1">IFERROR(__xludf.DUMMYFUNCTION("GOOGLETRANSLATE(B449,""ar"",""en"")"),"Purposeful")</f>
        <v>Purposeful</v>
      </c>
      <c r="D449" s="9">
        <v>1</v>
      </c>
      <c r="E449" s="7">
        <v>1</v>
      </c>
    </row>
    <row r="450" spans="1:5" ht="15.75" customHeight="1" x14ac:dyDescent="0.2">
      <c r="A450" s="2">
        <v>1833</v>
      </c>
      <c r="B450" s="3" t="s">
        <v>430</v>
      </c>
      <c r="C450" s="4" t="str">
        <f ca="1">IFERROR(__xludf.DUMMYFUNCTION("GOOGLETRANSLATE(B450,""ar"",""en"")"),"Was in his throat and circumcision Worldwide he is very satisfied and again, she was Tanih in honor of the Society P level can not remember her name")</f>
        <v>Was in his throat and circumcision Worldwide he is very satisfied and again, she was Tanih in honor of the Society P level can not remember her name</v>
      </c>
      <c r="D450" s="5">
        <v>1</v>
      </c>
      <c r="E450" s="3">
        <v>0</v>
      </c>
    </row>
    <row r="451" spans="1:5" ht="15.75" customHeight="1" x14ac:dyDescent="0.2">
      <c r="A451" s="6">
        <v>1834</v>
      </c>
      <c r="B451" s="7" t="s">
        <v>431</v>
      </c>
      <c r="C451" s="8" t="str">
        <f ca="1">IFERROR(__xludf.DUMMYFUNCTION("GOOGLETRANSLATE(B451,""ar"",""en"")"),"Useful and wonderful")</f>
        <v>Useful and wonderful</v>
      </c>
      <c r="D451" s="9">
        <v>1</v>
      </c>
      <c r="E451" s="7">
        <v>1</v>
      </c>
    </row>
    <row r="452" spans="1:5" ht="15.75" customHeight="1" x14ac:dyDescent="0.2">
      <c r="A452" s="2">
        <v>1848</v>
      </c>
      <c r="B452" s="3" t="s">
        <v>432</v>
      </c>
      <c r="C452" s="4" t="str">
        <f ca="1">IFERROR(__xludf.DUMMYFUNCTION("GOOGLETRANSLATE(B452,""ar"",""en"")"),"By virtue of my circumstances Ptjbny shot rings women rights")</f>
        <v>By virtue of my circumstances Ptjbny shot rings women rights</v>
      </c>
      <c r="D452" s="5">
        <v>1</v>
      </c>
      <c r="E452" s="3">
        <v>0</v>
      </c>
    </row>
    <row r="453" spans="1:5" ht="15.75" customHeight="1" x14ac:dyDescent="0.2">
      <c r="A453" s="6">
        <v>1850</v>
      </c>
      <c r="B453" s="7" t="s">
        <v>433</v>
      </c>
      <c r="C453" s="8" t="str">
        <f ca="1">IFERROR(__xludf.DUMMYFUNCTION("GOOGLETRANSLATE(B453,""ar"",""en"")"),"Passport Altanih, Kasai remains an important figure, the words of his men, girls and online")</f>
        <v>Passport Altanih, Kasai remains an important figure, the words of his men, girls and online</v>
      </c>
      <c r="D453" s="9">
        <v>1</v>
      </c>
      <c r="E453" s="7">
        <v>1</v>
      </c>
    </row>
    <row r="454" spans="1:5" ht="15.75" customHeight="1" x14ac:dyDescent="0.2">
      <c r="A454" s="2">
        <v>1853</v>
      </c>
      <c r="B454" s="3" t="s">
        <v>434</v>
      </c>
      <c r="C454" s="4" t="str">
        <f ca="1">IFERROR(__xludf.DUMMYFUNCTION("GOOGLETRANSLATE(B454,""ar"",""en"")"),"On sexual harassment, whether with children or if he got the job with a colleague and her men and young people, and went away if he got molested smarter or with a rape I know and any sentence in the law")</f>
        <v>On sexual harassment, whether with children or if he got the job with a colleague and her men and young people, and went away if he got molested smarter or with a rape I know and any sentence in the law</v>
      </c>
      <c r="D454" s="5">
        <v>1</v>
      </c>
      <c r="E454" s="3">
        <v>0</v>
      </c>
    </row>
    <row r="455" spans="1:5" ht="15.75" customHeight="1" x14ac:dyDescent="0.2">
      <c r="A455" s="6">
        <v>1859</v>
      </c>
      <c r="B455" s="7" t="s">
        <v>435</v>
      </c>
      <c r="C455" s="8" t="str">
        <f ca="1">IFERROR(__xludf.DUMMYFUNCTION("GOOGLETRANSLATE(B455,""ar"",""en"")"),"Female genital mutilation and violence against women")</f>
        <v>Female genital mutilation and violence against women</v>
      </c>
      <c r="D455" s="9">
        <v>1</v>
      </c>
      <c r="E455" s="3">
        <v>0</v>
      </c>
    </row>
    <row r="456" spans="1:5" ht="15.75" customHeight="1" x14ac:dyDescent="0.2">
      <c r="A456" s="2">
        <v>1862</v>
      </c>
      <c r="B456" s="3" t="s">
        <v>436</v>
      </c>
      <c r="C456" s="4" t="str">
        <f ca="1">IFERROR(__xludf.DUMMYFUNCTION("GOOGLETRANSLATE(B456,""ar"",""en"")"),"Women's / wife's rights law")</f>
        <v>Women's / wife's rights law</v>
      </c>
      <c r="D456" s="5">
        <v>1</v>
      </c>
      <c r="E456" s="3">
        <v>0</v>
      </c>
    </row>
    <row r="457" spans="1:5" ht="15.75" customHeight="1" x14ac:dyDescent="0.2">
      <c r="A457" s="6">
        <v>1872</v>
      </c>
      <c r="B457" s="7" t="s">
        <v>17</v>
      </c>
      <c r="C457" s="8" t="str">
        <f ca="1">IFERROR(__xludf.DUMMYFUNCTION("GOOGLETRANSLATE(B457,""ar"",""en"")"),"female mutilation")</f>
        <v>female mutilation</v>
      </c>
      <c r="D457" s="9">
        <v>1</v>
      </c>
      <c r="E457" s="3">
        <v>0</v>
      </c>
    </row>
    <row r="458" spans="1:5" ht="15.75" customHeight="1" x14ac:dyDescent="0.2">
      <c r="A458" s="2">
        <v>1873</v>
      </c>
      <c r="B458" s="3" t="s">
        <v>437</v>
      </c>
      <c r="C458" s="4" t="str">
        <f ca="1">IFERROR(__xludf.DUMMYFUNCTION("GOOGLETRANSLATE(B458,""ar"",""en"")"),"Post-Corona and its impact on the labor organization and nape widow is considered a religion take it before the distribution of inheritance")</f>
        <v>Post-Corona and its impact on the labor organization and nape widow is considered a religion take it before the distribution of inheritance</v>
      </c>
      <c r="D458" s="5">
        <v>1</v>
      </c>
      <c r="E458" s="3">
        <v>0</v>
      </c>
    </row>
    <row r="459" spans="1:5" ht="15.75" customHeight="1" x14ac:dyDescent="0.2">
      <c r="A459" s="6">
        <v>1881</v>
      </c>
      <c r="B459" s="7" t="s">
        <v>83</v>
      </c>
      <c r="C459" s="8" t="str">
        <f ca="1">IFERROR(__xludf.DUMMYFUNCTION("GOOGLETRANSLATE(B459,""ar"",""en"")"),"violence against Woman")</f>
        <v>violence against Woman</v>
      </c>
      <c r="D459" s="9">
        <v>1</v>
      </c>
      <c r="E459" s="3">
        <v>0</v>
      </c>
    </row>
    <row r="460" spans="1:5" ht="15.75" customHeight="1" x14ac:dyDescent="0.2">
      <c r="A460" s="2">
        <v>1882</v>
      </c>
      <c r="B460" s="3" t="s">
        <v>438</v>
      </c>
      <c r="C460" s="4" t="str">
        <f ca="1">IFERROR(__xludf.DUMMYFUNCTION("GOOGLETRANSLATE(B460,""ar"",""en"")"),"Really Bnusband women's problems and help solve")</f>
        <v>Really Bnusband women's problems and help solve</v>
      </c>
      <c r="D460" s="5">
        <v>1</v>
      </c>
      <c r="E460" s="3">
        <v>0</v>
      </c>
    </row>
    <row r="461" spans="1:5" ht="15.75" customHeight="1" x14ac:dyDescent="0.2">
      <c r="A461" s="6">
        <v>1885</v>
      </c>
      <c r="B461" s="7" t="s">
        <v>439</v>
      </c>
      <c r="C461" s="8" t="str">
        <f ca="1">IFERROR(__xludf.DUMMYFUNCTION("GOOGLETRANSLATE(B461,""ar"",""en"")"),"Women and law issues")</f>
        <v>Women and law issues</v>
      </c>
      <c r="D461" s="9">
        <v>1</v>
      </c>
      <c r="E461" s="3">
        <v>0</v>
      </c>
    </row>
    <row r="462" spans="1:5" ht="15.75" customHeight="1" x14ac:dyDescent="0.2">
      <c r="A462" s="2">
        <v>1890</v>
      </c>
      <c r="B462" s="3" t="s">
        <v>440</v>
      </c>
      <c r="C462" s="4" t="str">
        <f ca="1">IFERROR(__xludf.DUMMYFUNCTION("GOOGLETRANSLATE(B462,""ar"",""en"")"),"Slimming dislocation and harassment")</f>
        <v>Slimming dislocation and harassment</v>
      </c>
      <c r="D462" s="5">
        <v>1</v>
      </c>
      <c r="E462" s="3">
        <v>0</v>
      </c>
    </row>
    <row r="463" spans="1:5" ht="15.75" customHeight="1" x14ac:dyDescent="0.2">
      <c r="A463" s="6">
        <v>1892</v>
      </c>
      <c r="B463" s="7" t="s">
        <v>441</v>
      </c>
      <c r="C463" s="8" t="str">
        <f ca="1">IFERROR(__xludf.DUMMYFUNCTION("GOOGLETRANSLATE(B463,""ar"",""en"")"),"Women's support and awareness against violence")</f>
        <v>Women's support and awareness against violence</v>
      </c>
      <c r="D463" s="9">
        <v>1</v>
      </c>
      <c r="E463" s="3">
        <v>0</v>
      </c>
    </row>
    <row r="464" spans="1:5" ht="15.75" customHeight="1" x14ac:dyDescent="0.2">
      <c r="A464" s="6">
        <v>1637</v>
      </c>
      <c r="B464" s="7" t="s">
        <v>375</v>
      </c>
      <c r="C464" s="8" t="str">
        <f ca="1">IFERROR(__xludf.DUMMYFUNCTION("GOOGLETRANSLATE(B391,""ar"",""en"")"),"Good was a special female circumcision and the risk of Corona")</f>
        <v>Good was a special female circumcision and the risk of Corona</v>
      </c>
      <c r="D464" s="9">
        <v>1</v>
      </c>
      <c r="E464" s="3">
        <v>0</v>
      </c>
    </row>
    <row r="465" spans="1:5" ht="15.75" customHeight="1" x14ac:dyDescent="0.2">
      <c r="A465" s="6">
        <v>1895</v>
      </c>
      <c r="B465" s="7" t="s">
        <v>125</v>
      </c>
      <c r="C465" s="8" t="str">
        <f ca="1">IFERROR(__xludf.DUMMYFUNCTION("GOOGLETRANSLATE(B465,""ar"",""en"")"),"Circumcision")</f>
        <v>Circumcision</v>
      </c>
      <c r="D465" s="9">
        <v>1</v>
      </c>
      <c r="E465" s="3">
        <v>0</v>
      </c>
    </row>
    <row r="466" spans="1:5" ht="15.75" customHeight="1" x14ac:dyDescent="0.2">
      <c r="A466" s="2">
        <v>1908</v>
      </c>
      <c r="B466" s="3" t="s">
        <v>443</v>
      </c>
      <c r="C466" s="4" t="str">
        <f ca="1">IFERROR(__xludf.DUMMYFUNCTION("GOOGLETRANSLATE(B466,""ar"",""en"")"),"Shater shared the words of his men fear prison")</f>
        <v>Shater shared the words of his men fear prison</v>
      </c>
      <c r="D466" s="5">
        <v>1</v>
      </c>
      <c r="E466" s="3">
        <v>0</v>
      </c>
    </row>
    <row r="467" spans="1:5" ht="15.75" customHeight="1" x14ac:dyDescent="0.2">
      <c r="A467" s="6">
        <v>1917</v>
      </c>
      <c r="B467" s="7" t="s">
        <v>444</v>
      </c>
      <c r="C467" s="8" t="str">
        <f ca="1">IFERROR(__xludf.DUMMYFUNCTION("GOOGLETRANSLATE(B467,""ar"",""en"")"),"Circumcision and Kasai be a personal mission and wife almost Altanih and Kasai concern to cease")</f>
        <v>Circumcision and Kasai be a personal mission and wife almost Altanih and Kasai concern to cease</v>
      </c>
      <c r="D467" s="9">
        <v>1</v>
      </c>
      <c r="E467" s="3">
        <v>0</v>
      </c>
    </row>
    <row r="468" spans="1:5" ht="15.75" customHeight="1" x14ac:dyDescent="0.2">
      <c r="A468" s="2">
        <v>1924</v>
      </c>
      <c r="B468" s="3" t="s">
        <v>445</v>
      </c>
      <c r="C468" s="4" t="str">
        <f ca="1">IFERROR(__xludf.DUMMYFUNCTION("GOOGLETRANSLATE(B468,""ar"",""en"")"),"Awareness Banafsh program issues specifically legal and women's issues")</f>
        <v>Awareness Banafsh program issues specifically legal and women's issues</v>
      </c>
      <c r="D468" s="5">
        <v>1</v>
      </c>
      <c r="E468" s="3">
        <v>0</v>
      </c>
    </row>
    <row r="469" spans="1:5" ht="15.75" customHeight="1" x14ac:dyDescent="0.2">
      <c r="A469" s="6">
        <v>1926</v>
      </c>
      <c r="B469" s="7" t="s">
        <v>446</v>
      </c>
      <c r="C469" s="8" t="str">
        <f ca="1">IFERROR(__xludf.DUMMYFUNCTION("GOOGLETRANSLATE(B469,""ar"",""en"")"),"social")</f>
        <v>social</v>
      </c>
      <c r="D469" s="9">
        <v>1</v>
      </c>
      <c r="E469" s="3">
        <v>0</v>
      </c>
    </row>
    <row r="470" spans="1:5" ht="15.75" customHeight="1" x14ac:dyDescent="0.2">
      <c r="A470" s="2">
        <v>1930</v>
      </c>
      <c r="B470" s="3" t="s">
        <v>447</v>
      </c>
      <c r="C470" s="4" t="str">
        <f ca="1">IFERROR(__xludf.DUMMYFUNCTION("GOOGLETRANSLATE(B470,""ar"",""en"")"),"The episode of the second wife and the episode about the reasons for men in marriage and other mirror claims that girls are more numerous than men")</f>
        <v>The episode of the second wife and the episode about the reasons for men in marriage and other mirror claims that girls are more numerous than men</v>
      </c>
      <c r="D470" s="5">
        <v>1</v>
      </c>
      <c r="E470" s="3">
        <v>0</v>
      </c>
    </row>
    <row r="471" spans="1:5" ht="15.75" customHeight="1" x14ac:dyDescent="0.2">
      <c r="A471" s="6">
        <v>1935</v>
      </c>
      <c r="B471" s="7" t="s">
        <v>448</v>
      </c>
      <c r="C471" s="8" t="str">
        <f ca="1">IFERROR(__xludf.DUMMYFUNCTION("GOOGLETRANSLATE(B471,""ar"",""en"")"),"Circumcision and other harassment and education")</f>
        <v>Circumcision and other harassment and education</v>
      </c>
      <c r="D471" s="9">
        <v>1</v>
      </c>
      <c r="E471" s="3">
        <v>0</v>
      </c>
    </row>
    <row r="472" spans="1:5" ht="15.75" customHeight="1" x14ac:dyDescent="0.2">
      <c r="A472" s="2">
        <v>1936</v>
      </c>
      <c r="B472" s="3" t="s">
        <v>83</v>
      </c>
      <c r="C472" s="4" t="str">
        <f ca="1">IFERROR(__xludf.DUMMYFUNCTION("GOOGLETRANSLATE(B472,""ar"",""en"")"),"violence against Woman")</f>
        <v>violence against Woman</v>
      </c>
      <c r="D472" s="5">
        <v>1</v>
      </c>
      <c r="E472" s="3">
        <v>0</v>
      </c>
    </row>
    <row r="473" spans="1:5" ht="15.75" customHeight="1" x14ac:dyDescent="0.2">
      <c r="A473" s="6">
        <v>1937</v>
      </c>
      <c r="B473" s="7" t="s">
        <v>449</v>
      </c>
      <c r="C473" s="8" t="str">
        <f ca="1">IFERROR(__xludf.DUMMYFUNCTION("GOOGLETRANSLATE(B473,""ar"",""en"")"),"Sexual harassment and how to deal with him ...")</f>
        <v>Sexual harassment and how to deal with him ...</v>
      </c>
      <c r="D473" s="9">
        <v>1</v>
      </c>
      <c r="E473" s="3">
        <v>0</v>
      </c>
    </row>
    <row r="474" spans="1:5" ht="15.75" customHeight="1" x14ac:dyDescent="0.2">
      <c r="A474" s="2">
        <v>1941</v>
      </c>
      <c r="B474" s="3" t="s">
        <v>450</v>
      </c>
      <c r="C474" s="4" t="str">
        <f ca="1">IFERROR(__xludf.DUMMYFUNCTION("GOOGLETRANSLATE(B474,""ar"",""en"")"),"Violence and harassment against women and Kasai defend ourselves and Nakhadd Hakoagafna")</f>
        <v>Violence and harassment against women and Kasai defend ourselves and Nakhadd Hakoagafna</v>
      </c>
      <c r="D474" s="5">
        <v>1</v>
      </c>
      <c r="E474" s="3">
        <v>0</v>
      </c>
    </row>
    <row r="475" spans="1:5" ht="15.75" customHeight="1" x14ac:dyDescent="0.2">
      <c r="A475" s="6">
        <v>1942</v>
      </c>
      <c r="B475" s="7" t="s">
        <v>451</v>
      </c>
      <c r="C475" s="8" t="str">
        <f ca="1">IFERROR(__xludf.DUMMYFUNCTION("GOOGLETRANSLATE(B475,""ar"",""en"")"),"Legal issues and awareness regarding the articles of the law")</f>
        <v>Legal issues and awareness regarding the articles of the law</v>
      </c>
      <c r="D475" s="9">
        <v>1</v>
      </c>
      <c r="E475" s="3">
        <v>0</v>
      </c>
    </row>
    <row r="476" spans="1:5" ht="15.75" customHeight="1" x14ac:dyDescent="0.2">
      <c r="A476" s="2">
        <v>1946</v>
      </c>
      <c r="B476" s="3" t="s">
        <v>452</v>
      </c>
      <c r="C476" s="4" t="str">
        <f ca="1">IFERROR(__xludf.DUMMYFUNCTION("GOOGLETRANSLATE(B476,""ar"",""en"")"),"Violence and harassment of women's repayment and the development of relationship with the mother her children who grew up")</f>
        <v>Violence and harassment of women's repayment and the development of relationship with the mother her children who grew up</v>
      </c>
      <c r="D476" s="5">
        <v>1</v>
      </c>
      <c r="E476" s="3">
        <v>0</v>
      </c>
    </row>
    <row r="477" spans="1:5" ht="15.75" customHeight="1" x14ac:dyDescent="0.2">
      <c r="A477" s="6">
        <v>1953</v>
      </c>
      <c r="B477" s="7" t="s">
        <v>453</v>
      </c>
      <c r="C477" s="8" t="str">
        <f ca="1">IFERROR(__xludf.DUMMYFUNCTION("GOOGLETRANSLATE(B477,""ar"",""en"")"),"I benefited very, very known types of violence and that he does not only insult and hit the violin and causes. The forms of harassment and sanctions and that the harassment is limited p mesh wearing the girl Bs. We Ncov what harassment Mnski_ and Nakhadd "&amp;"did Hazim. And that female circumcision is a crime Omc mentioned in Islam and the legal basis of his sentence.")</f>
        <v>I benefited very, very known types of violence and that he does not only insult and hit the violin and causes. The forms of harassment and sanctions and that the harassment is limited p mesh wearing the girl Bs. We Ncov what harassment Mnski_ and Nakhadd did Hazim. And that female circumcision is a crime Omc mentioned in Islam and the legal basis of his sentence.</v>
      </c>
      <c r="D477" s="9">
        <v>1</v>
      </c>
      <c r="E477" s="3">
        <v>0</v>
      </c>
    </row>
    <row r="478" spans="1:5" ht="15.75" customHeight="1" x14ac:dyDescent="0.2">
      <c r="A478" s="2">
        <v>1957</v>
      </c>
      <c r="B478" s="3" t="s">
        <v>454</v>
      </c>
      <c r="C478" s="4" t="str">
        <f ca="1">IFERROR(__xludf.DUMMYFUNCTION("GOOGLETRANSLATE(B478,""ar"",""en"")"),"Harassment cases")</f>
        <v>Harassment cases</v>
      </c>
      <c r="D478" s="5">
        <v>1</v>
      </c>
      <c r="E478" s="3">
        <v>0</v>
      </c>
    </row>
    <row r="479" spans="1:5" ht="15.75" customHeight="1" x14ac:dyDescent="0.2">
      <c r="A479" s="6">
        <v>1961</v>
      </c>
      <c r="B479" s="7" t="s">
        <v>455</v>
      </c>
      <c r="C479" s="8" t="str">
        <f ca="1">IFERROR(__xludf.DUMMYFUNCTION("GOOGLETRANSLATE(B479,""ar"",""en"")"),"Awareness about harassment in a way a series of violence divorce marriage employment effect of Corona on our homes")</f>
        <v>Awareness about harassment in a way a series of violence divorce marriage employment effect of Corona on our homes</v>
      </c>
      <c r="D479" s="9">
        <v>1</v>
      </c>
      <c r="E479" s="3">
        <v>0</v>
      </c>
    </row>
    <row r="480" spans="1:5" ht="15.75" customHeight="1" x14ac:dyDescent="0.2">
      <c r="A480" s="2">
        <v>1962</v>
      </c>
      <c r="B480" s="3" t="s">
        <v>456</v>
      </c>
      <c r="C480" s="4" t="str">
        <f ca="1">IFERROR(__xludf.DUMMYFUNCTION("GOOGLETRANSLATE(B480,""ar"",""en"")"),"Marriage failed and how to keep the family")</f>
        <v>Marriage failed and how to keep the family</v>
      </c>
      <c r="D480" s="5">
        <v>1</v>
      </c>
      <c r="E480" s="3">
        <v>0</v>
      </c>
    </row>
    <row r="481" spans="1:5" ht="15.75" customHeight="1" x14ac:dyDescent="0.2">
      <c r="A481" s="6">
        <v>1971</v>
      </c>
      <c r="B481" s="7" t="s">
        <v>457</v>
      </c>
      <c r="C481" s="8" t="str">
        <f ca="1">IFERROR(__xludf.DUMMYFUNCTION("GOOGLETRANSLATE(B481,""ar"",""en"")"),"Violence against Almrah")</f>
        <v>Violence against Almrah</v>
      </c>
      <c r="D481" s="9">
        <v>1</v>
      </c>
      <c r="E481" s="3">
        <v>0</v>
      </c>
    </row>
    <row r="482" spans="1:5" ht="15.75" customHeight="1" x14ac:dyDescent="0.2">
      <c r="A482" s="2">
        <v>1976</v>
      </c>
      <c r="B482" s="3" t="s">
        <v>458</v>
      </c>
      <c r="C482" s="4" t="str">
        <f ca="1">IFERROR(__xludf.DUMMYFUNCTION("GOOGLETRANSLATE(B482,""ar"",""en"")"),"Episode of harassment and other marital problems")</f>
        <v>Episode of harassment and other marital problems</v>
      </c>
      <c r="D482" s="5">
        <v>1</v>
      </c>
      <c r="E482" s="3">
        <v>0</v>
      </c>
    </row>
    <row r="483" spans="1:5" ht="15.75" customHeight="1" x14ac:dyDescent="0.2">
      <c r="A483" s="6">
        <v>1989</v>
      </c>
      <c r="B483" s="7" t="s">
        <v>459</v>
      </c>
      <c r="C483" s="8" t="str">
        <f ca="1">IFERROR(__xludf.DUMMYFUNCTION("GOOGLETRANSLATE(B483,""ar"",""en"")"),"What do you face the Mchaklhalstadt and girls Kasai eliminate FGM")</f>
        <v>What do you face the Mchaklhalstadt and girls Kasai eliminate FGM</v>
      </c>
      <c r="D483" s="9">
        <v>1</v>
      </c>
      <c r="E483" s="3">
        <v>0</v>
      </c>
    </row>
    <row r="484" spans="1:5" ht="15.75" customHeight="1" x14ac:dyDescent="0.2">
      <c r="A484" s="2">
        <v>2003</v>
      </c>
      <c r="B484" s="3" t="s">
        <v>17</v>
      </c>
      <c r="C484" s="4" t="str">
        <f ca="1">IFERROR(__xludf.DUMMYFUNCTION("GOOGLETRANSLATE(B484,""ar"",""en"")"),"female mutilation")</f>
        <v>female mutilation</v>
      </c>
      <c r="D484" s="5">
        <v>1</v>
      </c>
      <c r="E484" s="3">
        <v>0</v>
      </c>
    </row>
    <row r="485" spans="1:5" ht="15.75" customHeight="1" x14ac:dyDescent="0.2">
      <c r="A485" s="6">
        <v>2008</v>
      </c>
      <c r="B485" s="7" t="s">
        <v>460</v>
      </c>
      <c r="C485" s="8" t="str">
        <f ca="1">IFERROR(__xludf.DUMMYFUNCTION("GOOGLETRANSLATE(B485,""ar"",""en"")"),"Support Alemraeh")</f>
        <v>Support Alemraeh</v>
      </c>
      <c r="D485" s="9">
        <v>1</v>
      </c>
      <c r="E485" s="3">
        <v>0</v>
      </c>
    </row>
    <row r="486" spans="1:5" ht="15.75" customHeight="1" x14ac:dyDescent="0.2">
      <c r="A486" s="2">
        <v>2013</v>
      </c>
      <c r="B486" s="3" t="s">
        <v>413</v>
      </c>
      <c r="C486" s="4" t="str">
        <f ca="1">IFERROR(__xludf.DUMMYFUNCTION("GOOGLETRANSLATE(B486,""ar"",""en"")"),"female mutilation")</f>
        <v>female mutilation</v>
      </c>
      <c r="D486" s="5">
        <v>1</v>
      </c>
      <c r="E486" s="3">
        <v>0</v>
      </c>
    </row>
    <row r="487" spans="1:5" ht="15.75" customHeight="1" x14ac:dyDescent="0.2">
      <c r="A487" s="6">
        <v>2020</v>
      </c>
      <c r="B487" s="7" t="s">
        <v>461</v>
      </c>
      <c r="C487" s="8" t="str">
        <f ca="1">IFERROR(__xludf.DUMMYFUNCTION("GOOGLETRANSLATE(B487,""ar"",""en"")"),"Divorce, custody, and the rights of wives and things like that")</f>
        <v>Divorce, custody, and the rights of wives and things like that</v>
      </c>
      <c r="D487" s="9">
        <v>1</v>
      </c>
      <c r="E487" s="3">
        <v>0</v>
      </c>
    </row>
    <row r="488" spans="1:5" ht="15.75" customHeight="1" x14ac:dyDescent="0.2">
      <c r="A488" s="2">
        <v>2030</v>
      </c>
      <c r="B488" s="3" t="s">
        <v>462</v>
      </c>
      <c r="C488" s="4" t="str">
        <f ca="1">IFERROR(__xludf.DUMMYFUNCTION("GOOGLETRANSLATE(B488,""ar"",""en"")"),"Educate girls and women against sexual harassment at work and in all places possible that the girls are harassed them")</f>
        <v>Educate girls and women against sexual harassment at work and in all places possible that the girls are harassed them</v>
      </c>
      <c r="D488" s="5">
        <v>1</v>
      </c>
      <c r="E488" s="3">
        <v>0</v>
      </c>
    </row>
    <row r="489" spans="1:5" ht="15.75" customHeight="1" x14ac:dyDescent="0.2">
      <c r="A489" s="6">
        <v>2041</v>
      </c>
      <c r="B489" s="7" t="s">
        <v>463</v>
      </c>
      <c r="C489" s="8" t="str">
        <f ca="1">IFERROR(__xludf.DUMMYFUNCTION("GOOGLETRANSLATE(B489,""ar"",""en"")"),"Sweet")</f>
        <v>Sweet</v>
      </c>
      <c r="D489" s="9">
        <v>1</v>
      </c>
      <c r="E489" s="7">
        <v>1</v>
      </c>
    </row>
    <row r="490" spans="1:5" ht="15.75" customHeight="1" x14ac:dyDescent="0.2">
      <c r="A490" s="2">
        <v>2044</v>
      </c>
      <c r="B490" s="3" t="s">
        <v>464</v>
      </c>
      <c r="C490" s="4" t="str">
        <f ca="1">IFERROR(__xludf.DUMMYFUNCTION("GOOGLETRANSLATE(B490,""ar"",""en"")"),"Workshops on women's problems at work and legal problems")</f>
        <v>Workshops on women's problems at work and legal problems</v>
      </c>
      <c r="D490" s="5">
        <v>1</v>
      </c>
      <c r="E490" s="3">
        <v>0</v>
      </c>
    </row>
    <row r="491" spans="1:5" ht="15.75" customHeight="1" x14ac:dyDescent="0.2">
      <c r="A491" s="6">
        <v>2045</v>
      </c>
      <c r="B491" s="7" t="s">
        <v>465</v>
      </c>
      <c r="C491" s="8" t="str">
        <f ca="1">IFERROR(__xludf.DUMMYFUNCTION("GOOGLETRANSLATE(B491,""ar"",""en"")"),"How to protect myself and my children from harassment on the street and work")</f>
        <v>How to protect myself and my children from harassment on the street and work</v>
      </c>
      <c r="D491" s="9">
        <v>1</v>
      </c>
      <c r="E491" s="3">
        <v>0</v>
      </c>
    </row>
    <row r="492" spans="1:5" ht="15.75" customHeight="1" x14ac:dyDescent="0.2">
      <c r="A492" s="2">
        <v>2046</v>
      </c>
      <c r="B492" s="3" t="s">
        <v>107</v>
      </c>
      <c r="C492" s="4" t="str">
        <f ca="1">IFERROR(__xludf.DUMMYFUNCTION("GOOGLETRANSLATE(B492,""ar"",""en"")"),"Women's Issues")</f>
        <v>Women's Issues</v>
      </c>
      <c r="D492" s="5">
        <v>1</v>
      </c>
      <c r="E492" s="3">
        <v>0</v>
      </c>
    </row>
    <row r="493" spans="1:5" ht="15.75" customHeight="1" x14ac:dyDescent="0.2">
      <c r="A493" s="6">
        <v>2052</v>
      </c>
      <c r="B493" s="7" t="s">
        <v>466</v>
      </c>
      <c r="C493" s="8" t="str">
        <f ca="1">IFERROR(__xludf.DUMMYFUNCTION("GOOGLETRANSLATE(B493,""ar"",""en"")"),"For women and their rights")</f>
        <v>For women and their rights</v>
      </c>
      <c r="D493" s="9">
        <v>1</v>
      </c>
      <c r="E493" s="3">
        <v>0</v>
      </c>
    </row>
    <row r="494" spans="1:5" ht="15.75" customHeight="1" x14ac:dyDescent="0.2">
      <c r="A494" s="2">
        <v>2054</v>
      </c>
      <c r="B494" s="3" t="s">
        <v>467</v>
      </c>
      <c r="C494" s="4" t="str">
        <f ca="1">IFERROR(__xludf.DUMMYFUNCTION("GOOGLETRANSLATE(B494,""ar"",""en"")"),"Sexual Alkhtan.altharc")</f>
        <v>Sexual Alkhtan.altharc</v>
      </c>
      <c r="D494" s="5">
        <v>1</v>
      </c>
      <c r="E494" s="3">
        <v>0</v>
      </c>
    </row>
    <row r="495" spans="1:5" ht="15.75" customHeight="1" x14ac:dyDescent="0.2">
      <c r="A495" s="6">
        <v>2055</v>
      </c>
      <c r="B495" s="7" t="s">
        <v>468</v>
      </c>
      <c r="C495" s="8" t="str">
        <f ca="1">IFERROR(__xludf.DUMMYFUNCTION("GOOGLETRANSLATE(B495,""ar"",""en"")"),"Most of them were women's rights after divorce or seeking a divorce, custody, and expenses")</f>
        <v>Most of them were women's rights after divorce or seeking a divorce, custody, and expenses</v>
      </c>
      <c r="D495" s="9">
        <v>1</v>
      </c>
      <c r="E495" s="3">
        <v>0</v>
      </c>
    </row>
    <row r="496" spans="1:5" ht="15.75" customHeight="1" x14ac:dyDescent="0.2">
      <c r="A496" s="2">
        <v>2061</v>
      </c>
      <c r="B496" s="3" t="s">
        <v>469</v>
      </c>
      <c r="C496" s="4" t="str">
        <f ca="1">IFERROR(__xludf.DUMMYFUNCTION("GOOGLETRANSLATE(B496,""ar"",""en"")"),"All episodes are usually talking about issues of concern to women and the family, in addition to offering important ways such as harassment and face, and the issues of female circumcision and harmful effects.")</f>
        <v>All episodes are usually talking about issues of concern to women and the family, in addition to offering important ways such as harassment and face, and the issues of female circumcision and harmful effects.</v>
      </c>
      <c r="D496" s="5">
        <v>1</v>
      </c>
      <c r="E496" s="3">
        <v>0</v>
      </c>
    </row>
    <row r="497" spans="1:5" ht="15.75" customHeight="1" x14ac:dyDescent="0.2">
      <c r="A497" s="6">
        <v>2064</v>
      </c>
      <c r="B497" s="7" t="s">
        <v>470</v>
      </c>
      <c r="C497" s="8" t="str">
        <f ca="1">IFERROR(__xludf.DUMMYFUNCTION("GOOGLETRANSLATE(B497,""ar"",""en"")"),"The rights of women in divorce, divorce and labor")</f>
        <v>The rights of women in divorce, divorce and labor</v>
      </c>
      <c r="D497" s="9">
        <v>1</v>
      </c>
      <c r="E497" s="3">
        <v>0</v>
      </c>
    </row>
    <row r="498" spans="1:5" ht="15.75" customHeight="1" x14ac:dyDescent="0.2">
      <c r="A498" s="2">
        <v>2071</v>
      </c>
      <c r="B498" s="3" t="s">
        <v>471</v>
      </c>
      <c r="C498" s="4" t="str">
        <f ca="1">IFERROR(__xludf.DUMMYFUNCTION("GOOGLETRANSLATE(B498,""ar"",""en"")"),"The episode, including divorced women and the right to support the vision of the father of the children, and so on and workshops on domestic violence against women and harassment also p This is what I can remember")</f>
        <v>The episode, including divorced women and the right to support the vision of the father of the children, and so on and workshops on domestic violence against women and harassment also p This is what I can remember</v>
      </c>
      <c r="D498" s="5">
        <v>1</v>
      </c>
      <c r="E498" s="3">
        <v>0</v>
      </c>
    </row>
    <row r="499" spans="1:5" ht="15.75" customHeight="1" x14ac:dyDescent="0.2">
      <c r="A499" s="6">
        <v>2073</v>
      </c>
      <c r="B499" s="7" t="s">
        <v>472</v>
      </c>
      <c r="C499" s="8" t="str">
        <f ca="1">IFERROR(__xludf.DUMMYFUNCTION("GOOGLETRANSLATE(B499,""ar"",""en"")"),"Sexual harassment of children and the relationship of harassment and confusion that mesh justification for harassment and the role of youth in the face and Alrjalh harassment and that he never Minfc ignores Aabannt Elly before him Aoiemlha not respecting "&amp;"the Masamah who Ptcolh friendlier originally a form of violence")</f>
        <v>Sexual harassment of children and the relationship of harassment and confusion that mesh justification for harassment and the role of youth in the face and Alrjalh harassment and that he never Minfc ignores Aabannt Elly before him Aoiemlha not respecting the Masamah who Ptcolh friendlier originally a form of violence</v>
      </c>
      <c r="D499" s="9">
        <v>1</v>
      </c>
      <c r="E499" s="3">
        <v>0</v>
      </c>
    </row>
    <row r="500" spans="1:5" ht="15.75" customHeight="1" x14ac:dyDescent="0.2">
      <c r="A500" s="2">
        <v>2079</v>
      </c>
      <c r="B500" s="3" t="s">
        <v>98</v>
      </c>
      <c r="C500" s="4" t="str">
        <f ca="1">IFERROR(__xludf.DUMMYFUNCTION("GOOGLETRANSLATE(B500,""ar"",""en"")"),"Divorce")</f>
        <v>Divorce</v>
      </c>
      <c r="D500" s="5">
        <v>1</v>
      </c>
      <c r="E500" s="3">
        <v>0</v>
      </c>
    </row>
    <row r="501" spans="1:5" ht="15.75" customHeight="1" x14ac:dyDescent="0.2">
      <c r="A501" s="6">
        <v>2084</v>
      </c>
      <c r="B501" s="7" t="s">
        <v>473</v>
      </c>
      <c r="C501" s="8" t="str">
        <f ca="1">IFERROR(__xludf.DUMMYFUNCTION("GOOGLETRANSLATE(B501,""ar"",""en"")"),"violence against Woman")</f>
        <v>violence against Woman</v>
      </c>
      <c r="D501" s="9">
        <v>1</v>
      </c>
      <c r="E501" s="3">
        <v>0</v>
      </c>
    </row>
    <row r="502" spans="1:5" ht="15.75" customHeight="1" x14ac:dyDescent="0.2">
      <c r="A502" s="2">
        <v>2093</v>
      </c>
      <c r="B502" s="3" t="s">
        <v>474</v>
      </c>
      <c r="C502" s="4" t="str">
        <f ca="1">IFERROR(__xludf.DUMMYFUNCTION("GOOGLETRANSLATE(B502,""ar"",""en"")"),"For marriage Algosairat")</f>
        <v>For marriage Algosairat</v>
      </c>
      <c r="D502" s="5">
        <v>1</v>
      </c>
      <c r="E502" s="3">
        <v>0</v>
      </c>
    </row>
    <row r="503" spans="1:5" ht="15.75" customHeight="1" x14ac:dyDescent="0.2">
      <c r="A503" s="6">
        <v>2103</v>
      </c>
      <c r="B503" s="7" t="s">
        <v>475</v>
      </c>
      <c r="C503" s="8" t="str">
        <f ca="1">IFERROR(__xludf.DUMMYFUNCTION("GOOGLETRANSLATE(B503,""ar"",""en"")"),"woman")</f>
        <v>woman</v>
      </c>
      <c r="D503" s="9">
        <v>1</v>
      </c>
      <c r="E503" s="3">
        <v>0</v>
      </c>
    </row>
    <row r="504" spans="1:5" ht="15.75" customHeight="1" x14ac:dyDescent="0.2">
      <c r="A504" s="2">
        <v>2117</v>
      </c>
      <c r="B504" s="3" t="s">
        <v>476</v>
      </c>
      <c r="C504" s="4" t="str">
        <f ca="1">IFERROR(__xludf.DUMMYFUNCTION("GOOGLETRANSLATE(B504,""ar"",""en"")"),"Workshops on harassment and women's work")</f>
        <v>Workshops on harassment and women's work</v>
      </c>
      <c r="D504" s="5">
        <v>1</v>
      </c>
      <c r="E504" s="3">
        <v>0</v>
      </c>
    </row>
    <row r="505" spans="1:5" ht="15.75" customHeight="1" x14ac:dyDescent="0.2">
      <c r="A505" s="6">
        <v>2124</v>
      </c>
      <c r="B505" s="7" t="s">
        <v>477</v>
      </c>
      <c r="C505" s="8" t="str">
        <f ca="1">IFERROR(__xludf.DUMMYFUNCTION("GOOGLETRANSLATE(B505,""ar"",""en"")"),"Simple and Bejatab all categories even non-literate")</f>
        <v>Simple and Bejatab all categories even non-literate</v>
      </c>
      <c r="D505" s="9">
        <v>1</v>
      </c>
      <c r="E505" s="3">
        <v>0</v>
      </c>
    </row>
    <row r="506" spans="1:5" ht="15.75" customHeight="1" x14ac:dyDescent="0.2">
      <c r="A506" s="2">
        <v>2128</v>
      </c>
      <c r="B506" s="3" t="s">
        <v>478</v>
      </c>
      <c r="C506" s="4" t="str">
        <f ca="1">IFERROR(__xludf.DUMMYFUNCTION("GOOGLETRANSLATE(B506,""ar"",""en"")"),"Sexual harassment and female genital mutilation")</f>
        <v>Sexual harassment and female genital mutilation</v>
      </c>
      <c r="D506" s="5">
        <v>1</v>
      </c>
      <c r="E506" s="3">
        <v>0</v>
      </c>
    </row>
    <row r="507" spans="1:5" ht="15.75" customHeight="1" x14ac:dyDescent="0.2">
      <c r="A507" s="6">
        <v>2136</v>
      </c>
      <c r="B507" s="7" t="s">
        <v>17</v>
      </c>
      <c r="C507" s="8" t="str">
        <f ca="1">IFERROR(__xludf.DUMMYFUNCTION("GOOGLETRANSLATE(B507,""ar"",""en"")"),"female mutilation")</f>
        <v>female mutilation</v>
      </c>
      <c r="D507" s="9">
        <v>1</v>
      </c>
      <c r="E507" s="3">
        <v>0</v>
      </c>
    </row>
    <row r="508" spans="1:5" ht="15.75" customHeight="1" x14ac:dyDescent="0.2">
      <c r="A508" s="2">
        <v>2141</v>
      </c>
      <c r="B508" s="3" t="s">
        <v>479</v>
      </c>
      <c r="C508" s="4" t="str">
        <f ca="1">IFERROR(__xludf.DUMMYFUNCTION("GOOGLETRANSLATE(B508,""ar"",""en"")"),"And the importance of women nominated for election and fill the importance of education and the importance of knowing their rights and how to take them")</f>
        <v>And the importance of women nominated for election and fill the importance of education and the importance of knowing their rights and how to take them</v>
      </c>
      <c r="D508" s="5">
        <v>1</v>
      </c>
      <c r="E508" s="3">
        <v>0</v>
      </c>
    </row>
    <row r="509" spans="1:5" ht="15.75" customHeight="1" x14ac:dyDescent="0.2">
      <c r="A509" s="6">
        <v>2142</v>
      </c>
      <c r="B509" s="7" t="s">
        <v>480</v>
      </c>
      <c r="C509" s="8" t="str">
        <f ca="1">IFERROR(__xludf.DUMMYFUNCTION("GOOGLETRANSLATE(B509,""ar"",""en"")"),"On violence and harassment issues")</f>
        <v>On violence and harassment issues</v>
      </c>
      <c r="D509" s="9">
        <v>1</v>
      </c>
      <c r="E509" s="3">
        <v>0</v>
      </c>
    </row>
    <row r="510" spans="1:5" ht="15.75" customHeight="1" x14ac:dyDescent="0.2">
      <c r="A510" s="2">
        <v>2146</v>
      </c>
      <c r="B510" s="3" t="s">
        <v>481</v>
      </c>
      <c r="C510" s="4" t="str">
        <f ca="1">IFERROR(__xludf.DUMMYFUNCTION("GOOGLETRANSLATE(B510,""ar"",""en"")"),"Worldwide slightly like a six-house with Worldwide was accompanied by its style concatenate")</f>
        <v>Worldwide slightly like a six-house with Worldwide was accompanied by its style concatenate</v>
      </c>
      <c r="D510" s="5">
        <v>1</v>
      </c>
      <c r="E510" s="3">
        <v>0</v>
      </c>
    </row>
    <row r="511" spans="1:5" ht="15.75" customHeight="1" x14ac:dyDescent="0.2">
      <c r="A511" s="6">
        <v>2148</v>
      </c>
      <c r="B511" s="7" t="s">
        <v>482</v>
      </c>
      <c r="C511" s="8" t="str">
        <f ca="1">IFERROR(__xludf.DUMMYFUNCTION("GOOGLETRANSLATE(B511,""ar"",""en"")"),"Women's support and protection and the protection of their rights and educate women")</f>
        <v>Women's support and protection and the protection of their rights and educate women</v>
      </c>
      <c r="D511" s="9">
        <v>1</v>
      </c>
      <c r="E511" s="3">
        <v>0</v>
      </c>
    </row>
    <row r="512" spans="1:5" ht="15.75" customHeight="1" x14ac:dyDescent="0.2">
      <c r="A512" s="2">
        <v>2154</v>
      </c>
      <c r="B512" s="3" t="s">
        <v>483</v>
      </c>
      <c r="C512" s="4" t="str">
        <f ca="1">IFERROR(__xludf.DUMMYFUNCTION("GOOGLETRANSLATE(B512,""ar"",""en"")"),"About women and their problems")</f>
        <v>About women and their problems</v>
      </c>
      <c r="D512" s="5">
        <v>1</v>
      </c>
      <c r="E512" s="3">
        <v>0</v>
      </c>
    </row>
    <row r="513" spans="1:5" ht="15.75" customHeight="1" x14ac:dyDescent="0.2">
      <c r="A513" s="6">
        <v>2156</v>
      </c>
      <c r="B513" s="7" t="s">
        <v>484</v>
      </c>
      <c r="C513" s="8" t="str">
        <f ca="1">IFERROR(__xludf.DUMMYFUNCTION("GOOGLETRANSLATE(B513,""ar"",""en"")"),"How to choose the people and self-reliance or self")</f>
        <v>How to choose the people and self-reliance or self</v>
      </c>
      <c r="D513" s="9">
        <v>1</v>
      </c>
      <c r="E513" s="3">
        <v>0</v>
      </c>
    </row>
    <row r="514" spans="1:5" ht="15.75" customHeight="1" x14ac:dyDescent="0.2">
      <c r="A514" s="2">
        <v>2161</v>
      </c>
      <c r="B514" s="3" t="s">
        <v>485</v>
      </c>
      <c r="C514" s="4" t="str">
        <f ca="1">IFERROR(__xludf.DUMMYFUNCTION("GOOGLETRANSLATE(B514,""ar"",""en"")"),"Mostly family problems")</f>
        <v>Mostly family problems</v>
      </c>
      <c r="D514" s="5">
        <v>1</v>
      </c>
      <c r="E514" s="3">
        <v>0</v>
      </c>
    </row>
    <row r="515" spans="1:5" ht="15.75" customHeight="1" x14ac:dyDescent="0.2">
      <c r="A515" s="2">
        <v>2894</v>
      </c>
      <c r="B515" s="3" t="s">
        <v>663</v>
      </c>
      <c r="C515" s="4" t="str">
        <f ca="1">IFERROR(__xludf.DUMMYFUNCTION("GOOGLETRANSLATE(B718,""ar"",""en"")"),"Good and simplified")</f>
        <v>Good and simplified</v>
      </c>
      <c r="D515" s="9">
        <v>1</v>
      </c>
      <c r="E515" s="7">
        <v>1</v>
      </c>
    </row>
    <row r="516" spans="1:5" ht="15.75" customHeight="1" x14ac:dyDescent="0.2">
      <c r="A516" s="2">
        <v>2169</v>
      </c>
      <c r="B516" s="3" t="s">
        <v>487</v>
      </c>
      <c r="C516" s="4" t="str">
        <f ca="1">IFERROR(__xludf.DUMMYFUNCTION("GOOGLETRANSLATE(B516,""ar"",""en"")"),"Passport girls ... rape cases")</f>
        <v>Passport girls ... rape cases</v>
      </c>
      <c r="D516" s="5">
        <v>1</v>
      </c>
      <c r="E516" s="3">
        <v>0</v>
      </c>
    </row>
    <row r="517" spans="1:5" ht="15.75" customHeight="1" x14ac:dyDescent="0.2">
      <c r="A517" s="6">
        <v>2173</v>
      </c>
      <c r="B517" s="7" t="s">
        <v>488</v>
      </c>
      <c r="C517" s="8" t="str">
        <f ca="1">IFERROR(__xludf.DUMMYFUNCTION("GOOGLETRANSLATE(B517,""ar"",""en"")"),"Defending women's right to life")</f>
        <v>Defending women's right to life</v>
      </c>
      <c r="D517" s="9">
        <v>1</v>
      </c>
      <c r="E517" s="3">
        <v>0</v>
      </c>
    </row>
    <row r="518" spans="1:5" ht="15.75" customHeight="1" x14ac:dyDescent="0.2">
      <c r="A518" s="2">
        <v>2177</v>
      </c>
      <c r="B518" s="3" t="s">
        <v>17</v>
      </c>
      <c r="C518" s="4" t="str">
        <f ca="1">IFERROR(__xludf.DUMMYFUNCTION("GOOGLETRANSLATE(B518,""ar"",""en"")"),"female mutilation")</f>
        <v>female mutilation</v>
      </c>
      <c r="D518" s="5">
        <v>1</v>
      </c>
      <c r="E518" s="3">
        <v>0</v>
      </c>
    </row>
    <row r="519" spans="1:5" ht="15.75" customHeight="1" x14ac:dyDescent="0.2">
      <c r="A519" s="6">
        <v>2178</v>
      </c>
      <c r="B519" s="7" t="s">
        <v>489</v>
      </c>
      <c r="C519" s="8" t="str">
        <f ca="1">IFERROR(__xludf.DUMMYFUNCTION("GOOGLETRANSLATE(B519,""ar"",""en"")"),"Inheritance girls // circumcision // // underage marriage rape cases")</f>
        <v>Inheritance girls // circumcision // // underage marriage rape cases</v>
      </c>
      <c r="D519" s="9">
        <v>1</v>
      </c>
      <c r="E519" s="3">
        <v>0</v>
      </c>
    </row>
    <row r="520" spans="1:5" ht="15.75" customHeight="1" x14ac:dyDescent="0.2">
      <c r="A520" s="2">
        <v>2179</v>
      </c>
      <c r="B520" s="3" t="s">
        <v>490</v>
      </c>
      <c r="C520" s="4" t="str">
        <f ca="1">IFERROR(__xludf.DUMMYFUNCTION("GOOGLETRANSLATE(B520,""ar"",""en"")"),"Definition of women's rights and quality against violence")</f>
        <v>Definition of women's rights and quality against violence</v>
      </c>
      <c r="D520" s="5">
        <v>1</v>
      </c>
      <c r="E520" s="3">
        <v>0</v>
      </c>
    </row>
    <row r="521" spans="1:5" ht="15.75" customHeight="1" x14ac:dyDescent="0.2">
      <c r="A521" s="6">
        <v>2180</v>
      </c>
      <c r="B521" s="7" t="s">
        <v>491</v>
      </c>
      <c r="C521" s="8" t="str">
        <f ca="1">IFERROR(__xludf.DUMMYFUNCTION("GOOGLETRANSLATE(B521,""ar"",""en"")"),"Women's")</f>
        <v>Women's</v>
      </c>
      <c r="D521" s="9">
        <v>1</v>
      </c>
      <c r="E521" s="3">
        <v>0</v>
      </c>
    </row>
    <row r="522" spans="1:5" ht="15.75" customHeight="1" x14ac:dyDescent="0.2">
      <c r="A522" s="2">
        <v>2181</v>
      </c>
      <c r="B522" s="3" t="s">
        <v>492</v>
      </c>
      <c r="C522" s="4" t="str">
        <f ca="1">IFERROR(__xludf.DUMMYFUNCTION("GOOGLETRANSLATE(B522,""ar"",""en"")"),"Important Jaddaaa")</f>
        <v>Important Jaddaaa</v>
      </c>
      <c r="D522" s="9">
        <v>1</v>
      </c>
      <c r="E522" s="7">
        <v>1</v>
      </c>
    </row>
    <row r="523" spans="1:5" ht="15.75" customHeight="1" x14ac:dyDescent="0.2">
      <c r="A523" s="6">
        <v>2182</v>
      </c>
      <c r="B523" s="7" t="s">
        <v>493</v>
      </c>
      <c r="C523" s="8" t="str">
        <f ca="1">IFERROR(__xludf.DUMMYFUNCTION("GOOGLETRANSLATE(B523,""ar"",""en"")"),"Thor..alaghtsab")</f>
        <v>Thor..alaghtsab</v>
      </c>
      <c r="D523" s="9">
        <v>1</v>
      </c>
      <c r="E523" s="3">
        <v>0</v>
      </c>
    </row>
    <row r="524" spans="1:5" ht="15.75" customHeight="1" x14ac:dyDescent="0.2">
      <c r="A524" s="2">
        <v>2184</v>
      </c>
      <c r="B524" s="3" t="s">
        <v>494</v>
      </c>
      <c r="C524" s="4" t="str">
        <f ca="1">IFERROR(__xludf.DUMMYFUNCTION("GOOGLETRANSLATE(B524,""ar"",""en"")"),"Care about women's issues and how to respond to violence To Do")</f>
        <v>Care about women's issues and how to respond to violence To Do</v>
      </c>
      <c r="D524" s="5">
        <v>1</v>
      </c>
      <c r="E524" s="3">
        <v>0</v>
      </c>
    </row>
    <row r="525" spans="1:5" ht="15.75" customHeight="1" x14ac:dyDescent="0.2">
      <c r="A525" s="6">
        <v>2187</v>
      </c>
      <c r="B525" s="7" t="s">
        <v>495</v>
      </c>
      <c r="C525" s="8" t="str">
        <f ca="1">IFERROR(__xludf.DUMMYFUNCTION("GOOGLETRANSLATE(B525,""ar"",""en"")"),"It was a questions and answers")</f>
        <v>It was a questions and answers</v>
      </c>
      <c r="D525" s="9">
        <v>1</v>
      </c>
      <c r="E525" s="3">
        <v>0</v>
      </c>
    </row>
    <row r="526" spans="1:5" ht="15.75" customHeight="1" x14ac:dyDescent="0.2">
      <c r="A526" s="2">
        <v>2188</v>
      </c>
      <c r="B526" s="3" t="s">
        <v>496</v>
      </c>
      <c r="C526" s="4" t="str">
        <f ca="1">IFERROR(__xludf.DUMMYFUNCTION("GOOGLETRANSLATE(B526,""ar"",""en"")"),"General women's rights and special issues of alimony and empowerment that women can not Tnvezha")</f>
        <v>General women's rights and special issues of alimony and empowerment that women can not Tnvezha</v>
      </c>
      <c r="D526" s="5">
        <v>1</v>
      </c>
      <c r="E526" s="3">
        <v>0</v>
      </c>
    </row>
    <row r="527" spans="1:5" ht="15.75" customHeight="1" x14ac:dyDescent="0.2">
      <c r="A527" s="6">
        <v>2189</v>
      </c>
      <c r="B527" s="7" t="s">
        <v>497</v>
      </c>
      <c r="C527" s="8" t="str">
        <f ca="1">IFERROR(__xludf.DUMMYFUNCTION("GOOGLETRANSLATE(B527,""ar"",""en"")"),"Circumcision and the Internet")</f>
        <v>Circumcision and the Internet</v>
      </c>
      <c r="D527" s="9">
        <v>1</v>
      </c>
      <c r="E527" s="3">
        <v>0</v>
      </c>
    </row>
    <row r="528" spans="1:5" ht="15.75" customHeight="1" x14ac:dyDescent="0.2">
      <c r="A528" s="2">
        <v>2190</v>
      </c>
      <c r="B528" s="3" t="s">
        <v>498</v>
      </c>
      <c r="C528" s="4" t="str">
        <f ca="1">IFERROR(__xludf.DUMMYFUNCTION("GOOGLETRANSLATE(B528,""ar"",""en"")"),"The content of the laws pertaining to women and the family")</f>
        <v>The content of the laws pertaining to women and the family</v>
      </c>
      <c r="D528" s="5">
        <v>1</v>
      </c>
      <c r="E528" s="3">
        <v>0</v>
      </c>
    </row>
    <row r="529" spans="1:5" ht="15.75" customHeight="1" x14ac:dyDescent="0.2">
      <c r="A529" s="6">
        <v>2191</v>
      </c>
      <c r="B529" s="7" t="s">
        <v>499</v>
      </c>
      <c r="C529" s="8" t="str">
        <f ca="1">IFERROR(__xludf.DUMMYFUNCTION("GOOGLETRANSLATE(B529,""ar"",""en"")"),"And a few non-Wafi")</f>
        <v>And a few non-Wafi</v>
      </c>
      <c r="D529" s="9">
        <v>0</v>
      </c>
      <c r="E529" s="3">
        <v>0</v>
      </c>
    </row>
    <row r="530" spans="1:5" ht="15.75" customHeight="1" x14ac:dyDescent="0.2">
      <c r="A530" s="2">
        <v>2192</v>
      </c>
      <c r="B530" s="3" t="s">
        <v>500</v>
      </c>
      <c r="C530" s="4" t="str">
        <f ca="1">IFERROR(__xludf.DUMMYFUNCTION("GOOGLETRANSLATE(B530,""ar"",""en"")"),"Women's rights, family and social content of legal")</f>
        <v>Women's rights, family and social content of legal</v>
      </c>
      <c r="D530" s="5">
        <v>1</v>
      </c>
      <c r="E530" s="3">
        <v>0</v>
      </c>
    </row>
    <row r="531" spans="1:5" ht="15.75" customHeight="1" x14ac:dyDescent="0.2">
      <c r="A531" s="6">
        <v>2193</v>
      </c>
      <c r="B531" s="7" t="s">
        <v>501</v>
      </c>
      <c r="C531" s="8" t="str">
        <f ca="1">IFERROR(__xludf.DUMMYFUNCTION("GOOGLETRANSLATE(B531,""ar"",""en"")"),"Problems in women's lives and issues")</f>
        <v>Problems in women's lives and issues</v>
      </c>
      <c r="D531" s="9">
        <v>1</v>
      </c>
      <c r="E531" s="3">
        <v>0</v>
      </c>
    </row>
    <row r="532" spans="1:5" ht="15.75" customHeight="1" x14ac:dyDescent="0.2">
      <c r="A532" s="2">
        <v>2194</v>
      </c>
      <c r="B532" s="3" t="s">
        <v>502</v>
      </c>
      <c r="C532" s="4" t="str">
        <f ca="1">IFERROR(__xludf.DUMMYFUNCTION("GOOGLETRANSLATE(B532,""ar"",""en"")"),"Legal awareness of women's rights")</f>
        <v>Legal awareness of women's rights</v>
      </c>
      <c r="D532" s="5">
        <v>1</v>
      </c>
      <c r="E532" s="3">
        <v>0</v>
      </c>
    </row>
    <row r="533" spans="1:5" ht="15.75" customHeight="1" x14ac:dyDescent="0.2">
      <c r="A533" s="6">
        <v>2195</v>
      </c>
      <c r="B533" s="7" t="s">
        <v>503</v>
      </c>
      <c r="C533" s="8" t="str">
        <f ca="1">IFERROR(__xludf.DUMMYFUNCTION("GOOGLETRANSLATE(B533,""ar"",""en"")"),"funny")</f>
        <v>funny</v>
      </c>
      <c r="D533" s="9">
        <v>1</v>
      </c>
      <c r="E533" s="7">
        <v>1</v>
      </c>
    </row>
    <row r="534" spans="1:5" ht="15.75" customHeight="1" x14ac:dyDescent="0.2">
      <c r="A534" s="2">
        <v>2199</v>
      </c>
      <c r="B534" s="3" t="s">
        <v>504</v>
      </c>
      <c r="C534" s="4" t="str">
        <f ca="1">IFERROR(__xludf.DUMMYFUNCTION("GOOGLETRANSLATE(B534,""ar"",""en"")"),"Women and female circumcision issues and life ban")</f>
        <v>Women and female circumcision issues and life ban</v>
      </c>
      <c r="D534" s="5">
        <v>1</v>
      </c>
      <c r="E534" s="3">
        <v>0</v>
      </c>
    </row>
    <row r="535" spans="1:5" ht="15.75" customHeight="1" x14ac:dyDescent="0.2">
      <c r="A535" s="6">
        <v>2201</v>
      </c>
      <c r="B535" s="7" t="s">
        <v>505</v>
      </c>
      <c r="C535" s="8" t="str">
        <f ca="1">IFERROR(__xludf.DUMMYFUNCTION("GOOGLETRANSLATE(B535,""ar"",""en"")"),"Make women aware of their rights and things that should not be silent about such as the issue of female genital mutilation and other")</f>
        <v>Make women aware of their rights and things that should not be silent about such as the issue of female genital mutilation and other</v>
      </c>
      <c r="D535" s="9">
        <v>1</v>
      </c>
      <c r="E535" s="3">
        <v>0</v>
      </c>
    </row>
    <row r="536" spans="1:5" ht="15.75" customHeight="1" x14ac:dyDescent="0.2">
      <c r="A536" s="2">
        <v>2203</v>
      </c>
      <c r="B536" s="3" t="s">
        <v>506</v>
      </c>
      <c r="C536" s="4" t="str">
        <f ca="1">IFERROR(__xludf.DUMMYFUNCTION("GOOGLETRANSLATE(B536,""ar"",""en"")"),"Tips and Advice")</f>
        <v>Tips and Advice</v>
      </c>
      <c r="D536" s="5">
        <v>1</v>
      </c>
      <c r="E536" s="3">
        <v>0</v>
      </c>
    </row>
    <row r="537" spans="1:5" ht="15.75" customHeight="1" x14ac:dyDescent="0.2">
      <c r="A537" s="6">
        <v>2208</v>
      </c>
      <c r="B537" s="7" t="s">
        <v>507</v>
      </c>
      <c r="C537" s="8" t="str">
        <f ca="1">IFERROR(__xludf.DUMMYFUNCTION("GOOGLETRANSLATE(B537,""ar"",""en"")"),"Circumcision throat ring girl hotel throat cable to postpone the background image Alkinte Mstdvah and the needs of all this very much Bs Poodle from Elvis watch those pages, including those who very much television a few strong either watch it originally")</f>
        <v>Circumcision throat ring girl hotel throat cable to postpone the background image Alkinte Mstdvah and the needs of all this very much Bs Poodle from Elvis watch those pages, including those who very much television a few strong either watch it originally</v>
      </c>
      <c r="D537" s="9">
        <v>1</v>
      </c>
      <c r="E537" s="3">
        <v>0</v>
      </c>
    </row>
    <row r="538" spans="1:5" ht="15.75" customHeight="1" x14ac:dyDescent="0.2">
      <c r="A538" s="2">
        <v>2211</v>
      </c>
      <c r="B538" s="3" t="s">
        <v>38</v>
      </c>
      <c r="C538" s="4" t="str">
        <f ca="1">IFERROR(__xludf.DUMMYFUNCTION("GOOGLETRANSLATE(B538,""ar"",""en"")"),"Awareness")</f>
        <v>Awareness</v>
      </c>
      <c r="D538" s="5">
        <v>1</v>
      </c>
      <c r="E538" s="3">
        <v>0</v>
      </c>
    </row>
    <row r="539" spans="1:5" ht="15.75" customHeight="1" x14ac:dyDescent="0.2">
      <c r="A539" s="6">
        <v>2213</v>
      </c>
      <c r="B539" s="7" t="s">
        <v>508</v>
      </c>
      <c r="C539" s="8" t="str">
        <f ca="1">IFERROR(__xludf.DUMMYFUNCTION("GOOGLETRANSLATE(B539,""ar"",""en"")"),"Youth and prepare for the labor market ... the rights of absolute skills ... psychic life")</f>
        <v>Youth and prepare for the labor market ... the rights of absolute skills ... psychic life</v>
      </c>
      <c r="D539" s="9">
        <v>1</v>
      </c>
      <c r="E539" s="3">
        <v>0</v>
      </c>
    </row>
    <row r="540" spans="1:5" ht="15.75" customHeight="1" x14ac:dyDescent="0.2">
      <c r="A540" s="2">
        <v>2219</v>
      </c>
      <c r="B540" s="3" t="s">
        <v>509</v>
      </c>
      <c r="C540" s="4" t="str">
        <f ca="1">IFERROR(__xludf.DUMMYFUNCTION("GOOGLETRANSLATE(B540,""ar"",""en"")"),"Kasai was keeping a personal mission, and the words of his men")</f>
        <v>Kasai was keeping a personal mission, and the words of his men</v>
      </c>
      <c r="D540" s="9">
        <v>1</v>
      </c>
      <c r="E540" s="7">
        <v>1</v>
      </c>
    </row>
    <row r="541" spans="1:5" ht="15.75" customHeight="1" x14ac:dyDescent="0.2">
      <c r="A541" s="6">
        <v>2220</v>
      </c>
      <c r="B541" s="7" t="s">
        <v>510</v>
      </c>
      <c r="C541" s="8" t="str">
        <f ca="1">IFERROR(__xludf.DUMMYFUNCTION("GOOGLETRANSLATE(B541,""ar"",""en"")"),"Tales about people by law")</f>
        <v>Tales about people by law</v>
      </c>
      <c r="D541" s="9">
        <v>1</v>
      </c>
      <c r="E541" s="3">
        <v>0</v>
      </c>
    </row>
    <row r="542" spans="1:5" ht="15.75" customHeight="1" x14ac:dyDescent="0.2">
      <c r="A542" s="2">
        <v>2225</v>
      </c>
      <c r="B542" s="3" t="s">
        <v>511</v>
      </c>
      <c r="C542" s="4" t="str">
        <f ca="1">IFERROR(__xludf.DUMMYFUNCTION("GOOGLETRANSLATE(B542,""ar"",""en"")"),"The problems faced by divorced women in terms of alimony and housing for children if the incubator")</f>
        <v>The problems faced by divorced women in terms of alimony and housing for children if the incubator</v>
      </c>
      <c r="D542" s="5">
        <v>1</v>
      </c>
      <c r="E542" s="3">
        <v>0</v>
      </c>
    </row>
    <row r="543" spans="1:5" ht="15.75" customHeight="1" x14ac:dyDescent="0.2">
      <c r="A543" s="6">
        <v>2226</v>
      </c>
      <c r="B543" s="7" t="s">
        <v>512</v>
      </c>
      <c r="C543" s="8" t="str">
        <f ca="1">IFERROR(__xludf.DUMMYFUNCTION("GOOGLETRANSLATE(B543,""ar"",""en"")"),"Nursery and conditions")</f>
        <v>Nursery and conditions</v>
      </c>
      <c r="D543" s="9">
        <v>1</v>
      </c>
      <c r="E543" s="3">
        <v>0</v>
      </c>
    </row>
    <row r="544" spans="1:5" ht="15.75" customHeight="1" x14ac:dyDescent="0.2">
      <c r="A544" s="2">
        <v>2228</v>
      </c>
      <c r="B544" s="3" t="s">
        <v>17</v>
      </c>
      <c r="C544" s="4" t="str">
        <f ca="1">IFERROR(__xludf.DUMMYFUNCTION("GOOGLETRANSLATE(B544,""ar"",""en"")"),"female mutilation")</f>
        <v>female mutilation</v>
      </c>
      <c r="D544" s="5">
        <v>1</v>
      </c>
      <c r="E544" s="3">
        <v>0</v>
      </c>
    </row>
    <row r="545" spans="1:5" ht="15.75" customHeight="1" x14ac:dyDescent="0.2">
      <c r="A545" s="6">
        <v>2229</v>
      </c>
      <c r="B545" s="7" t="s">
        <v>513</v>
      </c>
      <c r="C545" s="8" t="str">
        <f ca="1">IFERROR(__xludf.DUMMYFUNCTION("GOOGLETRANSLATE(B545,""ar"",""en"")"),"Sensitize how to deal with the harasser and how to act if the harasser was his colleague Li and information on reconciliation Real Estate")</f>
        <v>Sensitize how to deal with the harasser and how to act if the harasser was his colleague Li and information on reconciliation Real Estate</v>
      </c>
      <c r="D545" s="9">
        <v>1</v>
      </c>
      <c r="E545" s="3">
        <v>0</v>
      </c>
    </row>
    <row r="546" spans="1:5" ht="15.75" customHeight="1" x14ac:dyDescent="0.2">
      <c r="A546" s="2">
        <v>2231</v>
      </c>
      <c r="B546" s="3" t="s">
        <v>514</v>
      </c>
      <c r="C546" s="4" t="str">
        <f ca="1">IFERROR(__xludf.DUMMYFUNCTION("GOOGLETRANSLATE(B546,""ar"",""en"")"),"Divorce and family issues")</f>
        <v>Divorce and family issues</v>
      </c>
      <c r="D546" s="5">
        <v>1</v>
      </c>
      <c r="E546" s="3">
        <v>0</v>
      </c>
    </row>
    <row r="547" spans="1:5" ht="15.75" customHeight="1" x14ac:dyDescent="0.2">
      <c r="A547" s="6">
        <v>2233</v>
      </c>
      <c r="B547" s="7" t="s">
        <v>515</v>
      </c>
      <c r="C547" s="8" t="str">
        <f ca="1">IFERROR(__xludf.DUMMYFUNCTION("GOOGLETRANSLATE(B547,""ar"",""en"")"),"Meaningful content guides us to increase awareness about family and treat problems")</f>
        <v>Meaningful content guides us to increase awareness about family and treat problems</v>
      </c>
      <c r="D547" s="9">
        <v>1</v>
      </c>
      <c r="E547" s="7">
        <v>1</v>
      </c>
    </row>
    <row r="548" spans="1:5" ht="15.75" customHeight="1" x14ac:dyDescent="0.2">
      <c r="A548" s="2">
        <v>2239</v>
      </c>
      <c r="B548" s="3" t="s">
        <v>516</v>
      </c>
      <c r="C548" s="4" t="str">
        <f ca="1">IFERROR(__xludf.DUMMYFUNCTION("GOOGLETRANSLATE(B548,""ar"",""en"")"),"Women's rights, and we got all the surrounding issues such as harassment and issues of inheritance and property and opened myself and understand me Bethany needs very much in the community")</f>
        <v>Women's rights, and we got all the surrounding issues such as harassment and issues of inheritance and property and opened myself and understand me Bethany needs very much in the community</v>
      </c>
      <c r="D548" s="5">
        <v>1</v>
      </c>
      <c r="E548" s="3">
        <v>0</v>
      </c>
    </row>
    <row r="549" spans="1:5" ht="15.75" customHeight="1" x14ac:dyDescent="0.2">
      <c r="A549" s="6">
        <v>2241</v>
      </c>
      <c r="B549" s="7" t="s">
        <v>517</v>
      </c>
      <c r="C549" s="8" t="str">
        <f ca="1">IFERROR(__xludf.DUMMYFUNCTION("GOOGLETRANSLATE(B549,""ar"",""en"")"),"Kasai remains an important figure Bs Episode Bakalha Kteer")</f>
        <v>Kasai remains an important figure Bs Episode Bakalha Kteer</v>
      </c>
      <c r="D549" s="9">
        <v>1</v>
      </c>
      <c r="E549" s="7">
        <v>1</v>
      </c>
    </row>
    <row r="550" spans="1:5" ht="15.75" customHeight="1" x14ac:dyDescent="0.2">
      <c r="A550" s="2">
        <v>2249</v>
      </c>
      <c r="B550" s="3" t="s">
        <v>518</v>
      </c>
      <c r="C550" s="4" t="str">
        <f ca="1">IFERROR(__xludf.DUMMYFUNCTION("GOOGLETRANSLATE(B550,""ar"",""en"")"),"The problems of violence against women and underage marriage")</f>
        <v>The problems of violence against women and underage marriage</v>
      </c>
      <c r="D550" s="5">
        <v>1</v>
      </c>
      <c r="E550" s="3">
        <v>0</v>
      </c>
    </row>
    <row r="551" spans="1:5" ht="15.75" customHeight="1" x14ac:dyDescent="0.2">
      <c r="A551" s="6">
        <v>2251</v>
      </c>
      <c r="B551" s="7" t="s">
        <v>519</v>
      </c>
      <c r="C551" s="8" t="str">
        <f ca="1">IFERROR(__xludf.DUMMYFUNCTION("GOOGLETRANSLATE(B551,""ar"",""en"")"),"Handy and light")</f>
        <v>Handy and light</v>
      </c>
      <c r="D551" s="9">
        <v>1</v>
      </c>
      <c r="E551" s="7">
        <v>1</v>
      </c>
    </row>
    <row r="552" spans="1:5" ht="15.75" customHeight="1" x14ac:dyDescent="0.2">
      <c r="A552" s="2">
        <v>2256</v>
      </c>
      <c r="B552" s="3" t="s">
        <v>520</v>
      </c>
      <c r="C552" s="4" t="str">
        <f ca="1">IFERROR(__xludf.DUMMYFUNCTION("GOOGLETRANSLATE(B552,""ar"",""en"")"),"The content of the values ​​of frankness")</f>
        <v>The content of the values ​​of frankness</v>
      </c>
      <c r="D552" s="5">
        <v>1</v>
      </c>
      <c r="E552" s="3">
        <v>0</v>
      </c>
    </row>
    <row r="553" spans="1:5" ht="15.75" customHeight="1" x14ac:dyDescent="0.2">
      <c r="A553" s="6">
        <v>2257</v>
      </c>
      <c r="B553" s="7" t="s">
        <v>521</v>
      </c>
      <c r="C553" s="8" t="str">
        <f ca="1">IFERROR(__xludf.DUMMYFUNCTION("GOOGLETRANSLATE(B553,""ar"",""en"")"),"Female genital mutilation, child marriage")</f>
        <v>Female genital mutilation, child marriage</v>
      </c>
      <c r="D553" s="9">
        <v>1</v>
      </c>
      <c r="E553" s="3">
        <v>0</v>
      </c>
    </row>
    <row r="554" spans="1:5" ht="15.75" customHeight="1" x14ac:dyDescent="0.2">
      <c r="A554" s="2">
        <v>2258</v>
      </c>
      <c r="B554" s="3" t="s">
        <v>522</v>
      </c>
      <c r="C554" s="4" t="str">
        <f ca="1">IFERROR(__xludf.DUMMYFUNCTION("GOOGLETRANSLATE(B554,""ar"",""en"")"),"Shoft time was Madame Nihad the response of questions to viewers Pisaloha including obedience to the house and the neighbor Balcfp and I do Aattiyh what extent my full name and number national because possible Behm arguments very much Dddy and shaft works"&amp;" as well as his throat for women Achievers fought conditions and parents and stayed Hottagh supervisor, including one son was killed Btar the damage on Aylat to sensitize them about the seriousness of Tar, murder and the subject of agencies and arguments "&amp;"very much of them that all need six absolute spent by her son from school expenses to treat any need an estimated Takhaddha of the Father as long as Amaaha bill proving de and arguments very much Tanih Astvdtha of the purposeful program de")</f>
        <v>Shoft time was Madame Nihad the response of questions to viewers Pisaloha including obedience to the house and the neighbor Balcfp and I do Aattiyh what extent my full name and number national because possible Behm arguments very much Dddy and shaft works as well as his throat for women Achievers fought conditions and parents and stayed Hottagh supervisor, including one son was killed Btar the damage on Aylat to sensitize them about the seriousness of Tar, murder and the subject of agencies and arguments very much of them that all need six absolute spent by her son from school expenses to treat any need an estimated Takhaddha of the Father as long as Amaaha bill proving de and arguments very much Tanih Astvdtha of the purposeful program de</v>
      </c>
      <c r="D554" s="5">
        <v>1</v>
      </c>
      <c r="E554" s="3">
        <v>0</v>
      </c>
    </row>
    <row r="555" spans="1:5" ht="15.75" customHeight="1" x14ac:dyDescent="0.2">
      <c r="A555" s="6">
        <v>2262</v>
      </c>
      <c r="B555" s="7" t="s">
        <v>523</v>
      </c>
      <c r="C555" s="8" t="str">
        <f ca="1">IFERROR(__xludf.DUMMYFUNCTION("GOOGLETRANSLATE(B555,""ar"",""en"")"),"The issue of harassment and Fairmont girls subjected to deception of the elderly")</f>
        <v>The issue of harassment and Fairmont girls subjected to deception of the elderly</v>
      </c>
      <c r="D555" s="9">
        <v>1</v>
      </c>
      <c r="E555" s="3">
        <v>0</v>
      </c>
    </row>
    <row r="556" spans="1:5" ht="15.75" customHeight="1" x14ac:dyDescent="0.2">
      <c r="A556" s="2">
        <v>2266</v>
      </c>
      <c r="B556" s="3" t="s">
        <v>524</v>
      </c>
      <c r="C556" s="4" t="str">
        <f ca="1">IFERROR(__xludf.DUMMYFUNCTION("GOOGLETRANSLATE(B556,""ar"",""en"")"),"Female genital mutilation .oqublha domestic violence")</f>
        <v>Female genital mutilation .oqublha domestic violence</v>
      </c>
      <c r="D556" s="5">
        <v>1</v>
      </c>
      <c r="E556" s="3">
        <v>0</v>
      </c>
    </row>
    <row r="557" spans="1:5" ht="15.75" customHeight="1" x14ac:dyDescent="0.2">
      <c r="A557" s="6">
        <v>2270</v>
      </c>
      <c r="B557" s="7" t="s">
        <v>219</v>
      </c>
      <c r="C557" s="8" t="str">
        <f ca="1">IFERROR(__xludf.DUMMYFUNCTION("GOOGLETRANSLATE(B557,""ar"",""en"")"),"Excellent")</f>
        <v>Excellent</v>
      </c>
      <c r="D557" s="9">
        <v>1</v>
      </c>
      <c r="E557" s="7">
        <v>1</v>
      </c>
    </row>
    <row r="558" spans="1:5" ht="15.75" customHeight="1" x14ac:dyDescent="0.2">
      <c r="A558" s="2">
        <v>2273</v>
      </c>
      <c r="B558" s="3" t="s">
        <v>525</v>
      </c>
      <c r="C558" s="4" t="str">
        <f ca="1">IFERROR(__xludf.DUMMYFUNCTION("GOOGLETRANSLATE(B558,""ar"",""en"")"),"Discuss legal problems")</f>
        <v>Discuss legal problems</v>
      </c>
      <c r="D558" s="5">
        <v>1</v>
      </c>
      <c r="E558" s="3">
        <v>0</v>
      </c>
    </row>
    <row r="559" spans="1:5" ht="15.75" customHeight="1" x14ac:dyDescent="0.2">
      <c r="A559" s="6">
        <v>2275</v>
      </c>
      <c r="B559" s="7" t="s">
        <v>83</v>
      </c>
      <c r="C559" s="8" t="str">
        <f ca="1">IFERROR(__xludf.DUMMYFUNCTION("GOOGLETRANSLATE(B559,""ar"",""en"")"),"violence against Woman")</f>
        <v>violence against Woman</v>
      </c>
      <c r="D559" s="9">
        <v>1</v>
      </c>
      <c r="E559" s="3">
        <v>0</v>
      </c>
    </row>
    <row r="560" spans="1:5" ht="15.75" customHeight="1" x14ac:dyDescent="0.2">
      <c r="A560" s="2">
        <v>2279</v>
      </c>
      <c r="B560" s="3" t="s">
        <v>526</v>
      </c>
      <c r="C560" s="4" t="str">
        <f ca="1">IFERROR(__xludf.DUMMYFUNCTION("GOOGLETRANSLATE(B560,""ar"",""en"")"),"The rights of women in Egyptian law and family issues")</f>
        <v>The rights of women in Egyptian law and family issues</v>
      </c>
      <c r="D560" s="5">
        <v>1</v>
      </c>
      <c r="E560" s="3">
        <v>0</v>
      </c>
    </row>
    <row r="561" spans="1:5" ht="15.75" customHeight="1" x14ac:dyDescent="0.2">
      <c r="A561" s="6">
        <v>2280</v>
      </c>
      <c r="B561" s="7" t="s">
        <v>527</v>
      </c>
      <c r="C561" s="8" t="str">
        <f ca="1">IFERROR(__xludf.DUMMYFUNCTION("GOOGLETRANSLATE(B561,""ar"",""en"")"),"Bakelm for women and Badamha")</f>
        <v>Bakelm for women and Badamha</v>
      </c>
      <c r="D561" s="9">
        <v>1</v>
      </c>
      <c r="E561" s="3">
        <v>0</v>
      </c>
    </row>
    <row r="562" spans="1:5" ht="15.75" customHeight="1" x14ac:dyDescent="0.2">
      <c r="A562" s="2">
        <v>2283</v>
      </c>
      <c r="B562" s="3" t="s">
        <v>17</v>
      </c>
      <c r="C562" s="4" t="str">
        <f ca="1">IFERROR(__xludf.DUMMYFUNCTION("GOOGLETRANSLATE(B562,""ar"",""en"")"),"female mutilation")</f>
        <v>female mutilation</v>
      </c>
      <c r="D562" s="5">
        <v>1</v>
      </c>
      <c r="E562" s="3">
        <v>0</v>
      </c>
    </row>
    <row r="563" spans="1:5" ht="15.75" customHeight="1" x14ac:dyDescent="0.2">
      <c r="A563" s="6">
        <v>2284</v>
      </c>
      <c r="B563" s="7" t="s">
        <v>528</v>
      </c>
      <c r="C563" s="8" t="str">
        <f ca="1">IFERROR(__xludf.DUMMYFUNCTION("GOOGLETRANSLATE(B563,""ar"",""en"")"),"Violence against children")</f>
        <v>Violence against children</v>
      </c>
      <c r="D563" s="9">
        <v>1</v>
      </c>
      <c r="E563" s="3">
        <v>0</v>
      </c>
    </row>
    <row r="564" spans="1:5" ht="15.75" customHeight="1" x14ac:dyDescent="0.2">
      <c r="A564" s="2">
        <v>2297</v>
      </c>
      <c r="B564" s="3" t="s">
        <v>529</v>
      </c>
      <c r="C564" s="4" t="str">
        <f ca="1">IFERROR(__xludf.DUMMYFUNCTION("GOOGLETRANSLATE(B564,""ar"",""en"")"),"Harassment at work")</f>
        <v>Harassment at work</v>
      </c>
      <c r="D564" s="5">
        <v>1</v>
      </c>
      <c r="E564" s="3">
        <v>0</v>
      </c>
    </row>
    <row r="565" spans="1:5" ht="15.75" customHeight="1" x14ac:dyDescent="0.2">
      <c r="A565" s="6">
        <v>2311</v>
      </c>
      <c r="B565" s="7" t="s">
        <v>530</v>
      </c>
      <c r="C565" s="8" t="str">
        <f ca="1">IFERROR(__xludf.DUMMYFUNCTION("GOOGLETRANSLATE(B565,""ar"",""en"")"),"A short and very useful and purposeful and advised me, frank, clear and respectful")</f>
        <v>A short and very useful and purposeful and advised me, frank, clear and respectful</v>
      </c>
      <c r="D565" s="9">
        <v>1</v>
      </c>
      <c r="E565" s="7">
        <v>1</v>
      </c>
    </row>
    <row r="566" spans="1:5" ht="15.75" customHeight="1" x14ac:dyDescent="0.2">
      <c r="A566" s="2">
        <v>2316</v>
      </c>
      <c r="B566" s="3" t="s">
        <v>531</v>
      </c>
      <c r="C566" s="4" t="str">
        <f ca="1">IFERROR(__xludf.DUMMYFUNCTION("GOOGLETRANSLATE(B566,""ar"",""en"")"),"Throat girls' education")</f>
        <v>Throat girls' education</v>
      </c>
      <c r="D566" s="5">
        <v>1</v>
      </c>
      <c r="E566" s="3">
        <v>0</v>
      </c>
    </row>
    <row r="567" spans="1:5" ht="15.75" customHeight="1" x14ac:dyDescent="0.2">
      <c r="A567" s="6">
        <v>2319</v>
      </c>
      <c r="B567" s="7" t="s">
        <v>532</v>
      </c>
      <c r="C567" s="8" t="str">
        <f ca="1">IFERROR(__xludf.DUMMYFUNCTION("GOOGLETRANSLATE(B567,""ar"",""en"")"),"The definition of law and the rights of women and solving family problems")</f>
        <v>The definition of law and the rights of women and solving family problems</v>
      </c>
      <c r="D567" s="9">
        <v>1</v>
      </c>
      <c r="E567" s="3">
        <v>0</v>
      </c>
    </row>
    <row r="568" spans="1:5" ht="15.75" customHeight="1" x14ac:dyDescent="0.2">
      <c r="A568" s="2">
        <v>2323</v>
      </c>
      <c r="B568" s="3" t="s">
        <v>533</v>
      </c>
      <c r="C568" s="4" t="str">
        <f ca="1">IFERROR(__xludf.DUMMYFUNCTION("GOOGLETRANSLATE(B568,""ar"",""en"")"),"Harassment and sexual harassment of children and penalties and Ante protect them, rape, and confront the effects of Corona and violence against women and")</f>
        <v>Harassment and sexual harassment of children and penalties and Ante protect them, rape, and confront the effects of Corona and violence against women and</v>
      </c>
      <c r="D568" s="5">
        <v>1</v>
      </c>
      <c r="E568" s="3">
        <v>0</v>
      </c>
    </row>
    <row r="569" spans="1:5" ht="15.75" customHeight="1" x14ac:dyDescent="0.2">
      <c r="A569" s="6">
        <v>2324</v>
      </c>
      <c r="B569" s="7" t="s">
        <v>534</v>
      </c>
      <c r="C569" s="8" t="str">
        <f ca="1">IFERROR(__xludf.DUMMYFUNCTION("GOOGLETRANSLATE(B569,""ar"",""en"")"),"It means any footmen / circumcision and the Internet")</f>
        <v>It means any footmen / circumcision and the Internet</v>
      </c>
      <c r="D569" s="9">
        <v>1</v>
      </c>
      <c r="E569" s="3">
        <v>0</v>
      </c>
    </row>
    <row r="570" spans="1:5" ht="15.75" customHeight="1" x14ac:dyDescent="0.2">
      <c r="A570" s="2">
        <v>2328</v>
      </c>
      <c r="B570" s="3" t="s">
        <v>22</v>
      </c>
      <c r="C570" s="4" t="str">
        <f ca="1">IFERROR(__xludf.DUMMYFUNCTION("GOOGLETRANSLATE(B570,""ar"",""en"")"),"Harassment")</f>
        <v>Harassment</v>
      </c>
      <c r="D570" s="5">
        <v>1</v>
      </c>
      <c r="E570" s="3">
        <v>0</v>
      </c>
    </row>
    <row r="571" spans="1:5" ht="15.75" customHeight="1" x14ac:dyDescent="0.2">
      <c r="A571" s="6">
        <v>2338</v>
      </c>
      <c r="B571" s="7" t="s">
        <v>535</v>
      </c>
      <c r="C571" s="8" t="str">
        <f ca="1">IFERROR(__xludf.DUMMYFUNCTION("GOOGLETRANSLATE(B571,""ar"",""en"")"),"The issue of the disposal of the citizen oddly")</f>
        <v>The issue of the disposal of the citizen oddly</v>
      </c>
      <c r="D571" s="9">
        <v>1</v>
      </c>
      <c r="E571" s="3">
        <v>0</v>
      </c>
    </row>
    <row r="572" spans="1:5" ht="15.75" customHeight="1" x14ac:dyDescent="0.2">
      <c r="A572" s="2">
        <v>2358</v>
      </c>
      <c r="B572" s="3" t="s">
        <v>133</v>
      </c>
      <c r="C572" s="4" t="str">
        <f ca="1">IFERROR(__xludf.DUMMYFUNCTION("GOOGLETRANSLATE(B572,""ar"",""en"")"),"Harassment")</f>
        <v>Harassment</v>
      </c>
      <c r="D572" s="5">
        <v>1</v>
      </c>
      <c r="E572" s="3">
        <v>0</v>
      </c>
    </row>
    <row r="573" spans="1:5" ht="15.75" customHeight="1" x14ac:dyDescent="0.2">
      <c r="A573" s="6">
        <v>2362</v>
      </c>
      <c r="B573" s="7" t="s">
        <v>536</v>
      </c>
      <c r="C573" s="8" t="str">
        <f ca="1">IFERROR(__xludf.DUMMYFUNCTION("GOOGLETRANSLATE(B573,""ar"",""en"")"),"Customary marriage")</f>
        <v>Customary marriage</v>
      </c>
      <c r="D573" s="9">
        <v>1</v>
      </c>
      <c r="E573" s="3">
        <v>0</v>
      </c>
    </row>
    <row r="574" spans="1:5" ht="15.75" customHeight="1" x14ac:dyDescent="0.2">
      <c r="A574" s="2">
        <v>2363</v>
      </c>
      <c r="B574" s="3" t="s">
        <v>537</v>
      </c>
      <c r="C574" s="4" t="str">
        <f ca="1">IFERROR(__xludf.DUMMYFUNCTION("GOOGLETRANSLATE(B574,""ar"",""en"")"),"Inheritance Alainat")</f>
        <v>Inheritance Alainat</v>
      </c>
      <c r="D574" s="5">
        <v>1</v>
      </c>
      <c r="E574" s="3">
        <v>0</v>
      </c>
    </row>
    <row r="575" spans="1:5" ht="15.75" customHeight="1" x14ac:dyDescent="0.2">
      <c r="A575" s="6">
        <v>2364</v>
      </c>
      <c r="B575" s="7" t="s">
        <v>538</v>
      </c>
      <c r="C575" s="8" t="str">
        <f ca="1">IFERROR(__xludf.DUMMYFUNCTION("GOOGLETRANSLATE(B575,""ar"",""en"")"),"Law at the time of separation")</f>
        <v>Law at the time of separation</v>
      </c>
      <c r="D575" s="9">
        <v>1</v>
      </c>
      <c r="E575" s="3">
        <v>0</v>
      </c>
    </row>
    <row r="576" spans="1:5" ht="15.75" customHeight="1" x14ac:dyDescent="0.2">
      <c r="A576" s="2">
        <v>2370</v>
      </c>
      <c r="B576" s="3" t="s">
        <v>539</v>
      </c>
      <c r="C576" s="4" t="str">
        <f ca="1">IFERROR(__xludf.DUMMYFUNCTION("GOOGLETRANSLATE(B576,""ar"",""en"")"),"very useful")</f>
        <v>very useful</v>
      </c>
      <c r="D576" s="9">
        <v>1</v>
      </c>
      <c r="E576" s="7">
        <v>1</v>
      </c>
    </row>
    <row r="577" spans="1:5" ht="15.75" customHeight="1" x14ac:dyDescent="0.2">
      <c r="A577" s="6">
        <v>2371</v>
      </c>
      <c r="B577" s="7" t="s">
        <v>540</v>
      </c>
      <c r="C577" s="8" t="str">
        <f ca="1">IFERROR(__xludf.DUMMYFUNCTION("GOOGLETRANSLATE(B577,""ar"",""en"")"),"Marriage Palace")</f>
        <v>Marriage Palace</v>
      </c>
      <c r="D577" s="9">
        <v>1</v>
      </c>
      <c r="E577" s="3">
        <v>0</v>
      </c>
    </row>
    <row r="578" spans="1:5" ht="15.75" customHeight="1" x14ac:dyDescent="0.2">
      <c r="A578" s="2">
        <v>2373</v>
      </c>
      <c r="B578" s="3" t="s">
        <v>107</v>
      </c>
      <c r="C578" s="4" t="str">
        <f ca="1">IFERROR(__xludf.DUMMYFUNCTION("GOOGLETRANSLATE(B578,""ar"",""en"")"),"Women's Issues")</f>
        <v>Women's Issues</v>
      </c>
      <c r="D578" s="5">
        <v>1</v>
      </c>
      <c r="E578" s="3">
        <v>0</v>
      </c>
    </row>
    <row r="579" spans="1:5" ht="15.75" customHeight="1" x14ac:dyDescent="0.2">
      <c r="A579" s="6">
        <v>2376</v>
      </c>
      <c r="B579" s="7" t="s">
        <v>541</v>
      </c>
      <c r="C579" s="8" t="str">
        <f ca="1">IFERROR(__xludf.DUMMYFUNCTION("GOOGLETRANSLATE(B579,""ar"",""en"")"),"Circumcision and other issues")</f>
        <v>Circumcision and other issues</v>
      </c>
      <c r="D579" s="9">
        <v>1</v>
      </c>
      <c r="E579" s="3">
        <v>0</v>
      </c>
    </row>
    <row r="580" spans="1:5" ht="15.75" customHeight="1" x14ac:dyDescent="0.2">
      <c r="A580" s="2">
        <v>2378</v>
      </c>
      <c r="B580" s="3" t="s">
        <v>542</v>
      </c>
      <c r="C580" s="4" t="str">
        <f ca="1">IFERROR(__xludf.DUMMYFUNCTION("GOOGLETRANSLATE(B580,""ar"",""en"")"),"Women and Qzaiaaltharc and the intervention of the Attorney General")</f>
        <v>Women and Qzaiaaltharc and the intervention of the Attorney General</v>
      </c>
      <c r="D580" s="5">
        <v>1</v>
      </c>
      <c r="E580" s="3">
        <v>0</v>
      </c>
    </row>
    <row r="581" spans="1:5" ht="15.75" customHeight="1" x14ac:dyDescent="0.2">
      <c r="A581" s="6">
        <v>2385</v>
      </c>
      <c r="B581" s="7" t="s">
        <v>107</v>
      </c>
      <c r="C581" s="8" t="str">
        <f ca="1">IFERROR(__xludf.DUMMYFUNCTION("GOOGLETRANSLATE(B581,""ar"",""en"")"),"Women's Issues")</f>
        <v>Women's Issues</v>
      </c>
      <c r="D581" s="9">
        <v>1</v>
      </c>
      <c r="E581" s="3">
        <v>0</v>
      </c>
    </row>
    <row r="582" spans="1:5" ht="15.75" customHeight="1" x14ac:dyDescent="0.2">
      <c r="A582" s="2">
        <v>2386</v>
      </c>
      <c r="B582" s="3" t="s">
        <v>543</v>
      </c>
      <c r="C582" s="4" t="str">
        <f ca="1">IFERROR(__xludf.DUMMYFUNCTION("GOOGLETRANSLATE(B582,""ar"",""en"")"),"About female circumcision and women's rights and Overwh myself what way")</f>
        <v>About female circumcision and women's rights and Overwh myself what way</v>
      </c>
      <c r="D582" s="5">
        <v>1</v>
      </c>
      <c r="E582" s="3">
        <v>0</v>
      </c>
    </row>
    <row r="583" spans="1:5" ht="15.75" customHeight="1" x14ac:dyDescent="0.2">
      <c r="A583" s="6">
        <v>2388</v>
      </c>
      <c r="B583" s="7" t="s">
        <v>83</v>
      </c>
      <c r="C583" s="8" t="str">
        <f ca="1">IFERROR(__xludf.DUMMYFUNCTION("GOOGLETRANSLATE(B583,""ar"",""en"")"),"violence against Woman")</f>
        <v>violence against Woman</v>
      </c>
      <c r="D583" s="9">
        <v>1</v>
      </c>
      <c r="E583" s="3">
        <v>0</v>
      </c>
    </row>
    <row r="584" spans="1:5" ht="15.75" customHeight="1" x14ac:dyDescent="0.2">
      <c r="A584" s="2">
        <v>2391</v>
      </c>
      <c r="B584" s="3" t="s">
        <v>544</v>
      </c>
      <c r="C584" s="4" t="str">
        <f ca="1">IFERROR(__xludf.DUMMYFUNCTION("GOOGLETRANSLATE(B584,""ar"",""en"")"),"Passport Girls")</f>
        <v>Passport Girls</v>
      </c>
      <c r="D584" s="5">
        <v>1</v>
      </c>
      <c r="E584" s="3">
        <v>0</v>
      </c>
    </row>
    <row r="585" spans="1:5" ht="15.75" customHeight="1" x14ac:dyDescent="0.2">
      <c r="A585" s="6">
        <v>2392</v>
      </c>
      <c r="B585" s="7" t="s">
        <v>545</v>
      </c>
      <c r="C585" s="8" t="str">
        <f ca="1">IFERROR(__xludf.DUMMYFUNCTION("GOOGLETRANSLATE(B585,""ar"",""en"")"),"Circumcision")</f>
        <v>Circumcision</v>
      </c>
      <c r="D585" s="9">
        <v>1</v>
      </c>
      <c r="E585" s="3">
        <v>0</v>
      </c>
    </row>
    <row r="586" spans="1:5" ht="15.75" customHeight="1" x14ac:dyDescent="0.2">
      <c r="A586" s="2">
        <v>2393</v>
      </c>
      <c r="B586" s="3" t="s">
        <v>546</v>
      </c>
      <c r="C586" s="4" t="str">
        <f ca="1">IFERROR(__xludf.DUMMYFUNCTION("GOOGLETRANSLATE(B586,""ar"",""en"")"),"The right of girls to defend their right against harassment, assault and self-determination")</f>
        <v>The right of girls to defend their right against harassment, assault and self-determination</v>
      </c>
      <c r="D586" s="5">
        <v>1</v>
      </c>
      <c r="E586" s="3">
        <v>0</v>
      </c>
    </row>
    <row r="587" spans="1:5" ht="15.75" customHeight="1" x14ac:dyDescent="0.2">
      <c r="A587" s="6">
        <v>2401</v>
      </c>
      <c r="B587" s="7" t="s">
        <v>547</v>
      </c>
      <c r="C587" s="8" t="str">
        <f ca="1">IFERROR(__xludf.DUMMYFUNCTION("GOOGLETRANSLATE(B587,""ar"",""en"")"),"Manhood concept when a lot of people wrong and Akhaddanha by force and muscles, and the woman Elly Btaatard to violence in her home needed to take a reaction and inform the police and knew that a mistake circumcision in women's right and that the Egyptian"&amp;" woman guardian legal rights very much needed I know Ashan I ask them")</f>
        <v>Manhood concept when a lot of people wrong and Akhaddanha by force and muscles, and the woman Elly Btaatard to violence in her home needed to take a reaction and inform the police and knew that a mistake circumcision in women's right and that the Egyptian woman guardian legal rights very much needed I know Ashan I ask them</v>
      </c>
      <c r="D587" s="9">
        <v>1</v>
      </c>
      <c r="E587" s="3">
        <v>0</v>
      </c>
    </row>
    <row r="588" spans="1:5" ht="15.75" customHeight="1" x14ac:dyDescent="0.2">
      <c r="A588" s="2">
        <v>2402</v>
      </c>
      <c r="B588" s="3" t="s">
        <v>320</v>
      </c>
      <c r="C588" s="4" t="str">
        <f ca="1">IFERROR(__xludf.DUMMYFUNCTION("GOOGLETRANSLATE(B588,""ar"",""en"")"),"Awareness")</f>
        <v>Awareness</v>
      </c>
      <c r="D588" s="5">
        <v>1</v>
      </c>
      <c r="E588" s="3">
        <v>0</v>
      </c>
    </row>
    <row r="589" spans="1:5" ht="15.75" customHeight="1" x14ac:dyDescent="0.2">
      <c r="A589" s="6">
        <v>2405</v>
      </c>
      <c r="B589" s="7" t="s">
        <v>548</v>
      </c>
      <c r="C589" s="8" t="str">
        <f ca="1">IFERROR(__xludf.DUMMYFUNCTION("GOOGLETRANSLATE(B589,""ar"",""en"")"),"Women's rights")</f>
        <v>Women's rights</v>
      </c>
      <c r="D589" s="9">
        <v>1</v>
      </c>
      <c r="E589" s="3">
        <v>0</v>
      </c>
    </row>
    <row r="590" spans="1:5" ht="15.75" customHeight="1" x14ac:dyDescent="0.2">
      <c r="A590" s="2">
        <v>2416</v>
      </c>
      <c r="B590" s="3" t="s">
        <v>549</v>
      </c>
      <c r="C590" s="4" t="str">
        <f ca="1">IFERROR(__xludf.DUMMYFUNCTION("GOOGLETRANSLATE(B590,""ar"",""en"")"),"I love Shuf that counsel estimates Aktar men succeed violin I hope I will be like a big lawyer")</f>
        <v>I love Shuf that counsel estimates Aktar men succeed violin I hope I will be like a big lawyer</v>
      </c>
      <c r="D590" s="5">
        <v>1</v>
      </c>
      <c r="E590" s="3">
        <v>0</v>
      </c>
    </row>
    <row r="591" spans="1:5" ht="15.75" customHeight="1" x14ac:dyDescent="0.2">
      <c r="A591" s="6">
        <v>2419</v>
      </c>
      <c r="B591" s="7" t="s">
        <v>550</v>
      </c>
      <c r="C591" s="8" t="str">
        <f ca="1">IFERROR(__xludf.DUMMYFUNCTION("GOOGLETRANSLATE(B591,""ar"",""en"")"),"For second wife")</f>
        <v>For second wife</v>
      </c>
      <c r="D591" s="9">
        <v>1</v>
      </c>
      <c r="E591" s="3">
        <v>0</v>
      </c>
    </row>
    <row r="592" spans="1:5" ht="15.75" customHeight="1" x14ac:dyDescent="0.2">
      <c r="A592" s="2">
        <v>2426</v>
      </c>
      <c r="B592" s="3" t="s">
        <v>551</v>
      </c>
      <c r="C592" s="4" t="str">
        <f ca="1">IFERROR(__xludf.DUMMYFUNCTION("GOOGLETRANSLATE(B592,""ar"",""en"")"),"Alimony and violence issues with wives")</f>
        <v>Alimony and violence issues with wives</v>
      </c>
      <c r="D592" s="5">
        <v>1</v>
      </c>
      <c r="E592" s="3">
        <v>0</v>
      </c>
    </row>
    <row r="593" spans="1:5" ht="15.75" customHeight="1" x14ac:dyDescent="0.2">
      <c r="A593" s="6">
        <v>2429</v>
      </c>
      <c r="B593" s="7" t="s">
        <v>552</v>
      </c>
      <c r="C593" s="8" t="str">
        <f ca="1">IFERROR(__xludf.DUMMYFUNCTION("GOOGLETRANSLATE(B593,""ar"",""en"")"),"Support women, harassment and how to cope")</f>
        <v>Support women, harassment and how to cope</v>
      </c>
      <c r="D593" s="9">
        <v>1</v>
      </c>
      <c r="E593" s="3">
        <v>0</v>
      </c>
    </row>
    <row r="594" spans="1:5" ht="15.75" customHeight="1" x14ac:dyDescent="0.2">
      <c r="A594" s="2">
        <v>2437</v>
      </c>
      <c r="B594" s="3" t="s">
        <v>553</v>
      </c>
      <c r="C594" s="4" t="str">
        <f ca="1">IFERROR(__xludf.DUMMYFUNCTION("GOOGLETRANSLATE(B594,""ar"",""en"")"),"The difference between divorce and divorce, violence against women")</f>
        <v>The difference between divorce and divorce, violence against women</v>
      </c>
      <c r="D594" s="5">
        <v>1</v>
      </c>
      <c r="E594" s="3">
        <v>0</v>
      </c>
    </row>
    <row r="595" spans="1:5" ht="15.75" customHeight="1" x14ac:dyDescent="0.2">
      <c r="A595" s="6">
        <v>2438</v>
      </c>
      <c r="B595" s="7" t="s">
        <v>554</v>
      </c>
      <c r="C595" s="8" t="str">
        <f ca="1">IFERROR(__xludf.DUMMYFUNCTION("GOOGLETRANSLATE(B595,""ar"",""en"")"),"More episodes I can say that I benefited from repeated view was about female circumcision")</f>
        <v>More episodes I can say that I benefited from repeated view was about female circumcision</v>
      </c>
      <c r="D595" s="9">
        <v>1</v>
      </c>
      <c r="E595" s="3">
        <v>0</v>
      </c>
    </row>
    <row r="596" spans="1:5" ht="15.75" customHeight="1" x14ac:dyDescent="0.2">
      <c r="A596" s="2">
        <v>2440</v>
      </c>
      <c r="B596" s="3" t="s">
        <v>555</v>
      </c>
      <c r="C596" s="4" t="str">
        <f ca="1">IFERROR(__xludf.DUMMYFUNCTION("GOOGLETRANSLATE(B596,""ar"",""en"")"),"Custody of the children with after separation")</f>
        <v>Custody of the children with after separation</v>
      </c>
      <c r="D596" s="5">
        <v>1</v>
      </c>
      <c r="E596" s="3">
        <v>0</v>
      </c>
    </row>
    <row r="597" spans="1:5" ht="15.75" customHeight="1" x14ac:dyDescent="0.2">
      <c r="A597" s="6">
        <v>2445</v>
      </c>
      <c r="B597" s="7" t="s">
        <v>556</v>
      </c>
      <c r="C597" s="8" t="str">
        <f ca="1">IFERROR(__xludf.DUMMYFUNCTION("GOOGLETRANSLATE(B597,""ar"",""en"")"),"Throat harassment")</f>
        <v>Throat harassment</v>
      </c>
      <c r="D597" s="9">
        <v>1</v>
      </c>
      <c r="E597" s="3">
        <v>0</v>
      </c>
    </row>
    <row r="598" spans="1:5" ht="15.75" customHeight="1" x14ac:dyDescent="0.2">
      <c r="A598" s="2">
        <v>2449</v>
      </c>
      <c r="B598" s="3" t="s">
        <v>557</v>
      </c>
      <c r="C598" s="4" t="str">
        <f ca="1">IFERROR(__xludf.DUMMYFUNCTION("GOOGLETRANSLATE(B598,""ar"",""en"")"),"The workshops on the law and Worldwide women's rights and the problems of divorce, domestic violence and legal solutions and social guardian")</f>
        <v>The workshops on the law and Worldwide women's rights and the problems of divorce, domestic violence and legal solutions and social guardian</v>
      </c>
      <c r="D598" s="5">
        <v>1</v>
      </c>
      <c r="E598" s="3">
        <v>0</v>
      </c>
    </row>
    <row r="599" spans="1:5" ht="15.75" customHeight="1" x14ac:dyDescent="0.2">
      <c r="A599" s="6">
        <v>2459</v>
      </c>
      <c r="B599" s="7" t="s">
        <v>558</v>
      </c>
      <c r="C599" s="8" t="str">
        <f ca="1">IFERROR(__xludf.DUMMYFUNCTION("GOOGLETRANSLATE(B599,""ar"",""en"")"),"Workshops on family problems and resolve legal and social way")</f>
        <v>Workshops on family problems and resolve legal and social way</v>
      </c>
      <c r="D599" s="9">
        <v>1</v>
      </c>
      <c r="E599" s="3">
        <v>0</v>
      </c>
    </row>
    <row r="600" spans="1:5" ht="15.75" customHeight="1" x14ac:dyDescent="0.2">
      <c r="A600" s="2">
        <v>2460</v>
      </c>
      <c r="B600" s="3" t="s">
        <v>559</v>
      </c>
      <c r="C600" s="4" t="str">
        <f ca="1">IFERROR(__xludf.DUMMYFUNCTION("GOOGLETRANSLATE(B600,""ar"",""en"")"),"The issue of female genital mutilation and the cause of this construction")</f>
        <v>The issue of female genital mutilation and the cause of this construction</v>
      </c>
      <c r="D600" s="5">
        <v>1</v>
      </c>
      <c r="E600" s="3">
        <v>0</v>
      </c>
    </row>
    <row r="601" spans="1:5" ht="15.75" customHeight="1" x14ac:dyDescent="0.2">
      <c r="A601" s="6">
        <v>2462</v>
      </c>
      <c r="B601" s="7" t="s">
        <v>560</v>
      </c>
      <c r="C601" s="8" t="str">
        <f ca="1">IFERROR(__xludf.DUMMYFUNCTION("GOOGLETRANSLATE(B601,""ar"",""en"")"),"On what I remember about the rights of women married and divorced")</f>
        <v>On what I remember about the rights of women married and divorced</v>
      </c>
      <c r="D601" s="9">
        <v>1</v>
      </c>
      <c r="E601" s="3">
        <v>0</v>
      </c>
    </row>
    <row r="602" spans="1:5" ht="15.75" customHeight="1" x14ac:dyDescent="0.2">
      <c r="A602" s="2">
        <v>2466</v>
      </c>
      <c r="B602" s="3" t="s">
        <v>561</v>
      </c>
      <c r="C602" s="4" t="str">
        <f ca="1">IFERROR(__xludf.DUMMYFUNCTION("GOOGLETRANSLATE(B602,""ar"",""en"")"),"The difference between divorce and divorce and the impact of Koruna on the family, especially women and harassment of children and women and new employees to work and Hanan female and its impact on girls")</f>
        <v>The difference between divorce and divorce and the impact of Koruna on the family, especially women and harassment of children and women and new employees to work and Hanan female and its impact on girls</v>
      </c>
      <c r="D602" s="5">
        <v>1</v>
      </c>
      <c r="E602" s="3">
        <v>0</v>
      </c>
    </row>
    <row r="603" spans="1:5" ht="15.75" customHeight="1" x14ac:dyDescent="0.2">
      <c r="A603" s="6">
        <v>2472</v>
      </c>
      <c r="B603" s="8" t="s">
        <v>562</v>
      </c>
      <c r="C603" s="8" t="str">
        <f ca="1">IFERROR(__xludf.DUMMYFUNCTION("GOOGLETRANSLATE(B603,""ar"",""en"")"),"Very good")</f>
        <v>Very good</v>
      </c>
      <c r="D603" s="9">
        <v>1</v>
      </c>
      <c r="E603" s="7">
        <v>1</v>
      </c>
    </row>
    <row r="604" spans="1:5" ht="15.75" customHeight="1" x14ac:dyDescent="0.2">
      <c r="A604" s="2">
        <v>2476</v>
      </c>
      <c r="B604" s="3" t="s">
        <v>161</v>
      </c>
      <c r="C604" s="4" t="str">
        <f ca="1">IFERROR(__xludf.DUMMYFUNCTION("GOOGLETRANSLATE(B604,""ar"",""en"")"),"Underage marriage")</f>
        <v>Underage marriage</v>
      </c>
      <c r="D604" s="5">
        <v>1</v>
      </c>
      <c r="E604" s="3">
        <v>0</v>
      </c>
    </row>
    <row r="605" spans="1:5" ht="15.75" customHeight="1" x14ac:dyDescent="0.2">
      <c r="A605" s="6">
        <v>2487</v>
      </c>
      <c r="B605" s="7" t="s">
        <v>563</v>
      </c>
      <c r="C605" s="8" t="str">
        <f ca="1">IFERROR(__xludf.DUMMYFUNCTION("GOOGLETRANSLATE(B605,""ar"",""en"")"),"Female genital mutilation and domestic violence")</f>
        <v>Female genital mutilation and domestic violence</v>
      </c>
      <c r="D605" s="9">
        <v>1</v>
      </c>
      <c r="E605" s="3">
        <v>0</v>
      </c>
    </row>
    <row r="606" spans="1:5" ht="15.75" customHeight="1" x14ac:dyDescent="0.2">
      <c r="A606" s="2">
        <v>2507</v>
      </c>
      <c r="B606" s="3" t="s">
        <v>565</v>
      </c>
      <c r="C606" s="4" t="str">
        <f ca="1">IFERROR(__xludf.DUMMYFUNCTION("GOOGLETRANSLATE(B610,""ar"",""en"")"),"Well in educating and in the answers Bstvad omitted")</f>
        <v>Well in educating and in the answers Bstvad omitted</v>
      </c>
      <c r="D606" s="9">
        <v>1</v>
      </c>
      <c r="E606" s="7">
        <v>1</v>
      </c>
    </row>
    <row r="607" spans="1:5" ht="15.75" customHeight="1" x14ac:dyDescent="0.2">
      <c r="A607" s="6">
        <v>2495</v>
      </c>
      <c r="B607" s="7" t="s">
        <v>564</v>
      </c>
      <c r="C607" s="8" t="str">
        <f ca="1">IFERROR(__xludf.DUMMYFUNCTION("GOOGLETRANSLATE(B607,""ar"",""en"")"),"The episodes dealing explain the topics and important issues in a simplified and was Horat and discussions are very useful to the social and intellectual level, which promotes community development.")</f>
        <v>The episodes dealing explain the topics and important issues in a simplified and was Horat and discussions are very useful to the social and intellectual level, which promotes community development.</v>
      </c>
      <c r="D607" s="9">
        <v>1</v>
      </c>
      <c r="E607" s="3">
        <v>0</v>
      </c>
    </row>
    <row r="608" spans="1:5" ht="15.75" customHeight="1" x14ac:dyDescent="0.2">
      <c r="A608" s="2">
        <v>2497</v>
      </c>
      <c r="B608" s="3" t="s">
        <v>529</v>
      </c>
      <c r="C608" s="4" t="str">
        <f ca="1">IFERROR(__xludf.DUMMYFUNCTION("GOOGLETRANSLATE(B608,""ar"",""en"")"),"Harassment at work")</f>
        <v>Harassment at work</v>
      </c>
      <c r="D608" s="5">
        <v>1</v>
      </c>
      <c r="E608" s="3">
        <v>0</v>
      </c>
    </row>
    <row r="609" spans="1:5" ht="15.75" customHeight="1" x14ac:dyDescent="0.2">
      <c r="A609" s="6">
        <v>2503</v>
      </c>
      <c r="B609" s="7" t="s">
        <v>473</v>
      </c>
      <c r="C609" s="8" t="str">
        <f ca="1">IFERROR(__xludf.DUMMYFUNCTION("GOOGLETRANSLATE(B609,""ar"",""en"")"),"violence against Woman")</f>
        <v>violence against Woman</v>
      </c>
      <c r="D609" s="9">
        <v>1</v>
      </c>
      <c r="E609" s="3">
        <v>0</v>
      </c>
    </row>
    <row r="610" spans="1:5" ht="15.75" customHeight="1" x14ac:dyDescent="0.2">
      <c r="A610" s="2">
        <v>1894</v>
      </c>
      <c r="B610" s="3" t="s">
        <v>442</v>
      </c>
      <c r="C610" s="4" t="str">
        <f ca="1">IFERROR(__xludf.DUMMYFUNCTION("GOOGLETRANSLATE(B464,""ar"",""en"")"),"Good")</f>
        <v>Good</v>
      </c>
      <c r="D610" s="9">
        <v>1</v>
      </c>
      <c r="E610" s="7">
        <v>1</v>
      </c>
    </row>
    <row r="611" spans="1:5" ht="15.75" customHeight="1" x14ac:dyDescent="0.2">
      <c r="A611" s="6">
        <v>2512</v>
      </c>
      <c r="B611" s="7" t="s">
        <v>566</v>
      </c>
      <c r="C611" s="8" t="str">
        <f ca="1">IFERROR(__xludf.DUMMYFUNCTION("GOOGLETRANSLATE(B611,""ar"",""en"")"),"Workshops on sexual harassment and female genital mutilation")</f>
        <v>Workshops on sexual harassment and female genital mutilation</v>
      </c>
      <c r="D611" s="9">
        <v>1</v>
      </c>
      <c r="E611" s="3">
        <v>0</v>
      </c>
    </row>
    <row r="612" spans="1:5" ht="15.75" customHeight="1" x14ac:dyDescent="0.2">
      <c r="A612" s="2">
        <v>2520</v>
      </c>
      <c r="B612" s="3" t="s">
        <v>567</v>
      </c>
      <c r="C612" s="4" t="str">
        <f ca="1">IFERROR(__xludf.DUMMYFUNCTION("GOOGLETRANSLATE(B612,""ar"",""en"")"),"For divorce and divorce")</f>
        <v>For divorce and divorce</v>
      </c>
      <c r="D612" s="5">
        <v>1</v>
      </c>
      <c r="E612" s="3">
        <v>0</v>
      </c>
    </row>
    <row r="613" spans="1:5" ht="15.75" customHeight="1" x14ac:dyDescent="0.2">
      <c r="A613" s="6">
        <v>2527</v>
      </c>
      <c r="B613" s="7" t="s">
        <v>568</v>
      </c>
      <c r="C613" s="8" t="str">
        <f ca="1">IFERROR(__xludf.DUMMYFUNCTION("GOOGLETRANSLATE(B613,""ar"",""en"")"),"About domestic violence")</f>
        <v>About domestic violence</v>
      </c>
      <c r="D613" s="9">
        <v>1</v>
      </c>
      <c r="E613" s="3">
        <v>0</v>
      </c>
    </row>
    <row r="614" spans="1:5" ht="15.75" customHeight="1" x14ac:dyDescent="0.2">
      <c r="A614" s="2">
        <v>2529</v>
      </c>
      <c r="B614" s="3" t="s">
        <v>569</v>
      </c>
      <c r="C614" s="4" t="str">
        <f ca="1">IFERROR(__xludf.DUMMYFUNCTION("GOOGLETRANSLATE(B614,""ar"",""en"")"),"Family laws and legal issues and inquiries")</f>
        <v>Family laws and legal issues and inquiries</v>
      </c>
      <c r="D614" s="5">
        <v>1</v>
      </c>
      <c r="E614" s="3">
        <v>0</v>
      </c>
    </row>
    <row r="615" spans="1:5" ht="15.75" customHeight="1" x14ac:dyDescent="0.2">
      <c r="A615" s="6">
        <v>2531</v>
      </c>
      <c r="B615" s="7" t="s">
        <v>570</v>
      </c>
      <c r="C615" s="8" t="str">
        <f ca="1">IFERROR(__xludf.DUMMYFUNCTION("GOOGLETRANSLATE(B615,""ar"",""en"")"),"Reasonable level")</f>
        <v>Reasonable level</v>
      </c>
      <c r="D615" s="9">
        <v>1</v>
      </c>
      <c r="E615" s="3">
        <v>0</v>
      </c>
    </row>
    <row r="616" spans="1:5" ht="15.75" customHeight="1" x14ac:dyDescent="0.2">
      <c r="A616" s="2">
        <v>2532</v>
      </c>
      <c r="B616" s="3" t="s">
        <v>571</v>
      </c>
      <c r="C616" s="4" t="str">
        <f ca="1">IFERROR(__xludf.DUMMYFUNCTION("GOOGLETRANSLATE(B616,""ar"",""en"")"),"Second marriage, build confidence,")</f>
        <v>Second marriage, build confidence,</v>
      </c>
      <c r="D616" s="5">
        <v>1</v>
      </c>
      <c r="E616" s="3">
        <v>0</v>
      </c>
    </row>
    <row r="617" spans="1:5" ht="15.75" customHeight="1" x14ac:dyDescent="0.2">
      <c r="A617" s="6">
        <v>2535</v>
      </c>
      <c r="B617" s="7" t="s">
        <v>572</v>
      </c>
      <c r="C617" s="8" t="str">
        <f ca="1">IFERROR(__xludf.DUMMYFUNCTION("GOOGLETRANSLATE(B617,""ar"",""en"")"),"Legal Awareness")</f>
        <v>Legal Awareness</v>
      </c>
      <c r="D617" s="9">
        <v>1</v>
      </c>
      <c r="E617" s="3">
        <v>0</v>
      </c>
    </row>
    <row r="618" spans="1:5" ht="15.75" customHeight="1" x14ac:dyDescent="0.2">
      <c r="A618" s="2">
        <v>2536</v>
      </c>
      <c r="B618" s="3" t="s">
        <v>573</v>
      </c>
      <c r="C618" s="4" t="str">
        <f ca="1">IFERROR(__xludf.DUMMYFUNCTION("GOOGLETRANSLATE(B618,""ar"",""en"")"),"It exploded on an episode Alrjalh ayza Er. Stop Alkhtan.almodhun and Bunty")</f>
        <v>It exploded on an episode Alrjalh ayza Er. Stop Alkhtan.almodhun and Bunty</v>
      </c>
      <c r="D618" s="5">
        <v>1</v>
      </c>
      <c r="E618" s="3">
        <v>0</v>
      </c>
    </row>
    <row r="619" spans="1:5" ht="15.75" customHeight="1" x14ac:dyDescent="0.2">
      <c r="A619" s="6">
        <v>2538</v>
      </c>
      <c r="B619" s="7" t="s">
        <v>574</v>
      </c>
      <c r="C619" s="8" t="str">
        <f ca="1">IFERROR(__xludf.DUMMYFUNCTION("GOOGLETRANSLATE(B619,""ar"",""en"")"),"Legal Information wonderful")</f>
        <v>Legal Information wonderful</v>
      </c>
      <c r="D619" s="9">
        <v>1</v>
      </c>
      <c r="E619" s="3">
        <v>0</v>
      </c>
    </row>
    <row r="620" spans="1:5" ht="15.75" customHeight="1" x14ac:dyDescent="0.2">
      <c r="A620" s="2">
        <v>2539</v>
      </c>
      <c r="B620" s="3" t="s">
        <v>575</v>
      </c>
      <c r="C620" s="4" t="str">
        <f ca="1">IFERROR(__xludf.DUMMYFUNCTION("GOOGLETRANSLATE(B620,""ar"",""en"")"),"Circumcision and violence and harassment against women")</f>
        <v>Circumcision and violence and harassment against women</v>
      </c>
      <c r="D620" s="5">
        <v>1</v>
      </c>
      <c r="E620" s="3">
        <v>0</v>
      </c>
    </row>
    <row r="621" spans="1:5" ht="15.75" customHeight="1" x14ac:dyDescent="0.2">
      <c r="A621" s="6">
        <v>2549</v>
      </c>
      <c r="B621" s="7" t="s">
        <v>576</v>
      </c>
      <c r="C621" s="8" t="str">
        <f ca="1">IFERROR(__xludf.DUMMYFUNCTION("GOOGLETRANSLATE(B621,""ar"",""en"")"),"Purposeful and awareness program to discuss issues of concern to women and society")</f>
        <v>Purposeful and awareness program to discuss issues of concern to women and society</v>
      </c>
      <c r="D621" s="9">
        <v>1</v>
      </c>
      <c r="E621" s="3">
        <v>0</v>
      </c>
    </row>
    <row r="622" spans="1:5" ht="15.75" customHeight="1" x14ac:dyDescent="0.2">
      <c r="A622" s="2">
        <v>2551</v>
      </c>
      <c r="B622" s="3" t="s">
        <v>577</v>
      </c>
      <c r="C622" s="4" t="str">
        <f ca="1">IFERROR(__xludf.DUMMYFUNCTION("GOOGLETRANSLATE(B622,""ar"",""en"")"),"A social program")</f>
        <v>A social program</v>
      </c>
      <c r="D622" s="5">
        <v>1</v>
      </c>
      <c r="E622" s="3">
        <v>0</v>
      </c>
    </row>
    <row r="623" spans="1:5" ht="15.75" customHeight="1" x14ac:dyDescent="0.2">
      <c r="A623" s="6">
        <v>2554</v>
      </c>
      <c r="B623" s="7" t="s">
        <v>578</v>
      </c>
      <c r="C623" s="8" t="str">
        <f ca="1">IFERROR(__xludf.DUMMYFUNCTION("GOOGLETRANSLATE(B623,""ar"",""en"")"),"Receipts of trust ..... rents")</f>
        <v>Receipts of trust ..... rents</v>
      </c>
      <c r="D623" s="9">
        <v>1</v>
      </c>
      <c r="E623" s="3">
        <v>0</v>
      </c>
    </row>
    <row r="624" spans="1:5" ht="15.75" customHeight="1" x14ac:dyDescent="0.2">
      <c r="A624" s="2">
        <v>2560</v>
      </c>
      <c r="B624" s="3" t="s">
        <v>579</v>
      </c>
      <c r="C624" s="4" t="str">
        <f ca="1">IFERROR(__xludf.DUMMYFUNCTION("GOOGLETRANSLATE(B624,""ar"",""en"")"),"Oppressed women's issues")</f>
        <v>Oppressed women's issues</v>
      </c>
      <c r="D624" s="5">
        <v>1</v>
      </c>
      <c r="E624" s="3">
        <v>0</v>
      </c>
    </row>
    <row r="625" spans="1:5" ht="15.75" customHeight="1" x14ac:dyDescent="0.2">
      <c r="A625" s="6">
        <v>2561</v>
      </c>
      <c r="B625" s="7" t="s">
        <v>580</v>
      </c>
      <c r="C625" s="8" t="str">
        <f ca="1">IFERROR(__xludf.DUMMYFUNCTION("GOOGLETRANSLATE(B625,""ar"",""en"")"),"Talks about the evolution of Kasai and make my character in front of me to respect me and myself the happiest Kasai")</f>
        <v>Talks about the evolution of Kasai and make my character in front of me to respect me and myself the happiest Kasai</v>
      </c>
      <c r="D625" s="9">
        <v>1</v>
      </c>
      <c r="E625" s="3">
        <v>0</v>
      </c>
    </row>
    <row r="626" spans="1:5" ht="15.75" customHeight="1" x14ac:dyDescent="0.2">
      <c r="A626" s="2">
        <v>2562</v>
      </c>
      <c r="B626" s="3" t="s">
        <v>581</v>
      </c>
      <c r="C626" s="4" t="str">
        <f ca="1">IFERROR(__xludf.DUMMYFUNCTION("GOOGLETRANSLATE(B626,""ar"",""en"")"),"Female genital mutilation and harmful to the girl and her family")</f>
        <v>Female genital mutilation and harmful to the girl and her family</v>
      </c>
      <c r="D626" s="5">
        <v>1</v>
      </c>
      <c r="E626" s="3">
        <v>0</v>
      </c>
    </row>
    <row r="627" spans="1:5" ht="15.75" customHeight="1" x14ac:dyDescent="0.2">
      <c r="A627" s="6">
        <v>2564</v>
      </c>
      <c r="B627" s="7" t="s">
        <v>582</v>
      </c>
      <c r="C627" s="8" t="str">
        <f ca="1">IFERROR(__xludf.DUMMYFUNCTION("GOOGLETRANSLATE(B627,""ar"",""en"")"),"And the importance of women in society")</f>
        <v>And the importance of women in society</v>
      </c>
      <c r="D627" s="9">
        <v>1</v>
      </c>
      <c r="E627" s="3">
        <v>0</v>
      </c>
    </row>
    <row r="628" spans="1:5" ht="15.75" customHeight="1" x14ac:dyDescent="0.2">
      <c r="A628" s="2">
        <v>2569</v>
      </c>
      <c r="B628" s="3" t="s">
        <v>125</v>
      </c>
      <c r="C628" s="4" t="str">
        <f ca="1">IFERROR(__xludf.DUMMYFUNCTION("GOOGLETRANSLATE(B628,""ar"",""en"")"),"Circumcision")</f>
        <v>Circumcision</v>
      </c>
      <c r="D628" s="5">
        <v>1</v>
      </c>
      <c r="E628" s="3">
        <v>0</v>
      </c>
    </row>
    <row r="629" spans="1:5" ht="15.75" customHeight="1" x14ac:dyDescent="0.2">
      <c r="A629" s="2">
        <v>2492</v>
      </c>
      <c r="B629" s="3" t="s">
        <v>442</v>
      </c>
      <c r="C629" s="4" t="str">
        <f ca="1">IFERROR(__xludf.DUMMYFUNCTION("GOOGLETRANSLATE(B606,""ar"",""en"")"),"Good")</f>
        <v>Good</v>
      </c>
      <c r="D629" s="9">
        <v>1</v>
      </c>
      <c r="E629" s="7">
        <v>1</v>
      </c>
    </row>
    <row r="630" spans="1:5" ht="15.75" customHeight="1" x14ac:dyDescent="0.2">
      <c r="A630" s="2">
        <v>2584</v>
      </c>
      <c r="B630" s="3" t="s">
        <v>584</v>
      </c>
      <c r="C630" s="4" t="str">
        <f ca="1">IFERROR(__xludf.DUMMYFUNCTION("GOOGLETRANSLATE(B630,""ar"",""en"")"),"The law of the old rent")</f>
        <v>The law of the old rent</v>
      </c>
      <c r="D630" s="5">
        <v>1</v>
      </c>
      <c r="E630" s="3">
        <v>0</v>
      </c>
    </row>
    <row r="631" spans="1:5" ht="15.75" customHeight="1" x14ac:dyDescent="0.2">
      <c r="A631" s="6">
        <v>2585</v>
      </c>
      <c r="B631" s="7" t="s">
        <v>133</v>
      </c>
      <c r="C631" s="8" t="str">
        <f ca="1">IFERROR(__xludf.DUMMYFUNCTION("GOOGLETRANSLATE(B631,""ar"",""en"")"),"Harassment")</f>
        <v>Harassment</v>
      </c>
      <c r="D631" s="9">
        <v>1</v>
      </c>
      <c r="E631" s="3">
        <v>0</v>
      </c>
    </row>
    <row r="632" spans="1:5" ht="15.75" customHeight="1" x14ac:dyDescent="0.2">
      <c r="A632" s="2">
        <v>2588</v>
      </c>
      <c r="B632" s="3" t="s">
        <v>585</v>
      </c>
      <c r="C632" s="4" t="str">
        <f ca="1">IFERROR(__xludf.DUMMYFUNCTION("GOOGLETRANSLATE(B632,""ar"",""en"")"),"He is shaved for the nursery Worldwide")</f>
        <v>He is shaved for the nursery Worldwide</v>
      </c>
      <c r="D632" s="5">
        <v>1</v>
      </c>
      <c r="E632" s="3">
        <v>0</v>
      </c>
    </row>
    <row r="633" spans="1:5" ht="15.75" customHeight="1" x14ac:dyDescent="0.2">
      <c r="A633" s="6">
        <v>2594</v>
      </c>
      <c r="B633" s="7" t="s">
        <v>586</v>
      </c>
      <c r="C633" s="8" t="str">
        <f ca="1">IFERROR(__xludf.DUMMYFUNCTION("GOOGLETRANSLATE(B633,""ar"",""en"")"),"Circumcision of sexual harassment and Alfeza")</f>
        <v>Circumcision of sexual harassment and Alfeza</v>
      </c>
      <c r="D633" s="9">
        <v>1</v>
      </c>
      <c r="E633" s="3">
        <v>0</v>
      </c>
    </row>
    <row r="634" spans="1:5" ht="15.75" customHeight="1" x14ac:dyDescent="0.2">
      <c r="A634" s="2">
        <v>2595</v>
      </c>
      <c r="B634" s="3" t="s">
        <v>587</v>
      </c>
      <c r="C634" s="4" t="str">
        <f ca="1">IFERROR(__xludf.DUMMYFUNCTION("GOOGLETRANSLATE(B634,""ar"",""en"")"),"The rights of divorced")</f>
        <v>The rights of divorced</v>
      </c>
      <c r="D634" s="5">
        <v>1</v>
      </c>
      <c r="E634" s="3">
        <v>0</v>
      </c>
    </row>
    <row r="635" spans="1:5" ht="15.75" customHeight="1" x14ac:dyDescent="0.2">
      <c r="A635" s="6">
        <v>2596</v>
      </c>
      <c r="B635" s="7" t="s">
        <v>588</v>
      </c>
      <c r="C635" s="8" t="str">
        <f ca="1">IFERROR(__xludf.DUMMYFUNCTION("GOOGLETRANSLATE(B635,""ar"",""en"")"),"Legal consultancy and the most important places need to support women")</f>
        <v>Legal consultancy and the most important places need to support women</v>
      </c>
      <c r="D635" s="9">
        <v>1</v>
      </c>
      <c r="E635" s="3">
        <v>0</v>
      </c>
    </row>
    <row r="636" spans="1:5" ht="15.75" customHeight="1" x14ac:dyDescent="0.2">
      <c r="A636" s="2">
        <v>2598</v>
      </c>
      <c r="B636" s="3" t="s">
        <v>589</v>
      </c>
      <c r="C636" s="4" t="str">
        <f ca="1">IFERROR(__xludf.DUMMYFUNCTION("GOOGLETRANSLATE(B636,""ar"",""en"")"),"His throat for domestic violence")</f>
        <v>His throat for domestic violence</v>
      </c>
      <c r="D636" s="5">
        <v>1</v>
      </c>
      <c r="E636" s="3">
        <v>0</v>
      </c>
    </row>
    <row r="637" spans="1:5" ht="15.75" customHeight="1" x14ac:dyDescent="0.2">
      <c r="A637" s="6">
        <v>2602</v>
      </c>
      <c r="B637" s="7" t="s">
        <v>590</v>
      </c>
      <c r="C637" s="8" t="str">
        <f ca="1">IFERROR(__xludf.DUMMYFUNCTION("GOOGLETRANSLATE(B637,""ar"",""en"")"),"For decades, health, domestic violence, harassment, and her answer questions about divorce and put children")</f>
        <v>For decades, health, domestic violence, harassment, and her answer questions about divorce and put children</v>
      </c>
      <c r="D637" s="9">
        <v>1</v>
      </c>
      <c r="E637" s="3">
        <v>0</v>
      </c>
    </row>
    <row r="638" spans="1:5" ht="15.75" customHeight="1" x14ac:dyDescent="0.2">
      <c r="A638" s="2">
        <v>2611</v>
      </c>
      <c r="B638" s="3" t="s">
        <v>591</v>
      </c>
      <c r="C638" s="4" t="str">
        <f ca="1">IFERROR(__xludf.DUMMYFUNCTION("GOOGLETRANSLATE(B638,""ar"",""en"")"),"Crimes of rape - sexual and verbal harassment - the negative effects of the virus Corona - issues of violence against women")</f>
        <v>Crimes of rape - sexual and verbal harassment - the negative effects of the virus Corona - issues of violence against women</v>
      </c>
      <c r="D638" s="5">
        <v>1</v>
      </c>
      <c r="E638" s="3">
        <v>0</v>
      </c>
    </row>
    <row r="639" spans="1:5" ht="15.75" customHeight="1" x14ac:dyDescent="0.2">
      <c r="A639" s="6">
        <v>2614</v>
      </c>
      <c r="B639" s="7" t="s">
        <v>592</v>
      </c>
      <c r="C639" s="8" t="str">
        <f ca="1">IFERROR(__xludf.DUMMYFUNCTION("GOOGLETRANSLATE(B639,""ar"",""en"")"),"Workshop on customary marriage and habitus for Algarmat ring for the wife's rights upon divorce or divorce Elly de Vakrah eih")</f>
        <v>Workshop on customary marriage and habitus for Algarmat ring for the wife's rights upon divorce or divorce Elly de Vakrah eih</v>
      </c>
      <c r="D639" s="9">
        <v>1</v>
      </c>
      <c r="E639" s="3">
        <v>0</v>
      </c>
    </row>
    <row r="640" spans="1:5" ht="15.75" customHeight="1" x14ac:dyDescent="0.2">
      <c r="A640" s="2">
        <v>2624</v>
      </c>
      <c r="B640" s="3" t="s">
        <v>593</v>
      </c>
      <c r="C640" s="4" t="str">
        <f ca="1">IFERROR(__xludf.DUMMYFUNCTION("GOOGLETRANSLATE(B640,""ar"",""en"")"),"Harassment in Ghaml")</f>
        <v>Harassment in Ghaml</v>
      </c>
      <c r="D640" s="5">
        <v>1</v>
      </c>
      <c r="E640" s="3">
        <v>0</v>
      </c>
    </row>
    <row r="641" spans="1:5" ht="15.75" customHeight="1" x14ac:dyDescent="0.2">
      <c r="A641" s="6">
        <v>2628</v>
      </c>
      <c r="B641" s="7" t="s">
        <v>51</v>
      </c>
      <c r="C641" s="8" t="str">
        <f ca="1">IFERROR(__xludf.DUMMYFUNCTION("GOOGLETRANSLATE(B641,""ar"",""en"")"),"Women's rights")</f>
        <v>Women's rights</v>
      </c>
      <c r="D641" s="9">
        <v>1</v>
      </c>
      <c r="E641" s="3">
        <v>0</v>
      </c>
    </row>
    <row r="642" spans="1:5" ht="15.75" customHeight="1" x14ac:dyDescent="0.2">
      <c r="A642" s="2">
        <v>2630</v>
      </c>
      <c r="B642" s="3" t="s">
        <v>594</v>
      </c>
      <c r="C642" s="4" t="str">
        <f ca="1">IFERROR(__xludf.DUMMYFUNCTION("GOOGLETRANSLATE(B642,""ar"",""en"")"),"Harassment and female genital mutilation and the right of inheritance and the girl in Walworth and the right of women and working women")</f>
        <v>Harassment and female genital mutilation and the right of inheritance and the girl in Walworth and the right of women and working women</v>
      </c>
      <c r="D642" s="5">
        <v>1</v>
      </c>
      <c r="E642" s="3">
        <v>0</v>
      </c>
    </row>
    <row r="643" spans="1:5" ht="15.75" customHeight="1" x14ac:dyDescent="0.2">
      <c r="A643" s="6">
        <v>2632</v>
      </c>
      <c r="B643" s="7" t="s">
        <v>595</v>
      </c>
      <c r="C643" s="8" t="str">
        <f ca="1">IFERROR(__xludf.DUMMYFUNCTION("GOOGLETRANSLATE(B643,""ar"",""en"")"),"The most famous episodes of sexual harassment cases")</f>
        <v>The most famous episodes of sexual harassment cases</v>
      </c>
      <c r="D643" s="9">
        <v>1</v>
      </c>
      <c r="E643" s="3">
        <v>0</v>
      </c>
    </row>
    <row r="644" spans="1:5" ht="15.75" customHeight="1" x14ac:dyDescent="0.2">
      <c r="A644" s="2">
        <v>2640</v>
      </c>
      <c r="B644" s="3" t="s">
        <v>596</v>
      </c>
      <c r="C644" s="4" t="str">
        <f ca="1">IFERROR(__xludf.DUMMYFUNCTION("GOOGLETRANSLATE(B644,""ar"",""en"")"),"Kasai was Alemraeh absolute abandonment Josha spent on Alolad")</f>
        <v>Kasai was Alemraeh absolute abandonment Josha spent on Alolad</v>
      </c>
      <c r="D644" s="5">
        <v>1</v>
      </c>
      <c r="E644" s="3">
        <v>0</v>
      </c>
    </row>
    <row r="645" spans="1:5" ht="15.75" customHeight="1" x14ac:dyDescent="0.2">
      <c r="A645" s="6">
        <v>2643</v>
      </c>
      <c r="B645" s="7" t="s">
        <v>597</v>
      </c>
      <c r="C645" s="8" t="str">
        <f ca="1">IFERROR(__xludf.DUMMYFUNCTION("GOOGLETRANSLATE(B645,""ar"",""en"")"),"Legal advice")</f>
        <v>Legal advice</v>
      </c>
      <c r="D645" s="9">
        <v>1</v>
      </c>
      <c r="E645" s="3">
        <v>0</v>
      </c>
    </row>
    <row r="646" spans="1:5" ht="15.75" customHeight="1" x14ac:dyDescent="0.2">
      <c r="A646" s="2">
        <v>2645</v>
      </c>
      <c r="B646" s="3" t="s">
        <v>598</v>
      </c>
      <c r="C646" s="4" t="str">
        <f ca="1">IFERROR(__xludf.DUMMYFUNCTION("GOOGLETRANSLATE(B646,""ar"",""en"")"),"For women, society and social workers")</f>
        <v>For women, society and social workers</v>
      </c>
      <c r="D646" s="5">
        <v>1</v>
      </c>
      <c r="E646" s="3">
        <v>0</v>
      </c>
    </row>
    <row r="647" spans="1:5" ht="15.75" customHeight="1" x14ac:dyDescent="0.2">
      <c r="A647" s="6">
        <v>2647</v>
      </c>
      <c r="B647" s="7" t="s">
        <v>599</v>
      </c>
      <c r="C647" s="8" t="str">
        <f ca="1">IFERROR(__xludf.DUMMYFUNCTION("GOOGLETRANSLATE(B647,""ar"",""en"")"),"Excellent and effective Jaddaa")</f>
        <v>Excellent and effective Jaddaa</v>
      </c>
      <c r="D647" s="9">
        <v>1</v>
      </c>
      <c r="E647" s="7">
        <v>1</v>
      </c>
    </row>
    <row r="648" spans="1:5" ht="15.75" customHeight="1" x14ac:dyDescent="0.2">
      <c r="A648" s="2">
        <v>2649</v>
      </c>
      <c r="B648" s="3" t="s">
        <v>600</v>
      </c>
      <c r="C648" s="4" t="str">
        <f ca="1">IFERROR(__xludf.DUMMYFUNCTION("GOOGLETRANSLATE(B648,""ar"",""en"")"),"Violence and harassment")</f>
        <v>Violence and harassment</v>
      </c>
      <c r="D648" s="5">
        <v>1</v>
      </c>
      <c r="E648" s="3">
        <v>0</v>
      </c>
    </row>
    <row r="649" spans="1:5" ht="15.75" customHeight="1" x14ac:dyDescent="0.2">
      <c r="A649" s="6">
        <v>2653</v>
      </c>
      <c r="B649" s="7" t="s">
        <v>601</v>
      </c>
      <c r="C649" s="8" t="str">
        <f ca="1">IFERROR(__xludf.DUMMYFUNCTION("GOOGLETRANSLATE(B649,""ar"",""en"")"),"Women's Issues and inheritances")</f>
        <v>Women's Issues and inheritances</v>
      </c>
      <c r="D649" s="9">
        <v>1</v>
      </c>
      <c r="E649" s="3">
        <v>0</v>
      </c>
    </row>
    <row r="650" spans="1:5" ht="15.75" customHeight="1" x14ac:dyDescent="0.2">
      <c r="A650" s="2">
        <v>2655</v>
      </c>
      <c r="B650" s="3" t="s">
        <v>602</v>
      </c>
      <c r="C650" s="4" t="str">
        <f ca="1">IFERROR(__xludf.DUMMYFUNCTION("GOOGLETRANSLATE(B650,""ar"",""en"")"),"Mostly alert women to their rights and defend it paralleled")</f>
        <v>Mostly alert women to their rights and defend it paralleled</v>
      </c>
      <c r="D650" s="5">
        <v>1</v>
      </c>
      <c r="E650" s="3">
        <v>0</v>
      </c>
    </row>
    <row r="651" spans="1:5" ht="15.75" customHeight="1" x14ac:dyDescent="0.2">
      <c r="A651" s="6">
        <v>2668</v>
      </c>
      <c r="B651" s="7" t="s">
        <v>603</v>
      </c>
      <c r="C651" s="8" t="str">
        <f ca="1">IFERROR(__xludf.DUMMYFUNCTION("GOOGLETRANSLATE(B651,""ar"",""en"")"),"Aajpna because he was Abielm six she Matbakash weak and keeps her personal and work role. And it has the right to feel femininity and it's a human being are disturbed at")</f>
        <v>Aajpna because he was Abielm six she Matbakash weak and keeps her personal and work role. And it has the right to feel femininity and it's a human being are disturbed at</v>
      </c>
      <c r="D651" s="9">
        <v>1</v>
      </c>
      <c r="E651" s="3">
        <v>0</v>
      </c>
    </row>
    <row r="652" spans="1:5" ht="15.75" customHeight="1" x14ac:dyDescent="0.2">
      <c r="A652" s="2">
        <v>2673</v>
      </c>
      <c r="B652" s="3" t="s">
        <v>604</v>
      </c>
      <c r="C652" s="4" t="str">
        <f ca="1">IFERROR(__xludf.DUMMYFUNCTION("GOOGLETRANSLATE(B652,""ar"",""en"")"),"He was talking about Is wearing the girl is why harassment and Kasai DONT analytical survey 200 in 1000 men and women from harassment and Kteer confessed that they Pthrashwa and Batberhoa so that something beautiful and very much of the ladies admitted th"&amp;"ey had been harassed to the extent that they have their lives Bazt and confusion mesh is the problem with evidence that the his men Bchow that wearing demure Babaka appealing to the matter")</f>
        <v>He was talking about Is wearing the girl is why harassment and Kasai DONT analytical survey 200 in 1000 men and women from harassment and Kteer confessed that they Pthrashwa and Batberhoa so that something beautiful and very much of the ladies admitted they had been harassed to the extent that they have their lives Bazt and confusion mesh is the problem with evidence that the his men Bchow that wearing demure Babaka appealing to the matter</v>
      </c>
      <c r="D652" s="5">
        <v>1</v>
      </c>
      <c r="E652" s="3">
        <v>0</v>
      </c>
    </row>
    <row r="653" spans="1:5" ht="15.75" customHeight="1" x14ac:dyDescent="0.2">
      <c r="A653" s="6">
        <v>2680</v>
      </c>
      <c r="B653" s="7" t="s">
        <v>605</v>
      </c>
      <c r="C653" s="8" t="str">
        <f ca="1">IFERROR(__xludf.DUMMYFUNCTION("GOOGLETRANSLATE(B653,""ar"",""en"")"),"Loop excision")</f>
        <v>Loop excision</v>
      </c>
      <c r="D653" s="9">
        <v>1</v>
      </c>
      <c r="E653" s="3">
        <v>0</v>
      </c>
    </row>
    <row r="654" spans="1:5" ht="15.75" customHeight="1" x14ac:dyDescent="0.2">
      <c r="A654" s="2">
        <v>2689</v>
      </c>
      <c r="B654" s="3" t="s">
        <v>606</v>
      </c>
      <c r="C654" s="4" t="str">
        <f ca="1">IFERROR(__xludf.DUMMYFUNCTION("GOOGLETRANSLATE(B654,""ar"",""en"")"),"Dislocation / circumcision")</f>
        <v>Dislocation / circumcision</v>
      </c>
      <c r="D654" s="5">
        <v>1</v>
      </c>
      <c r="E654" s="3">
        <v>0</v>
      </c>
    </row>
    <row r="655" spans="1:5" ht="15.75" customHeight="1" x14ac:dyDescent="0.2">
      <c r="A655" s="6">
        <v>2694</v>
      </c>
      <c r="B655" s="7" t="s">
        <v>607</v>
      </c>
      <c r="C655" s="8" t="str">
        <f ca="1">IFERROR(__xludf.DUMMYFUNCTION("GOOGLETRANSLATE(B655,""ar"",""en"")"),"Issues and educate the fact captors of captors Women and the Family")</f>
        <v>Issues and educate the fact captors of captors Women and the Family</v>
      </c>
      <c r="D655" s="9">
        <v>1</v>
      </c>
      <c r="E655" s="3">
        <v>0</v>
      </c>
    </row>
    <row r="656" spans="1:5" ht="15.75" customHeight="1" x14ac:dyDescent="0.2">
      <c r="A656" s="2">
        <v>2695</v>
      </c>
      <c r="B656" s="3" t="s">
        <v>608</v>
      </c>
      <c r="C656" s="4" t="str">
        <f ca="1">IFERROR(__xludf.DUMMYFUNCTION("GOOGLETRANSLATE(B656,""ar"",""en"")"),"Useful")</f>
        <v>Useful</v>
      </c>
      <c r="D656" s="9">
        <v>1</v>
      </c>
      <c r="E656" s="7">
        <v>1</v>
      </c>
    </row>
    <row r="657" spans="1:5" ht="15.75" customHeight="1" x14ac:dyDescent="0.2">
      <c r="A657" s="6">
        <v>2697</v>
      </c>
      <c r="B657" s="7" t="s">
        <v>609</v>
      </c>
      <c r="C657" s="8" t="str">
        <f ca="1">IFERROR(__xludf.DUMMYFUNCTION("GOOGLETRANSLATE(B657,""ar"",""en"")"),"Violence against Almrah It is strange that Atvajet just ignore that piece of information is very much your rights violence me the first time, but a Aafha through episodes")</f>
        <v>Violence against Almrah It is strange that Atvajet just ignore that piece of information is very much your rights violence me the first time, but a Aafha through episodes</v>
      </c>
      <c r="D657" s="9">
        <v>1</v>
      </c>
      <c r="E657" s="3">
        <v>0</v>
      </c>
    </row>
    <row r="658" spans="1:5" ht="15.75" customHeight="1" x14ac:dyDescent="0.2">
      <c r="A658" s="2">
        <v>2699</v>
      </c>
      <c r="B658" s="3" t="s">
        <v>610</v>
      </c>
      <c r="C658" s="4" t="str">
        <f ca="1">IFERROR(__xludf.DUMMYFUNCTION("GOOGLETRANSLATE(B658,""ar"",""en"")"),"Harassment and circumcision")</f>
        <v>Harassment and circumcision</v>
      </c>
      <c r="D658" s="5">
        <v>1</v>
      </c>
      <c r="E658" s="3">
        <v>0</v>
      </c>
    </row>
    <row r="659" spans="1:5" ht="15.75" customHeight="1" x14ac:dyDescent="0.2">
      <c r="A659" s="6">
        <v>2700</v>
      </c>
      <c r="B659" s="7" t="s">
        <v>611</v>
      </c>
      <c r="C659" s="8" t="str">
        <f ca="1">IFERROR(__xludf.DUMMYFUNCTION("GOOGLETRANSLATE(B659,""ar"",""en"")"),"Early marriage, divorce and harassment")</f>
        <v>Early marriage, divorce and harassment</v>
      </c>
      <c r="D659" s="9">
        <v>1</v>
      </c>
      <c r="E659" s="3">
        <v>0</v>
      </c>
    </row>
    <row r="660" spans="1:5" ht="15.75" customHeight="1" x14ac:dyDescent="0.2">
      <c r="A660" s="2">
        <v>2704</v>
      </c>
      <c r="B660" s="3" t="s">
        <v>442</v>
      </c>
      <c r="C660" s="4" t="str">
        <f ca="1">IFERROR(__xludf.DUMMYFUNCTION("GOOGLETRANSLATE(B660,""ar"",""en"")"),"Good")</f>
        <v>Good</v>
      </c>
      <c r="D660" s="9">
        <v>1</v>
      </c>
      <c r="E660" s="7">
        <v>1</v>
      </c>
    </row>
    <row r="661" spans="1:5" ht="15.75" customHeight="1" x14ac:dyDescent="0.2">
      <c r="A661" s="6">
        <v>2706</v>
      </c>
      <c r="B661" s="7" t="s">
        <v>612</v>
      </c>
      <c r="C661" s="8" t="str">
        <f ca="1">IFERROR(__xludf.DUMMYFUNCTION("GOOGLETRANSLATE(B661,""ar"",""en"")"),"I knew the difference between divorce and divorce and harassment of women and children and the effect of circumcision on girls")</f>
        <v>I knew the difference between divorce and divorce and harassment of women and children and the effect of circumcision on girls</v>
      </c>
      <c r="D661" s="9">
        <v>1</v>
      </c>
      <c r="E661" s="3">
        <v>0</v>
      </c>
    </row>
    <row r="662" spans="1:5" ht="15.75" customHeight="1" x14ac:dyDescent="0.2">
      <c r="A662" s="2">
        <v>2713</v>
      </c>
      <c r="B662" s="3" t="s">
        <v>613</v>
      </c>
      <c r="C662" s="4" t="str">
        <f ca="1">IFERROR(__xludf.DUMMYFUNCTION("GOOGLETRANSLATE(B662,""ar"",""en"")"),"I heard the professor tales Ctiy, for example, for her opinion on the most important needs in the girls device Eli as possible to be the reason to make life easier for them with a washing dishes more important than things very much Benstreha device for th"&amp;"e view ups and heard their opinion in circumcision and heard their opinion in the Tadhaaeyea time of the woman and her life in the kitchen")</f>
        <v>I heard the professor tales Ctiy, for example, for her opinion on the most important needs in the girls device Eli as possible to be the reason to make life easier for them with a washing dishes more important than things very much Benstreha device for the view ups and heard their opinion in circumcision and heard their opinion in the Tadhaaeyea time of the woman and her life in the kitchen</v>
      </c>
      <c r="D662" s="5">
        <v>1</v>
      </c>
      <c r="E662" s="3">
        <v>0</v>
      </c>
    </row>
    <row r="663" spans="1:5" ht="15.75" customHeight="1" x14ac:dyDescent="0.2">
      <c r="A663" s="6">
        <v>2715</v>
      </c>
      <c r="B663" s="7" t="s">
        <v>614</v>
      </c>
      <c r="C663" s="8" t="str">
        <f ca="1">IFERROR(__xludf.DUMMYFUNCTION("GOOGLETRANSLATE(B663,""ar"",""en"")"),"Divorce problems")</f>
        <v>Divorce problems</v>
      </c>
      <c r="D663" s="9">
        <v>1</v>
      </c>
      <c r="E663" s="3">
        <v>0</v>
      </c>
    </row>
    <row r="664" spans="1:5" ht="15.75" customHeight="1" x14ac:dyDescent="0.2">
      <c r="A664" s="2">
        <v>2716</v>
      </c>
      <c r="B664" s="3" t="s">
        <v>615</v>
      </c>
      <c r="C664" s="4" t="str">
        <f ca="1">IFERROR(__xludf.DUMMYFUNCTION("GOOGLETRANSLATE(B664,""ar"",""en"")"),"I felt that in support of women and their legal rights Kteer")</f>
        <v>I felt that in support of women and their legal rights Kteer</v>
      </c>
      <c r="D664" s="5">
        <v>1</v>
      </c>
      <c r="E664" s="3">
        <v>0</v>
      </c>
    </row>
    <row r="665" spans="1:5" ht="15.75" customHeight="1" x14ac:dyDescent="0.2">
      <c r="A665" s="6">
        <v>2717</v>
      </c>
      <c r="B665" s="7" t="s">
        <v>616</v>
      </c>
      <c r="C665" s="8" t="str">
        <f ca="1">IFERROR(__xludf.DUMMYFUNCTION("GOOGLETRANSLATE(B665,""ar"",""en"")"),"I do not remember because it was a period but it was a distinct")</f>
        <v>I do not remember because it was a period but it was a distinct</v>
      </c>
      <c r="D665" s="9">
        <v>0</v>
      </c>
      <c r="E665" s="3">
        <v>0</v>
      </c>
    </row>
    <row r="666" spans="1:5" ht="15.75" customHeight="1" x14ac:dyDescent="0.2">
      <c r="A666" s="2">
        <v>2721</v>
      </c>
      <c r="B666" s="3" t="s">
        <v>617</v>
      </c>
      <c r="C666" s="4" t="str">
        <f ca="1">IFERROR(__xludf.DUMMYFUNCTION("GOOGLETRANSLATE(B666,""ar"",""en"")"),"How to address violence against women")</f>
        <v>How to address violence against women</v>
      </c>
      <c r="D666" s="5">
        <v>1</v>
      </c>
      <c r="E666" s="3">
        <v>0</v>
      </c>
    </row>
    <row r="667" spans="1:5" ht="15.75" customHeight="1" x14ac:dyDescent="0.2">
      <c r="A667" s="6">
        <v>2726</v>
      </c>
      <c r="B667" s="7" t="s">
        <v>618</v>
      </c>
      <c r="C667" s="8" t="str">
        <f ca="1">IFERROR(__xludf.DUMMYFUNCTION("GOOGLETRANSLATE(B667,""ar"",""en"")"),"The man of violence towards women")</f>
        <v>The man of violence towards women</v>
      </c>
      <c r="D667" s="9">
        <v>1</v>
      </c>
      <c r="E667" s="3">
        <v>0</v>
      </c>
    </row>
    <row r="668" spans="1:5" ht="15.75" customHeight="1" x14ac:dyDescent="0.2">
      <c r="A668" s="2">
        <v>2730</v>
      </c>
      <c r="B668" s="3" t="s">
        <v>619</v>
      </c>
      <c r="C668" s="4" t="str">
        <f ca="1">IFERROR(__xludf.DUMMYFUNCTION("GOOGLETRANSLATE(B668,""ar"",""en"")"),"For divorce and the rights of women after him and once Tanih on violence against women")</f>
        <v>For divorce and the rights of women after him and once Tanih on violence against women</v>
      </c>
      <c r="D668" s="5">
        <v>1</v>
      </c>
      <c r="E668" s="3">
        <v>0</v>
      </c>
    </row>
    <row r="669" spans="1:5" ht="15.75" customHeight="1" x14ac:dyDescent="0.2">
      <c r="A669" s="6">
        <v>2731</v>
      </c>
      <c r="B669" s="7" t="s">
        <v>620</v>
      </c>
      <c r="C669" s="8" t="str">
        <f ca="1">IFERROR(__xludf.DUMMYFUNCTION("GOOGLETRANSLATE(B669,""ar"",""en"")"),"Very meaningful program for women")</f>
        <v>Very meaningful program for women</v>
      </c>
      <c r="D669" s="9">
        <v>1</v>
      </c>
      <c r="E669" s="3">
        <v>0</v>
      </c>
    </row>
    <row r="670" spans="1:5" ht="15.75" customHeight="1" x14ac:dyDescent="0.2">
      <c r="A670" s="2">
        <v>2736</v>
      </c>
      <c r="B670" s="3" t="s">
        <v>621</v>
      </c>
      <c r="C670" s="4" t="str">
        <f ca="1">IFERROR(__xludf.DUMMYFUNCTION("GOOGLETRANSLATE(B670,""ar"",""en"")"),"The difference between divorce and divorce, and I benefited very much")</f>
        <v>The difference between divorce and divorce, and I benefited very much</v>
      </c>
      <c r="D670" s="5">
        <v>1</v>
      </c>
      <c r="E670" s="3">
        <v>0</v>
      </c>
    </row>
    <row r="671" spans="1:5" ht="15.75" customHeight="1" x14ac:dyDescent="0.2">
      <c r="A671" s="6">
        <v>2738</v>
      </c>
      <c r="B671" s="7" t="s">
        <v>622</v>
      </c>
      <c r="C671" s="8" t="str">
        <f ca="1">IFERROR(__xludf.DUMMYFUNCTION("GOOGLETRANSLATE(B671,""ar"",""en"")"),"Sexual harassment at work")</f>
        <v>Sexual harassment at work</v>
      </c>
      <c r="D671" s="9">
        <v>1</v>
      </c>
      <c r="E671" s="3">
        <v>0</v>
      </c>
    </row>
    <row r="672" spans="1:5" ht="15.75" customHeight="1" x14ac:dyDescent="0.2">
      <c r="A672" s="2">
        <v>2748</v>
      </c>
      <c r="B672" s="3" t="s">
        <v>623</v>
      </c>
      <c r="C672" s="4" t="str">
        <f ca="1">IFERROR(__xludf.DUMMYFUNCTION("GOOGLETRANSLATE(B672,""ar"",""en"")"),"Shoft workshops on harassment and Shoft rings for beating and insulting the wife")</f>
        <v>Shoft workshops on harassment and Shoft rings for beating and insulting the wife</v>
      </c>
      <c r="D672" s="5">
        <v>1</v>
      </c>
      <c r="E672" s="3">
        <v>0</v>
      </c>
    </row>
    <row r="673" spans="1:5" ht="15.75" customHeight="1" x14ac:dyDescent="0.2">
      <c r="A673" s="6">
        <v>2754</v>
      </c>
      <c r="B673" s="7" t="s">
        <v>624</v>
      </c>
      <c r="C673" s="8" t="str">
        <f ca="1">IFERROR(__xludf.DUMMYFUNCTION("GOOGLETRANSLATE(B673,""ar"",""en"")"),"female mutilation . woman's job")</f>
        <v>female mutilation . woman's job</v>
      </c>
      <c r="D673" s="9">
        <v>1</v>
      </c>
      <c r="E673" s="3">
        <v>0</v>
      </c>
    </row>
    <row r="674" spans="1:5" ht="15.75" customHeight="1" x14ac:dyDescent="0.2">
      <c r="A674" s="2">
        <v>2759</v>
      </c>
      <c r="B674" s="3" t="s">
        <v>625</v>
      </c>
      <c r="C674" s="4" t="str">
        <f ca="1">IFERROR(__xludf.DUMMYFUNCTION("GOOGLETRANSLATE(B674,""ar"",""en"")"),"For underage marriage and the reasons for divorce")</f>
        <v>For underage marriage and the reasons for divorce</v>
      </c>
      <c r="D674" s="5">
        <v>1</v>
      </c>
      <c r="E674" s="3">
        <v>0</v>
      </c>
    </row>
    <row r="675" spans="1:5" ht="15.75" customHeight="1" x14ac:dyDescent="0.2">
      <c r="A675" s="6">
        <v>2760</v>
      </c>
      <c r="B675" s="7" t="s">
        <v>626</v>
      </c>
      <c r="C675" s="8" t="str">
        <f ca="1">IFERROR(__xludf.DUMMYFUNCTION("GOOGLETRANSLATE(B675,""ar"",""en"")"),"Violence and harassment against women")</f>
        <v>Violence and harassment against women</v>
      </c>
      <c r="D675" s="9">
        <v>1</v>
      </c>
      <c r="E675" s="3">
        <v>0</v>
      </c>
    </row>
    <row r="676" spans="1:5" ht="15.75" customHeight="1" x14ac:dyDescent="0.2">
      <c r="A676" s="2">
        <v>2762</v>
      </c>
      <c r="B676" s="3" t="s">
        <v>98</v>
      </c>
      <c r="C676" s="4" t="str">
        <f ca="1">IFERROR(__xludf.DUMMYFUNCTION("GOOGLETRANSLATE(B676,""ar"",""en"")"),"Divorce")</f>
        <v>Divorce</v>
      </c>
      <c r="D676" s="5">
        <v>1</v>
      </c>
      <c r="E676" s="3">
        <v>0</v>
      </c>
    </row>
    <row r="677" spans="1:5" ht="15.75" customHeight="1" x14ac:dyDescent="0.2">
      <c r="A677" s="6">
        <v>2764</v>
      </c>
      <c r="B677" s="7" t="s">
        <v>627</v>
      </c>
      <c r="C677" s="8" t="str">
        <f ca="1">IFERROR(__xludf.DUMMYFUNCTION("GOOGLETRANSLATE(B677,""ar"",""en"")"),"Statement on behalf ..aoagafoa circumcision ..alaghtsab ....... etc.")</f>
        <v>Statement on behalf ..aoagafoa circumcision ..alaghtsab ....... etc.</v>
      </c>
      <c r="D677" s="9">
        <v>1</v>
      </c>
      <c r="E677" s="3">
        <v>0</v>
      </c>
    </row>
    <row r="678" spans="1:5" ht="15.75" customHeight="1" x14ac:dyDescent="0.2">
      <c r="A678" s="2">
        <v>2765</v>
      </c>
      <c r="B678" s="3" t="s">
        <v>276</v>
      </c>
      <c r="C678" s="4" t="str">
        <f ca="1">IFERROR(__xludf.DUMMYFUNCTION("GOOGLETRANSLATE(B678,""ar"",""en"")"),"Useful and interesting")</f>
        <v>Useful and interesting</v>
      </c>
      <c r="D678" s="9">
        <v>1</v>
      </c>
      <c r="E678" s="7">
        <v>1</v>
      </c>
    </row>
    <row r="679" spans="1:5" ht="15.75" customHeight="1" x14ac:dyDescent="0.2">
      <c r="A679" s="6">
        <v>2779</v>
      </c>
      <c r="B679" s="7" t="s">
        <v>628</v>
      </c>
      <c r="C679" s="8" t="str">
        <f ca="1">IFERROR(__xludf.DUMMYFUNCTION("GOOGLETRANSLATE(B679,""ar"",""en"")"),"Mostly for women rights")</f>
        <v>Mostly for women rights</v>
      </c>
      <c r="D679" s="9">
        <v>1</v>
      </c>
      <c r="E679" s="3">
        <v>0</v>
      </c>
    </row>
    <row r="680" spans="1:5" ht="15.75" customHeight="1" x14ac:dyDescent="0.2">
      <c r="A680" s="2">
        <v>2782</v>
      </c>
      <c r="B680" s="3" t="s">
        <v>629</v>
      </c>
      <c r="C680" s="4" t="str">
        <f ca="1">IFERROR(__xludf.DUMMYFUNCTION("GOOGLETRANSLATE(B680,""ar"",""en"")"),"Hlvat different Ktarh")</f>
        <v>Hlvat different Ktarh</v>
      </c>
      <c r="D680" s="5">
        <v>1</v>
      </c>
      <c r="E680" s="3">
        <v>0</v>
      </c>
    </row>
    <row r="681" spans="1:5" ht="15.75" customHeight="1" x14ac:dyDescent="0.2">
      <c r="A681" s="6">
        <v>2784</v>
      </c>
      <c r="B681" s="7" t="s">
        <v>630</v>
      </c>
      <c r="C681" s="8" t="str">
        <f ca="1">IFERROR(__xludf.DUMMYFUNCTION("GOOGLETRANSLATE(B681,""ar"",""en"")"),"In the ring of them were about circumcision")</f>
        <v>In the ring of them were about circumcision</v>
      </c>
      <c r="D681" s="9">
        <v>1</v>
      </c>
      <c r="E681" s="3">
        <v>0</v>
      </c>
    </row>
    <row r="682" spans="1:5" ht="15.75" customHeight="1" x14ac:dyDescent="0.2">
      <c r="A682" s="2">
        <v>2785</v>
      </c>
      <c r="B682" s="3" t="s">
        <v>161</v>
      </c>
      <c r="C682" s="4" t="str">
        <f ca="1">IFERROR(__xludf.DUMMYFUNCTION("GOOGLETRANSLATE(B682,""ar"",""en"")"),"Underage marriage")</f>
        <v>Underage marriage</v>
      </c>
      <c r="D682" s="5">
        <v>1</v>
      </c>
      <c r="E682" s="3">
        <v>0</v>
      </c>
    </row>
    <row r="683" spans="1:5" ht="15.75" customHeight="1" x14ac:dyDescent="0.2">
      <c r="A683" s="6">
        <v>2786</v>
      </c>
      <c r="B683" s="7" t="s">
        <v>631</v>
      </c>
      <c r="C683" s="8" t="str">
        <f ca="1">IFERROR(__xludf.DUMMYFUNCTION("GOOGLETRANSLATE(B683,""ar"",""en"")"),"Tales about women and the wives of either exploited or harassed or Gaharham")</f>
        <v>Tales about women and the wives of either exploited or harassed or Gaharham</v>
      </c>
      <c r="D683" s="9">
        <v>1</v>
      </c>
      <c r="E683" s="3">
        <v>0</v>
      </c>
    </row>
    <row r="684" spans="1:5" ht="15.75" customHeight="1" x14ac:dyDescent="0.2">
      <c r="A684" s="2">
        <v>2787</v>
      </c>
      <c r="B684" s="3" t="s">
        <v>632</v>
      </c>
      <c r="C684" s="4" t="str">
        <f ca="1">IFERROR(__xludf.DUMMYFUNCTION("GOOGLETRANSLATE(B684,""ar"",""en"")"),"Harassment and Alatv against women")</f>
        <v>Harassment and Alatv against women</v>
      </c>
      <c r="D684" s="5">
        <v>1</v>
      </c>
      <c r="E684" s="3">
        <v>0</v>
      </c>
    </row>
    <row r="685" spans="1:5" ht="15.75" customHeight="1" x14ac:dyDescent="0.2">
      <c r="A685" s="6">
        <v>2791</v>
      </c>
      <c r="B685" s="7" t="s">
        <v>633</v>
      </c>
      <c r="C685" s="8" t="str">
        <f ca="1">IFERROR(__xludf.DUMMYFUNCTION("GOOGLETRANSLATE(B685,""ar"",""en"")"),"Episodes are all on what was simple Az was really impressive Bs. Nihad her words realistic and convincing Mvyehosh puritanism and impartial.")</f>
        <v>Episodes are all on what was simple Az was really impressive Bs. Nihad her words realistic and convincing Mvyehosh puritanism and impartial.</v>
      </c>
      <c r="D685" s="9">
        <v>1</v>
      </c>
      <c r="E685" s="3">
        <v>0</v>
      </c>
    </row>
    <row r="686" spans="1:5" ht="15.75" customHeight="1" x14ac:dyDescent="0.2">
      <c r="A686" s="2">
        <v>2795</v>
      </c>
      <c r="B686" s="3" t="s">
        <v>634</v>
      </c>
      <c r="C686" s="4" t="str">
        <f ca="1">IFERROR(__xludf.DUMMYFUNCTION("GOOGLETRANSLATE(B686,""ar"",""en"")"),"Best episodes for me ring women who have experienced spousal violence ban time and that Kasai society and the people around as possible sober obstacle before the one thing for taking the right-Z story Ms. Elly Atardt severely beaten Josha and the neighbor"&amp;" tried to discourage her resolve it provides a communication under the pretext that we are in the ban and police mesh empty and Josha is excused because he smothered November, but it is of course health act required of the police because it is the most ba"&amp;"sic rights to live in safety in her home Matconc always threatened to deal violently under the pretext that the pair or smothered uncomfortable")</f>
        <v>Best episodes for me ring women who have experienced spousal violence ban time and that Kasai society and the people around as possible sober obstacle before the one thing for taking the right-Z story Ms. Elly Atardt severely beaten Josha and the neighbor tried to discourage her resolve it provides a communication under the pretext that we are in the ban and police mesh empty and Josha is excused because he smothered November, but it is of course health act required of the police because it is the most basic rights to live in safety in her home Matconc always threatened to deal violently under the pretext that the pair or smothered uncomfortable</v>
      </c>
      <c r="D686" s="5">
        <v>1</v>
      </c>
      <c r="E686" s="3">
        <v>0</v>
      </c>
    </row>
    <row r="687" spans="1:5" ht="15.75" customHeight="1" x14ac:dyDescent="0.2">
      <c r="A687" s="6">
        <v>2796</v>
      </c>
      <c r="B687" s="7" t="s">
        <v>635</v>
      </c>
      <c r="C687" s="8" t="str">
        <f ca="1">IFERROR(__xludf.DUMMYFUNCTION("GOOGLETRANSLATE(B687,""ar"",""en"")"),"Stories from the short and how to solve her problem in the law conscientiously")</f>
        <v>Stories from the short and how to solve her problem in the law conscientiously</v>
      </c>
      <c r="D687" s="9">
        <v>1</v>
      </c>
      <c r="E687" s="3">
        <v>0</v>
      </c>
    </row>
    <row r="688" spans="1:5" ht="15.75" customHeight="1" x14ac:dyDescent="0.2">
      <c r="A688" s="2">
        <v>2799</v>
      </c>
      <c r="B688" s="3" t="s">
        <v>636</v>
      </c>
      <c r="C688" s="4" t="str">
        <f ca="1">IFERROR(__xludf.DUMMYFUNCTION("GOOGLETRANSLATE(B688,""ar"",""en"")"),"Custody of the mother and sidekick Alabit harassment")</f>
        <v>Custody of the mother and sidekick Alabit harassment</v>
      </c>
      <c r="D688" s="5">
        <v>1</v>
      </c>
      <c r="E688" s="3">
        <v>0</v>
      </c>
    </row>
    <row r="689" spans="1:5" ht="15.75" customHeight="1" x14ac:dyDescent="0.2">
      <c r="A689" s="6">
        <v>2808</v>
      </c>
      <c r="B689" s="7" t="s">
        <v>83</v>
      </c>
      <c r="C689" s="8" t="str">
        <f ca="1">IFERROR(__xludf.DUMMYFUNCTION("GOOGLETRANSLATE(B689,""ar"",""en"")"),"violence against Woman")</f>
        <v>violence against Woman</v>
      </c>
      <c r="D689" s="9">
        <v>1</v>
      </c>
      <c r="E689" s="3">
        <v>0</v>
      </c>
    </row>
    <row r="690" spans="1:5" ht="15.75" customHeight="1" x14ac:dyDescent="0.2">
      <c r="A690" s="2">
        <v>2810</v>
      </c>
      <c r="B690" s="3" t="s">
        <v>637</v>
      </c>
      <c r="C690" s="4" t="str">
        <f ca="1">IFERROR(__xludf.DUMMYFUNCTION("GOOGLETRANSLATE(B690,""ar"",""en"")"),"Excellent")</f>
        <v>Excellent</v>
      </c>
      <c r="D690" s="9">
        <v>1</v>
      </c>
      <c r="E690" s="7">
        <v>1</v>
      </c>
    </row>
    <row r="691" spans="1:5" ht="15.75" customHeight="1" x14ac:dyDescent="0.2">
      <c r="A691" s="6">
        <v>1030</v>
      </c>
      <c r="B691" s="7" t="s">
        <v>233</v>
      </c>
      <c r="C691" s="8" t="str">
        <f ca="1">IFERROR(__xludf.DUMMYFUNCTION("GOOGLETRANSLATE(B241,""ar"",""en"")"),"Good")</f>
        <v>Good</v>
      </c>
      <c r="D691" s="9">
        <v>1</v>
      </c>
      <c r="E691" s="7">
        <v>1</v>
      </c>
    </row>
    <row r="692" spans="1:5" ht="15.75" customHeight="1" x14ac:dyDescent="0.2">
      <c r="A692" s="2">
        <v>2813</v>
      </c>
      <c r="B692" s="3" t="s">
        <v>638</v>
      </c>
      <c r="C692" s="4" t="str">
        <f ca="1">IFERROR(__xludf.DUMMYFUNCTION("GOOGLETRANSLATE(B692,""ar"",""en"")"),"Meaningful and important content to stand on important issues affecting society and his view of the position of women and community issues of rape, harassment and female genital mutilation")</f>
        <v>Meaningful and important content to stand on important issues affecting society and his view of the position of women and community issues of rape, harassment and female genital mutilation</v>
      </c>
      <c r="D692" s="5">
        <v>1</v>
      </c>
      <c r="E692" s="3">
        <v>0</v>
      </c>
    </row>
    <row r="693" spans="1:5" ht="15.75" customHeight="1" x14ac:dyDescent="0.2">
      <c r="A693" s="6">
        <v>2815</v>
      </c>
      <c r="B693" s="7" t="s">
        <v>639</v>
      </c>
      <c r="C693" s="8" t="str">
        <f ca="1">IFERROR(__xludf.DUMMYFUNCTION("GOOGLETRANSLATE(B693,""ar"",""en"")"),"Pair Wife harassment and the reasons for separation and subjects in large hit")</f>
        <v>Pair Wife harassment and the reasons for separation and subjects in large hit</v>
      </c>
      <c r="D693" s="9">
        <v>1</v>
      </c>
      <c r="E693" s="3">
        <v>0</v>
      </c>
    </row>
    <row r="694" spans="1:5" ht="15.75" customHeight="1" x14ac:dyDescent="0.2">
      <c r="A694" s="2">
        <v>2816</v>
      </c>
      <c r="B694" s="3" t="s">
        <v>640</v>
      </c>
      <c r="C694" s="4" t="str">
        <f ca="1">IFERROR(__xludf.DUMMYFUNCTION("GOOGLETRANSLATE(B694,""ar"",""en"")"),"Awareness of women's rights")</f>
        <v>Awareness of women's rights</v>
      </c>
      <c r="D694" s="5">
        <v>1</v>
      </c>
      <c r="E694" s="3">
        <v>0</v>
      </c>
    </row>
    <row r="695" spans="1:5" ht="15.75" customHeight="1" x14ac:dyDescent="0.2">
      <c r="A695" s="6">
        <v>2818</v>
      </c>
      <c r="B695" s="7" t="s">
        <v>641</v>
      </c>
      <c r="C695" s="8" t="str">
        <f ca="1">IFERROR(__xludf.DUMMYFUNCTION("GOOGLETRANSLATE(B695,""ar"",""en"")"),"The issues of concern to women, for example, and the problem of circumcision concerning legal matters")</f>
        <v>The issues of concern to women, for example, and the problem of circumcision concerning legal matters</v>
      </c>
      <c r="D695" s="9">
        <v>1</v>
      </c>
      <c r="E695" s="3">
        <v>0</v>
      </c>
    </row>
    <row r="696" spans="1:5" ht="15.75" customHeight="1" x14ac:dyDescent="0.2">
      <c r="A696" s="2">
        <v>2822</v>
      </c>
      <c r="B696" s="3" t="s">
        <v>642</v>
      </c>
      <c r="C696" s="4" t="str">
        <f ca="1">IFERROR(__xludf.DUMMYFUNCTION("GOOGLETRANSLATE(B696,""ar"",""en"")"),"Sophisticated content is generally interested in educating girls and women in all areas")</f>
        <v>Sophisticated content is generally interested in educating girls and women in all areas</v>
      </c>
      <c r="D696" s="5">
        <v>1</v>
      </c>
      <c r="E696" s="3">
        <v>0</v>
      </c>
    </row>
    <row r="697" spans="1:5" ht="15.75" customHeight="1" x14ac:dyDescent="0.2">
      <c r="A697" s="6">
        <v>2826</v>
      </c>
      <c r="B697" s="7" t="s">
        <v>643</v>
      </c>
      <c r="C697" s="8" t="str">
        <f ca="1">IFERROR(__xludf.DUMMYFUNCTION("GOOGLETRANSLATE(B697,""ar"",""en"")"),"Family violence and the meaning of footmen")</f>
        <v>Family violence and the meaning of footmen</v>
      </c>
      <c r="D697" s="9">
        <v>1</v>
      </c>
      <c r="E697" s="3">
        <v>0</v>
      </c>
    </row>
    <row r="698" spans="1:5" ht="15.75" customHeight="1" x14ac:dyDescent="0.2">
      <c r="A698" s="2">
        <v>2827</v>
      </c>
      <c r="B698" s="3" t="s">
        <v>644</v>
      </c>
      <c r="C698" s="4" t="str">
        <f ca="1">IFERROR(__xludf.DUMMYFUNCTION("GOOGLETRANSLATE(B698,""ar"",""en"")"),"Attention to women's issues in all aspects of life, especially women working")</f>
        <v>Attention to women's issues in all aspects of life, especially women working</v>
      </c>
      <c r="D698" s="5">
        <v>1</v>
      </c>
      <c r="E698" s="3">
        <v>0</v>
      </c>
    </row>
    <row r="699" spans="1:5" ht="15.75" customHeight="1" x14ac:dyDescent="0.2">
      <c r="A699" s="6">
        <v>2829</v>
      </c>
      <c r="B699" s="7" t="s">
        <v>645</v>
      </c>
      <c r="C699" s="8" t="str">
        <f ca="1">IFERROR(__xludf.DUMMYFUNCTION("GOOGLETRANSLATE(B699,""ar"",""en"")"),"For women's work and things that belong to the house and drew my attention Aezzomat and video teaching Almekp with Professor Nihad and her daughter's needs and very much")</f>
        <v>For women's work and things that belong to the house and drew my attention Aezzomat and video teaching Almekp with Professor Nihad and her daughter's needs and very much</v>
      </c>
      <c r="D699" s="9">
        <v>1</v>
      </c>
      <c r="E699" s="3">
        <v>0</v>
      </c>
    </row>
    <row r="700" spans="1:5" ht="15.75" customHeight="1" x14ac:dyDescent="0.2">
      <c r="A700" s="2">
        <v>2831</v>
      </c>
      <c r="B700" s="3" t="s">
        <v>646</v>
      </c>
      <c r="C700" s="4" t="str">
        <f ca="1">IFERROR(__xludf.DUMMYFUNCTION("GOOGLETRANSLATE(B700,""ar"",""en"")"),"B_rahy survey result Knin Elly rolls in the first episodes and Ptvsaliha")</f>
        <v>B_rahy survey result Knin Elly rolls in the first episodes and Ptvsaliha</v>
      </c>
      <c r="D700" s="5">
        <v>1</v>
      </c>
      <c r="E700" s="3">
        <v>0</v>
      </c>
    </row>
    <row r="701" spans="1:5" ht="15.75" customHeight="1" x14ac:dyDescent="0.2">
      <c r="A701" s="6">
        <v>2834</v>
      </c>
      <c r="B701" s="7" t="s">
        <v>647</v>
      </c>
      <c r="C701" s="8" t="str">
        <f ca="1">IFERROR(__xludf.DUMMYFUNCTION("GOOGLETRANSLATE(B701,""ar"",""en"")"),"Alemraeh rights upon divorce damage or dislocation")</f>
        <v>Alemraeh rights upon divorce damage or dislocation</v>
      </c>
      <c r="D701" s="9">
        <v>1</v>
      </c>
      <c r="E701" s="3">
        <v>0</v>
      </c>
    </row>
    <row r="702" spans="1:5" ht="15.75" customHeight="1" x14ac:dyDescent="0.2">
      <c r="A702" s="2">
        <v>2835</v>
      </c>
      <c r="B702" s="3" t="s">
        <v>648</v>
      </c>
      <c r="C702" s="4" t="str">
        <f ca="1">IFERROR(__xludf.DUMMYFUNCTION("GOOGLETRANSLATE(B702,""ar"",""en"")"),"Women's rights, harassment and extortion")</f>
        <v>Women's rights, harassment and extortion</v>
      </c>
      <c r="D702" s="5">
        <v>1</v>
      </c>
      <c r="E702" s="3">
        <v>0</v>
      </c>
    </row>
    <row r="703" spans="1:5" ht="15.75" customHeight="1" x14ac:dyDescent="0.2">
      <c r="A703" s="6">
        <v>2837</v>
      </c>
      <c r="B703" s="7" t="s">
        <v>649</v>
      </c>
      <c r="C703" s="8" t="str">
        <f ca="1">IFERROR(__xludf.DUMMYFUNCTION("GOOGLETRANSLATE(B703,""ar"",""en"")"),"Jawazh Altanih")</f>
        <v>Jawazh Altanih</v>
      </c>
      <c r="D703" s="9">
        <v>1</v>
      </c>
      <c r="E703" s="3">
        <v>0</v>
      </c>
    </row>
    <row r="704" spans="1:5" ht="15.75" customHeight="1" x14ac:dyDescent="0.2">
      <c r="A704" s="2">
        <v>2845</v>
      </c>
      <c r="B704" s="3" t="s">
        <v>650</v>
      </c>
      <c r="C704" s="4" t="str">
        <f ca="1">IFERROR(__xludf.DUMMYFUNCTION("GOOGLETRANSLATE(B704,""ar"",""en"")"),"Increase violence against women with the Corona virus")</f>
        <v>Increase violence against women with the Corona virus</v>
      </c>
      <c r="D704" s="5">
        <v>1</v>
      </c>
      <c r="E704" s="3">
        <v>0</v>
      </c>
    </row>
    <row r="705" spans="1:5" ht="15.75" customHeight="1" x14ac:dyDescent="0.2">
      <c r="A705" s="6">
        <v>2846</v>
      </c>
      <c r="B705" s="7" t="s">
        <v>133</v>
      </c>
      <c r="C705" s="8" t="str">
        <f ca="1">IFERROR(__xludf.DUMMYFUNCTION("GOOGLETRANSLATE(B705,""ar"",""en"")"),"Harassment")</f>
        <v>Harassment</v>
      </c>
      <c r="D705" s="9">
        <v>1</v>
      </c>
      <c r="E705" s="3">
        <v>0</v>
      </c>
    </row>
    <row r="706" spans="1:5" ht="15.75" customHeight="1" x14ac:dyDescent="0.2">
      <c r="A706" s="2">
        <v>2851</v>
      </c>
      <c r="B706" s="3" t="s">
        <v>651</v>
      </c>
      <c r="C706" s="4" t="str">
        <f ca="1">IFERROR(__xludf.DUMMYFUNCTION("GOOGLETRANSLATE(B706,""ar"",""en"")"),"Meaningful content")</f>
        <v>Meaningful content</v>
      </c>
      <c r="D706" s="9">
        <v>1</v>
      </c>
      <c r="E706" s="7">
        <v>1</v>
      </c>
    </row>
    <row r="707" spans="1:5" ht="15.75" customHeight="1" x14ac:dyDescent="0.2">
      <c r="A707" s="6">
        <v>2854</v>
      </c>
      <c r="B707" s="7" t="s">
        <v>652</v>
      </c>
      <c r="C707" s="8" t="str">
        <f ca="1">IFERROR(__xludf.DUMMYFUNCTION("GOOGLETRANSLATE(B707,""ar"",""en"")"),"Talk on women's issues and saw religion and issues of children and other")</f>
        <v>Talk on women's issues and saw religion and issues of children and other</v>
      </c>
      <c r="D707" s="9">
        <v>1</v>
      </c>
      <c r="E707" s="3">
        <v>0</v>
      </c>
    </row>
    <row r="708" spans="1:5" ht="15.75" customHeight="1" x14ac:dyDescent="0.2">
      <c r="A708" s="2">
        <v>2860</v>
      </c>
      <c r="B708" s="3" t="s">
        <v>653</v>
      </c>
      <c r="C708" s="4" t="str">
        <f ca="1">IFERROR(__xludf.DUMMYFUNCTION("GOOGLETRANSLATE(B708,""ar"",""en"")"),"Neutral Pinaakec content objectively and examples of vivid and clear")</f>
        <v>Neutral Pinaakec content objectively and examples of vivid and clear</v>
      </c>
      <c r="D708" s="5">
        <v>1</v>
      </c>
      <c r="E708" s="3">
        <v>0</v>
      </c>
    </row>
    <row r="709" spans="1:5" ht="15.75" customHeight="1" x14ac:dyDescent="0.2">
      <c r="A709" s="6">
        <v>2862</v>
      </c>
      <c r="B709" s="7" t="s">
        <v>654</v>
      </c>
      <c r="C709" s="8" t="str">
        <f ca="1">IFERROR(__xludf.DUMMYFUNCTION("GOOGLETRANSLATE(B709,""ar"",""en"")"),"Female genital mutilation, rape 0")</f>
        <v>Female genital mutilation, rape 0</v>
      </c>
      <c r="D709" s="9">
        <v>1</v>
      </c>
      <c r="E709" s="3">
        <v>0</v>
      </c>
    </row>
    <row r="710" spans="1:5" ht="15.75" customHeight="1" x14ac:dyDescent="0.2">
      <c r="A710" s="2">
        <v>2865</v>
      </c>
      <c r="B710" s="3" t="s">
        <v>655</v>
      </c>
      <c r="C710" s="4" t="str">
        <f ca="1">IFERROR(__xludf.DUMMYFUNCTION("GOOGLETRANSLATE(B710,""ar"",""en"")"),"General Women's Issues")</f>
        <v>General Women's Issues</v>
      </c>
      <c r="D710" s="5">
        <v>1</v>
      </c>
      <c r="E710" s="3">
        <v>0</v>
      </c>
    </row>
    <row r="711" spans="1:5" ht="15.75" customHeight="1" x14ac:dyDescent="0.2">
      <c r="A711" s="6">
        <v>2876</v>
      </c>
      <c r="B711" s="7" t="s">
        <v>656</v>
      </c>
      <c r="C711" s="8" t="str">
        <f ca="1">IFERROR(__xludf.DUMMYFUNCTION("GOOGLETRANSLATE(B711,""ar"",""en"")"),"One Aaoz marry foreign and underage marriage")</f>
        <v>One Aaoz marry foreign and underage marriage</v>
      </c>
      <c r="D711" s="9">
        <v>1</v>
      </c>
      <c r="E711" s="3">
        <v>0</v>
      </c>
    </row>
    <row r="712" spans="1:5" ht="15.75" customHeight="1" x14ac:dyDescent="0.2">
      <c r="A712" s="2">
        <v>2879</v>
      </c>
      <c r="B712" s="3" t="s">
        <v>657</v>
      </c>
      <c r="C712" s="4" t="str">
        <f ca="1">IFERROR(__xludf.DUMMYFUNCTION("GOOGLETRANSLATE(B712,""ar"",""en"")"),"Content was very helpful")</f>
        <v>Content was very helpful</v>
      </c>
      <c r="D712" s="9">
        <v>1</v>
      </c>
      <c r="E712" s="7">
        <v>1</v>
      </c>
    </row>
    <row r="713" spans="1:5" ht="15.75" customHeight="1" x14ac:dyDescent="0.2">
      <c r="A713" s="6">
        <v>2881</v>
      </c>
      <c r="B713" s="7" t="s">
        <v>658</v>
      </c>
      <c r="C713" s="8" t="str">
        <f ca="1">IFERROR(__xludf.DUMMYFUNCTION("GOOGLETRANSLATE(B713,""ar"",""en"")"),"Discuss distinct neutrality and Ptnaakec thorny issues in a manner excellent")</f>
        <v>Discuss distinct neutrality and Ptnaakec thorny issues in a manner excellent</v>
      </c>
      <c r="D713" s="9">
        <v>1</v>
      </c>
      <c r="E713" s="7">
        <v>1</v>
      </c>
    </row>
    <row r="714" spans="1:5" ht="15.75" customHeight="1" x14ac:dyDescent="0.2">
      <c r="A714" s="2">
        <v>2885</v>
      </c>
      <c r="B714" s="3" t="s">
        <v>659</v>
      </c>
      <c r="C714" s="4" t="str">
        <f ca="1">IFERROR(__xludf.DUMMYFUNCTION("GOOGLETRANSLATE(B714,""ar"",""en"")"),"Jawazh for Tani .aany Er Tharc.azy be happy despite Elly Joalaky")</f>
        <v>Jawazh for Tani .aany Er Tharc.azy be happy despite Elly Joalaky</v>
      </c>
      <c r="D714" s="5">
        <v>1</v>
      </c>
      <c r="E714" s="3">
        <v>0</v>
      </c>
    </row>
    <row r="715" spans="1:5" ht="15.75" customHeight="1" x14ac:dyDescent="0.2">
      <c r="A715" s="6">
        <v>2888</v>
      </c>
      <c r="B715" s="7" t="s">
        <v>660</v>
      </c>
      <c r="C715" s="8" t="str">
        <f ca="1">IFERROR(__xludf.DUMMYFUNCTION("GOOGLETRANSLATE(B715,""ar"",""en"")"),"Petklm about marriage and wife, family and underage marriage")</f>
        <v>Petklm about marriage and wife, family and underage marriage</v>
      </c>
      <c r="D715" s="9">
        <v>1</v>
      </c>
      <c r="E715" s="3">
        <v>0</v>
      </c>
    </row>
    <row r="716" spans="1:5" ht="15.75" customHeight="1" x14ac:dyDescent="0.2">
      <c r="A716" s="2">
        <v>2890</v>
      </c>
      <c r="B716" s="3" t="s">
        <v>661</v>
      </c>
      <c r="C716" s="4" t="str">
        <f ca="1">IFERROR(__xludf.DUMMYFUNCTION("GOOGLETRANSLATE(B716,""ar"",""en"")"),"Her speech is very important and Ptodh deal with harassment Kasai and protect ourselves")</f>
        <v>Her speech is very important and Ptodh deal with harassment Kasai and protect ourselves</v>
      </c>
      <c r="D716" s="5">
        <v>1</v>
      </c>
      <c r="E716" s="3">
        <v>0</v>
      </c>
    </row>
    <row r="717" spans="1:5" ht="15.75" customHeight="1" x14ac:dyDescent="0.2">
      <c r="A717" s="6">
        <v>2892</v>
      </c>
      <c r="B717" s="7" t="s">
        <v>662</v>
      </c>
      <c r="C717" s="8" t="str">
        <f ca="1">IFERROR(__xludf.DUMMYFUNCTION("GOOGLETRANSLATE(B717,""ar"",""en"")"),"The issue of monument")</f>
        <v>The issue of monument</v>
      </c>
      <c r="D717" s="9">
        <v>0</v>
      </c>
      <c r="E717" s="3">
        <v>0</v>
      </c>
    </row>
    <row r="718" spans="1:5" ht="15.75" customHeight="1" x14ac:dyDescent="0.2">
      <c r="A718" s="2">
        <v>4004</v>
      </c>
      <c r="B718" s="3" t="s">
        <v>899</v>
      </c>
      <c r="C718" s="4" t="str">
        <f ca="1">IFERROR(__xludf.DUMMYFUNCTION("GOOGLETRANSLATE(B970,""ar"",""en"")"),"Good content")</f>
        <v>Good content</v>
      </c>
      <c r="D718" s="9">
        <v>1</v>
      </c>
      <c r="E718" s="7">
        <v>1</v>
      </c>
    </row>
    <row r="719" spans="1:5" ht="15.75" customHeight="1" x14ac:dyDescent="0.2">
      <c r="A719" s="6">
        <v>2906</v>
      </c>
      <c r="B719" s="7" t="s">
        <v>664</v>
      </c>
      <c r="C719" s="8" t="str">
        <f ca="1">IFERROR(__xludf.DUMMYFUNCTION("GOOGLETRANSLATE(B719,""ar"",""en"")"),"Women's Issues for divorce and divorce")</f>
        <v>Women's Issues for divorce and divorce</v>
      </c>
      <c r="D719" s="9">
        <v>1</v>
      </c>
      <c r="E719" s="3">
        <v>0</v>
      </c>
    </row>
    <row r="720" spans="1:5" ht="15.75" customHeight="1" x14ac:dyDescent="0.2">
      <c r="A720" s="2">
        <v>2907</v>
      </c>
      <c r="B720" s="3" t="s">
        <v>665</v>
      </c>
      <c r="C720" s="4" t="str">
        <f ca="1">IFERROR(__xludf.DUMMYFUNCTION("GOOGLETRANSLATE(B720,""ar"",""en"")"),"Woman support against violence")</f>
        <v>Woman support against violence</v>
      </c>
      <c r="D720" s="5">
        <v>1</v>
      </c>
      <c r="E720" s="3">
        <v>0</v>
      </c>
    </row>
    <row r="721" spans="1:5" ht="15.75" customHeight="1" x14ac:dyDescent="0.2">
      <c r="A721" s="6">
        <v>2913</v>
      </c>
      <c r="B721" s="7" t="s">
        <v>666</v>
      </c>
      <c r="C721" s="8" t="str">
        <f ca="1">IFERROR(__xludf.DUMMYFUNCTION("GOOGLETRANSLATE(B721,""ar"",""en"")"),"As well as the subject of frankness about circumcision, harassment and violence as well as his throat mesh one")</f>
        <v>As well as the subject of frankness about circumcision, harassment and violence as well as his throat mesh one</v>
      </c>
      <c r="D721" s="9">
        <v>1</v>
      </c>
      <c r="E721" s="3">
        <v>0</v>
      </c>
    </row>
    <row r="722" spans="1:5" ht="15.75" customHeight="1" x14ac:dyDescent="0.2">
      <c r="A722" s="2">
        <v>2915</v>
      </c>
      <c r="B722" s="3" t="s">
        <v>667</v>
      </c>
      <c r="C722" s="4" t="str">
        <f ca="1">IFERROR(__xludf.DUMMYFUNCTION("GOOGLETRANSLATE(B722,""ar"",""en"")"),"Ring on YouTube open a file rape case girl Fairmont")</f>
        <v>Ring on YouTube open a file rape case girl Fairmont</v>
      </c>
      <c r="D722" s="5">
        <v>1</v>
      </c>
      <c r="E722" s="3">
        <v>0</v>
      </c>
    </row>
    <row r="723" spans="1:5" ht="15.75" customHeight="1" x14ac:dyDescent="0.2">
      <c r="A723" s="6">
        <v>2916</v>
      </c>
      <c r="B723" s="7" t="s">
        <v>668</v>
      </c>
      <c r="C723" s="8" t="str">
        <f ca="1">IFERROR(__xludf.DUMMYFUNCTION("GOOGLETRANSLATE(B723,""ar"",""en"")"),"Fabulous style, her love Levi")</f>
        <v>Fabulous style, her love Levi</v>
      </c>
      <c r="D723" s="9">
        <v>1</v>
      </c>
      <c r="E723" s="3">
        <v>0</v>
      </c>
    </row>
    <row r="724" spans="1:5" ht="15.75" customHeight="1" x14ac:dyDescent="0.2">
      <c r="A724" s="2">
        <v>2921</v>
      </c>
      <c r="B724" s="3" t="s">
        <v>669</v>
      </c>
      <c r="C724" s="4" t="str">
        <f ca="1">IFERROR(__xludf.DUMMYFUNCTION("GOOGLETRANSLATE(B724,""ar"",""en"")"),"To respond to some of the problems and legal questions) violence against women) circumcision of girls and damaging")</f>
        <v>To respond to some of the problems and legal questions) violence against women) circumcision of girls and damaging</v>
      </c>
      <c r="D724" s="5">
        <v>1</v>
      </c>
      <c r="E724" s="3">
        <v>0</v>
      </c>
    </row>
    <row r="725" spans="1:5" ht="15.75" customHeight="1" x14ac:dyDescent="0.2">
      <c r="A725" s="6">
        <v>2922</v>
      </c>
      <c r="B725" s="7" t="s">
        <v>670</v>
      </c>
      <c r="C725" s="8" t="str">
        <f ca="1">IFERROR(__xludf.DUMMYFUNCTION("GOOGLETRANSLATE(B725,""ar"",""en"")"),"Violence, harassment ...")</f>
        <v>Violence, harassment ...</v>
      </c>
      <c r="D725" s="9">
        <v>1</v>
      </c>
      <c r="E725" s="3">
        <v>0</v>
      </c>
    </row>
    <row r="726" spans="1:5" ht="15.75" customHeight="1" x14ac:dyDescent="0.2">
      <c r="A726" s="2">
        <v>2925</v>
      </c>
      <c r="B726" s="3" t="s">
        <v>671</v>
      </c>
      <c r="C726" s="4" t="str">
        <f ca="1">IFERROR(__xludf.DUMMYFUNCTION("GOOGLETRANSLATE(B726,""ar"",""en"")"),"About female circumcision")</f>
        <v>About female circumcision</v>
      </c>
      <c r="D726" s="5">
        <v>1</v>
      </c>
      <c r="E726" s="3">
        <v>0</v>
      </c>
    </row>
    <row r="727" spans="1:5" ht="15.75" customHeight="1" x14ac:dyDescent="0.2">
      <c r="A727" s="6">
        <v>2926</v>
      </c>
      <c r="B727" s="7" t="s">
        <v>672</v>
      </c>
      <c r="C727" s="8" t="str">
        <f ca="1">IFERROR(__xludf.DUMMYFUNCTION("GOOGLETRANSLATE(B727,""ar"",""en"")"),"Legal problems and the most important items who needed to be found in the contract of sale and purchase Ashan reservation right")</f>
        <v>Legal problems and the most important items who needed to be found in the contract of sale and purchase Ashan reservation right</v>
      </c>
      <c r="D727" s="9">
        <v>1</v>
      </c>
      <c r="E727" s="3">
        <v>0</v>
      </c>
    </row>
    <row r="728" spans="1:5" ht="15.75" customHeight="1" x14ac:dyDescent="0.2">
      <c r="A728" s="2">
        <v>2929</v>
      </c>
      <c r="B728" s="3" t="s">
        <v>673</v>
      </c>
      <c r="C728" s="4" t="str">
        <f ca="1">IFERROR(__xludf.DUMMYFUNCTION("GOOGLETRANSLATE(B728,""ar"",""en"")"),"Provide legal advice about a social problem in society")</f>
        <v>Provide legal advice about a social problem in society</v>
      </c>
      <c r="D728" s="5">
        <v>1</v>
      </c>
      <c r="E728" s="3">
        <v>0</v>
      </c>
    </row>
    <row r="729" spans="1:5" ht="15.75" customHeight="1" x14ac:dyDescent="0.2">
      <c r="A729" s="6">
        <v>2949</v>
      </c>
      <c r="B729" s="7" t="s">
        <v>674</v>
      </c>
      <c r="C729" s="8" t="str">
        <f ca="1">IFERROR(__xludf.DUMMYFUNCTION("GOOGLETRANSLATE(B729,""ar"",""en"")"),"Issues of violence against women and achieved legal and raising children")</f>
        <v>Issues of violence against women and achieved legal and raising children</v>
      </c>
      <c r="D729" s="9">
        <v>1</v>
      </c>
      <c r="E729" s="3">
        <v>0</v>
      </c>
    </row>
    <row r="730" spans="1:5" ht="15.75" customHeight="1" x14ac:dyDescent="0.2">
      <c r="A730" s="2">
        <v>2952</v>
      </c>
      <c r="B730" s="3" t="s">
        <v>675</v>
      </c>
      <c r="C730" s="4" t="str">
        <f ca="1">IFERROR(__xludf.DUMMYFUNCTION("GOOGLETRANSLATE(B730,""ar"",""en"")"),"The most serious episode of the word marriage and ring I remain confident Kasai myself and ring with problems: What do I deal")</f>
        <v>The most serious episode of the word marriage and ring I remain confident Kasai myself and ring with problems: What do I deal</v>
      </c>
      <c r="D730" s="5">
        <v>1</v>
      </c>
      <c r="E730" s="3">
        <v>0</v>
      </c>
    </row>
    <row r="731" spans="1:5" ht="15.75" customHeight="1" x14ac:dyDescent="0.2">
      <c r="A731" s="6">
        <v>2973</v>
      </c>
      <c r="B731" s="7" t="s">
        <v>676</v>
      </c>
      <c r="C731" s="8" t="str">
        <f ca="1">IFERROR(__xludf.DUMMYFUNCTION("GOOGLETRANSLATE(B731,""ar"",""en"")"),"It was about violence against women and female genital mutilation and women working")</f>
        <v>It was about violence against women and female genital mutilation and women working</v>
      </c>
      <c r="D731" s="9">
        <v>1</v>
      </c>
      <c r="E731" s="3">
        <v>0</v>
      </c>
    </row>
    <row r="732" spans="1:5" ht="15.75" customHeight="1" x14ac:dyDescent="0.2">
      <c r="A732" s="2">
        <v>2976</v>
      </c>
      <c r="B732" s="3" t="s">
        <v>677</v>
      </c>
      <c r="C732" s="4" t="str">
        <f ca="1">IFERROR(__xludf.DUMMYFUNCTION("GOOGLETRANSLATE(B732,""ar"",""en"")"),"Harassment. Special divorce")</f>
        <v>Harassment. Special divorce</v>
      </c>
      <c r="D732" s="5">
        <v>1</v>
      </c>
      <c r="E732" s="3">
        <v>0</v>
      </c>
    </row>
    <row r="733" spans="1:5" ht="15.75" customHeight="1" x14ac:dyDescent="0.2">
      <c r="A733" s="6">
        <v>2979</v>
      </c>
      <c r="B733" s="7" t="s">
        <v>678</v>
      </c>
      <c r="C733" s="8" t="str">
        <f ca="1">IFERROR(__xludf.DUMMYFUNCTION("GOOGLETRANSLATE(B733,""ar"",""en"")"),"Questions and her answer in an easy way and smooth in the area of ​​my family courts and Bstvad")</f>
        <v>Questions and her answer in an easy way and smooth in the area of ​​my family courts and Bstvad</v>
      </c>
      <c r="D733" s="9">
        <v>1</v>
      </c>
      <c r="E733" s="3">
        <v>0</v>
      </c>
    </row>
    <row r="734" spans="1:5" ht="15.75" customHeight="1" x14ac:dyDescent="0.2">
      <c r="A734" s="2">
        <v>2984</v>
      </c>
      <c r="B734" s="3" t="s">
        <v>679</v>
      </c>
      <c r="C734" s="4" t="str">
        <f ca="1">IFERROR(__xludf.DUMMYFUNCTION("GOOGLETRANSLATE(B734,""ar"",""en"")"),"Legal and social awareness concerning some negative phenomena")</f>
        <v>Legal and social awareness concerning some negative phenomena</v>
      </c>
      <c r="D734" s="5">
        <v>1</v>
      </c>
      <c r="E734" s="3">
        <v>0</v>
      </c>
    </row>
    <row r="735" spans="1:5" ht="15.75" customHeight="1" x14ac:dyDescent="0.2">
      <c r="A735" s="6">
        <v>2988</v>
      </c>
      <c r="B735" s="7" t="s">
        <v>680</v>
      </c>
      <c r="C735" s="8" t="str">
        <f ca="1">IFERROR(__xludf.DUMMYFUNCTION("GOOGLETRANSLATE(B735,""ar"",""en"")"),"Harassment, rape, and violence Altdjr")</f>
        <v>Harassment, rape, and violence Altdjr</v>
      </c>
      <c r="D735" s="9">
        <v>1</v>
      </c>
      <c r="E735" s="3">
        <v>0</v>
      </c>
    </row>
    <row r="736" spans="1:5" ht="15.75" customHeight="1" x14ac:dyDescent="0.2">
      <c r="A736" s="2">
        <v>2990</v>
      </c>
      <c r="B736" s="3" t="s">
        <v>681</v>
      </c>
      <c r="C736" s="4" t="str">
        <f ca="1">IFERROR(__xludf.DUMMYFUNCTION("GOOGLETRANSLATE(B736,""ar"",""en"")"),"Useful and openness of women and awareness")</f>
        <v>Useful and openness of women and awareness</v>
      </c>
      <c r="D736" s="9">
        <v>1</v>
      </c>
      <c r="E736" s="7">
        <v>1</v>
      </c>
    </row>
    <row r="737" spans="1:5" ht="15.75" customHeight="1" x14ac:dyDescent="0.2">
      <c r="A737" s="6">
        <v>2997</v>
      </c>
      <c r="B737" s="7" t="s">
        <v>682</v>
      </c>
      <c r="C737" s="8" t="str">
        <f ca="1">IFERROR(__xludf.DUMMYFUNCTION("GOOGLETRANSLATE(B737,""ar"",""en"")"),"All about women's issues, harassment and Kasai face")</f>
        <v>All about women's issues, harassment and Kasai face</v>
      </c>
      <c r="D737" s="9">
        <v>1</v>
      </c>
      <c r="E737" s="3">
        <v>0</v>
      </c>
    </row>
    <row r="738" spans="1:5" ht="15.75" customHeight="1" x14ac:dyDescent="0.2">
      <c r="A738" s="2">
        <v>2999</v>
      </c>
      <c r="B738" s="3" t="s">
        <v>133</v>
      </c>
      <c r="C738" s="4" t="str">
        <f ca="1">IFERROR(__xludf.DUMMYFUNCTION("GOOGLETRANSLATE(B738,""ar"",""en"")"),"Harassment")</f>
        <v>Harassment</v>
      </c>
      <c r="D738" s="5">
        <v>1</v>
      </c>
      <c r="E738" s="3">
        <v>0</v>
      </c>
    </row>
    <row r="739" spans="1:5" ht="15.75" customHeight="1" x14ac:dyDescent="0.2">
      <c r="A739" s="6">
        <v>3003</v>
      </c>
      <c r="B739" s="7" t="s">
        <v>683</v>
      </c>
      <c r="C739" s="8" t="str">
        <f ca="1">IFERROR(__xludf.DUMMYFUNCTION("GOOGLETRANSLATE(B739,""ar"",""en"")"),"Achtarta husband Kasai - a woman's age")</f>
        <v>Achtarta husband Kasai - a woman's age</v>
      </c>
      <c r="D739" s="9">
        <v>1</v>
      </c>
      <c r="E739" s="3">
        <v>0</v>
      </c>
    </row>
    <row r="740" spans="1:5" ht="15.75" customHeight="1" x14ac:dyDescent="0.2">
      <c r="A740" s="2">
        <v>3004</v>
      </c>
      <c r="B740" s="3" t="s">
        <v>684</v>
      </c>
      <c r="C740" s="4" t="str">
        <f ca="1">IFERROR(__xludf.DUMMYFUNCTION("GOOGLETRANSLATE(B740,""ar"",""en"")"),"Meaningful content reminds women of their rights and Oajptha")</f>
        <v>Meaningful content reminds women of their rights and Oajptha</v>
      </c>
      <c r="D740" s="5">
        <v>1</v>
      </c>
      <c r="E740" s="3">
        <v>0</v>
      </c>
    </row>
    <row r="741" spans="1:5" ht="15.75" customHeight="1" x14ac:dyDescent="0.2">
      <c r="A741" s="6">
        <v>3019</v>
      </c>
      <c r="B741" s="7" t="s">
        <v>685</v>
      </c>
      <c r="C741" s="8" t="str">
        <f ca="1">IFERROR(__xludf.DUMMYFUNCTION("GOOGLETRANSLATE(B741,""ar"",""en"")"),"I understand the role of the Internet in the lives of girls and Kasai Pennekzb him awareness of female genital mutilation and its effects and the role of the father in the house")</f>
        <v>I understand the role of the Internet in the lives of girls and Kasai Pennekzb him awareness of female genital mutilation and its effects and the role of the father in the house</v>
      </c>
      <c r="D741" s="9">
        <v>1</v>
      </c>
      <c r="E741" s="3">
        <v>0</v>
      </c>
    </row>
    <row r="742" spans="1:5" ht="15.75" customHeight="1" x14ac:dyDescent="0.2">
      <c r="A742" s="2">
        <v>3024</v>
      </c>
      <c r="B742" s="3" t="s">
        <v>686</v>
      </c>
      <c r="C742" s="4" t="str">
        <f ca="1">IFERROR(__xludf.DUMMYFUNCTION("GOOGLETRANSLATE(B742,""ar"",""en"")"),"For young people to ring, which engages Pedrs very inspirational and was liked so ring for filling six importance and Avaqrat on various topics")</f>
        <v>For young people to ring, which engages Pedrs very inspirational and was liked so ring for filling six importance and Avaqrat on various topics</v>
      </c>
      <c r="D742" s="5">
        <v>1</v>
      </c>
      <c r="E742" s="3">
        <v>0</v>
      </c>
    </row>
    <row r="743" spans="1:5" ht="15.75" customHeight="1" x14ac:dyDescent="0.2">
      <c r="A743" s="6">
        <v>3027</v>
      </c>
      <c r="B743" s="7" t="s">
        <v>687</v>
      </c>
      <c r="C743" s="8" t="str">
        <f ca="1">IFERROR(__xludf.DUMMYFUNCTION("GOOGLETRANSLATE(B743,""ar"",""en"")"),"Harassment at work for new employees")</f>
        <v>Harassment at work for new employees</v>
      </c>
      <c r="D743" s="9">
        <v>1</v>
      </c>
      <c r="E743" s="3">
        <v>0</v>
      </c>
    </row>
    <row r="744" spans="1:5" ht="15.75" customHeight="1" x14ac:dyDescent="0.2">
      <c r="A744" s="2">
        <v>3028</v>
      </c>
      <c r="B744" s="3" t="s">
        <v>394</v>
      </c>
      <c r="C744" s="4" t="str">
        <f ca="1">IFERROR(__xludf.DUMMYFUNCTION("GOOGLETRANSLATE(B744,""ar"",""en"")"),"Harassment and violence against women")</f>
        <v>Harassment and violence against women</v>
      </c>
      <c r="D744" s="5">
        <v>1</v>
      </c>
      <c r="E744" s="3">
        <v>0</v>
      </c>
    </row>
    <row r="745" spans="1:5" ht="15.75" customHeight="1" x14ac:dyDescent="0.2">
      <c r="A745" s="6">
        <v>3030</v>
      </c>
      <c r="B745" s="7" t="s">
        <v>688</v>
      </c>
      <c r="C745" s="8" t="str">
        <f ca="1">IFERROR(__xludf.DUMMYFUNCTION("GOOGLETRANSLATE(B745,""ar"",""en"")"),"Legal and social awareness of women through stories occurred with D.nhad or before or explanations for the actions of some women psychologically compared with men and their actions, for example, in one episode said that a new woman to compete in the work "&amp;"so talked with them a lot of problems compared to men")</f>
        <v>Legal and social awareness of women through stories occurred with D.nhad or before or explanations for the actions of some women psychologically compared with men and their actions, for example, in one episode said that a new woman to compete in the work so talked with them a lot of problems compared to men</v>
      </c>
      <c r="D745" s="9">
        <v>1</v>
      </c>
      <c r="E745" s="3">
        <v>0</v>
      </c>
    </row>
    <row r="746" spans="1:5" ht="15.75" customHeight="1" x14ac:dyDescent="0.2">
      <c r="A746" s="6">
        <v>2167</v>
      </c>
      <c r="B746" s="7" t="s">
        <v>486</v>
      </c>
      <c r="C746" s="8" t="str">
        <f ca="1">IFERROR(__xludf.DUMMYFUNCTION("GOOGLETRANSLATE(B515,""ar"",""en"")"),"Good content and realistic")</f>
        <v>Good content and realistic</v>
      </c>
      <c r="D746" s="9">
        <v>1</v>
      </c>
      <c r="E746" s="7">
        <v>1</v>
      </c>
    </row>
    <row r="747" spans="1:5" ht="15.75" customHeight="1" x14ac:dyDescent="0.2">
      <c r="A747" s="6">
        <v>3040</v>
      </c>
      <c r="B747" s="7" t="s">
        <v>690</v>
      </c>
      <c r="C747" s="8" t="str">
        <f ca="1">IFERROR(__xludf.DUMMYFUNCTION("GOOGLETRANSLATE(B747,""ar"",""en"")"),"Harassment rings and women's awareness")</f>
        <v>Harassment rings and women's awareness</v>
      </c>
      <c r="D747" s="9">
        <v>1</v>
      </c>
      <c r="E747" s="3">
        <v>0</v>
      </c>
    </row>
    <row r="748" spans="1:5" ht="15.75" customHeight="1" x14ac:dyDescent="0.2">
      <c r="A748" s="2">
        <v>3054</v>
      </c>
      <c r="B748" s="3" t="s">
        <v>691</v>
      </c>
      <c r="C748" s="4" t="str">
        <f ca="1">IFERROR(__xludf.DUMMYFUNCTION("GOOGLETRANSLATE(B748,""ar"",""en"")"),"Inheritance ... marital problems")</f>
        <v>Inheritance ... marital problems</v>
      </c>
      <c r="D748" s="5">
        <v>1</v>
      </c>
      <c r="E748" s="3">
        <v>0</v>
      </c>
    </row>
    <row r="749" spans="1:5" ht="15.75" customHeight="1" x14ac:dyDescent="0.2">
      <c r="A749" s="6">
        <v>3058</v>
      </c>
      <c r="B749" s="7" t="s">
        <v>692</v>
      </c>
      <c r="C749" s="8" t="str">
        <f ca="1">IFERROR(__xludf.DUMMYFUNCTION("GOOGLETRANSLATE(B749,""ar"",""en"")"),"Domestic violence. Harassment in the job and Alltharc on the street and harassment with the kids.")</f>
        <v>Domestic violence. Harassment in the job and Alltharc on the street and harassment with the kids.</v>
      </c>
      <c r="D749" s="9">
        <v>1</v>
      </c>
      <c r="E749" s="3">
        <v>0</v>
      </c>
    </row>
    <row r="750" spans="1:5" ht="15.75" customHeight="1" x14ac:dyDescent="0.2">
      <c r="A750" s="2">
        <v>3071</v>
      </c>
      <c r="B750" s="3" t="s">
        <v>693</v>
      </c>
      <c r="C750" s="4" t="str">
        <f ca="1">IFERROR(__xludf.DUMMYFUNCTION("GOOGLETRANSLATE(B750,""ar"",""en"")"),"Women's rights in all aspects of life")</f>
        <v>Women's rights in all aspects of life</v>
      </c>
      <c r="D750" s="5">
        <v>1</v>
      </c>
      <c r="E750" s="3">
        <v>0</v>
      </c>
    </row>
    <row r="751" spans="1:5" ht="15.75" customHeight="1" x14ac:dyDescent="0.2">
      <c r="A751" s="6">
        <v>3075</v>
      </c>
      <c r="B751" s="7" t="s">
        <v>694</v>
      </c>
      <c r="C751" s="8" t="str">
        <f ca="1">IFERROR(__xludf.DUMMYFUNCTION("GOOGLETRANSLATE(B751,""ar"",""en"")"),"Dislocation. And nursery. And infringements on women and female genital mutilation and Mutair benefited from")</f>
        <v>Dislocation. And nursery. And infringements on women and female genital mutilation and Mutair benefited from</v>
      </c>
      <c r="D751" s="9">
        <v>1</v>
      </c>
      <c r="E751" s="3">
        <v>0</v>
      </c>
    </row>
    <row r="752" spans="1:5" ht="15.75" customHeight="1" x14ac:dyDescent="0.2">
      <c r="A752" s="2">
        <v>3077</v>
      </c>
      <c r="B752" s="3" t="s">
        <v>695</v>
      </c>
      <c r="C752" s="4" t="str">
        <f ca="1">IFERROR(__xludf.DUMMYFUNCTION("GOOGLETRANSLATE(B752,""ar"",""en"")"),"How to treat women with all Maausbandha in the community of harassment, violence, rape, divorce cases, divorce and face Corona emerging virus at work or home")</f>
        <v>How to treat women with all Maausbandha in the community of harassment, violence, rape, divorce cases, divorce and face Corona emerging virus at work or home</v>
      </c>
      <c r="D752" s="5">
        <v>1</v>
      </c>
      <c r="E752" s="3">
        <v>0</v>
      </c>
    </row>
    <row r="753" spans="1:5" ht="15.75" customHeight="1" x14ac:dyDescent="0.2">
      <c r="A753" s="6">
        <v>3081</v>
      </c>
      <c r="B753" s="7" t="s">
        <v>696</v>
      </c>
      <c r="C753" s="8" t="str">
        <f ca="1">IFERROR(__xludf.DUMMYFUNCTION("GOOGLETRANSLATE(B753,""ar"",""en"")"),"Wearing girls and harassment. Molested children .anv family. Circumcision")</f>
        <v>Wearing girls and harassment. Molested children .anv family. Circumcision</v>
      </c>
      <c r="D753" s="9">
        <v>1</v>
      </c>
      <c r="E753" s="3">
        <v>0</v>
      </c>
    </row>
    <row r="754" spans="1:5" ht="15.75" customHeight="1" x14ac:dyDescent="0.2">
      <c r="A754" s="2">
        <v>3082</v>
      </c>
      <c r="B754" s="3" t="s">
        <v>697</v>
      </c>
      <c r="C754" s="4" t="str">
        <f ca="1">IFERROR(__xludf.DUMMYFUNCTION("GOOGLETRANSLATE(B754,""ar"",""en"")"),"Stories from the Ptnaakec women's issues")</f>
        <v>Stories from the Ptnaakec women's issues</v>
      </c>
      <c r="D754" s="5">
        <v>1</v>
      </c>
      <c r="E754" s="3">
        <v>0</v>
      </c>
    </row>
    <row r="755" spans="1:5" ht="15.75" customHeight="1" x14ac:dyDescent="0.2">
      <c r="A755" s="6">
        <v>3085</v>
      </c>
      <c r="B755" s="7" t="s">
        <v>698</v>
      </c>
      <c r="C755" s="8" t="str">
        <f ca="1">IFERROR(__xludf.DUMMYFUNCTION("GOOGLETRANSLATE(B755,""ar"",""en"")"),"Throat specification for a woman's choice for a man as a husband in recent years to have a specification Somatic is strong")</f>
        <v>Throat specification for a woman's choice for a man as a husband in recent years to have a specification Somatic is strong</v>
      </c>
      <c r="D755" s="9">
        <v>1</v>
      </c>
      <c r="E755" s="3">
        <v>0</v>
      </c>
    </row>
    <row r="756" spans="1:5" ht="15.75" customHeight="1" x14ac:dyDescent="0.2">
      <c r="A756" s="2">
        <v>3086</v>
      </c>
      <c r="B756" s="3" t="s">
        <v>699</v>
      </c>
      <c r="C756" s="4" t="str">
        <f ca="1">IFERROR(__xludf.DUMMYFUNCTION("GOOGLETRANSLATE(B756,""ar"",""en"")"),"Frankly, the first time I hear information and daring you in need be bold like that dress code hard proud I am one of six Ahan in which one uniform to know our rights and duties")</f>
        <v>Frankly, the first time I hear information and daring you in need be bold like that dress code hard proud I am one of six Ahan in which one uniform to know our rights and duties</v>
      </c>
      <c r="D756" s="5">
        <v>1</v>
      </c>
      <c r="E756" s="3">
        <v>0</v>
      </c>
    </row>
    <row r="757" spans="1:5" ht="15.75" customHeight="1" x14ac:dyDescent="0.2">
      <c r="A757" s="6">
        <v>3087</v>
      </c>
      <c r="B757" s="7" t="s">
        <v>700</v>
      </c>
      <c r="C757" s="8" t="str">
        <f ca="1">IFERROR(__xludf.DUMMYFUNCTION("GOOGLETRANSLATE(B757,""ar"",""en"")"),"About harassment in the workplace harassment of children respond to Abdullah Rushdie")</f>
        <v>About harassment in the workplace harassment of children respond to Abdullah Rushdie</v>
      </c>
      <c r="D757" s="9">
        <v>1</v>
      </c>
      <c r="E757" s="3">
        <v>0</v>
      </c>
    </row>
    <row r="758" spans="1:5" ht="15.75" customHeight="1" x14ac:dyDescent="0.2">
      <c r="A758" s="2">
        <v>3095</v>
      </c>
      <c r="B758" s="3" t="s">
        <v>701</v>
      </c>
      <c r="C758" s="4" t="str">
        <f ca="1">IFERROR(__xludf.DUMMYFUNCTION("GOOGLETRANSLATE(B758,""ar"",""en"")"),"Very useful and nice")</f>
        <v>Very useful and nice</v>
      </c>
      <c r="D758" s="9">
        <v>1</v>
      </c>
      <c r="E758" s="7">
        <v>1</v>
      </c>
    </row>
    <row r="759" spans="1:5" ht="15.75" customHeight="1" x14ac:dyDescent="0.2">
      <c r="A759" s="6">
        <v>3097</v>
      </c>
      <c r="B759" s="7" t="s">
        <v>702</v>
      </c>
      <c r="C759" s="8" t="str">
        <f ca="1">IFERROR(__xludf.DUMMYFUNCTION("GOOGLETRANSLATE(B759,""ar"",""en"")"),"Meaningful and useful for, state")</f>
        <v>Meaningful and useful for, state</v>
      </c>
      <c r="D759" s="9">
        <v>1</v>
      </c>
      <c r="E759" s="7">
        <v>1</v>
      </c>
    </row>
    <row r="760" spans="1:5" ht="15.75" customHeight="1" x14ac:dyDescent="0.2">
      <c r="A760" s="2">
        <v>3108</v>
      </c>
      <c r="B760" s="3" t="s">
        <v>703</v>
      </c>
      <c r="C760" s="4" t="str">
        <f ca="1">IFERROR(__xludf.DUMMYFUNCTION("GOOGLETRANSLATE(B760,""ar"",""en"")"),"Once about female circumcision and the role of women in society")</f>
        <v>Once about female circumcision and the role of women in society</v>
      </c>
      <c r="D760" s="5">
        <v>1</v>
      </c>
      <c r="E760" s="3">
        <v>0</v>
      </c>
    </row>
    <row r="761" spans="1:5" ht="15.75" customHeight="1" x14ac:dyDescent="0.2">
      <c r="A761" s="6">
        <v>3109</v>
      </c>
      <c r="B761" s="7" t="s">
        <v>704</v>
      </c>
      <c r="C761" s="8" t="str">
        <f ca="1">IFERROR(__xludf.DUMMYFUNCTION("GOOGLETRANSLATE(B761,""ar"",""en"")"),"Mostly on the law")</f>
        <v>Mostly on the law</v>
      </c>
      <c r="D761" s="9">
        <v>1</v>
      </c>
      <c r="E761" s="3">
        <v>0</v>
      </c>
    </row>
    <row r="762" spans="1:5" ht="15.75" customHeight="1" x14ac:dyDescent="0.2">
      <c r="A762" s="2">
        <v>3124</v>
      </c>
      <c r="B762" s="3" t="s">
        <v>705</v>
      </c>
      <c r="C762" s="4" t="str">
        <f ca="1">IFERROR(__xludf.DUMMYFUNCTION("GOOGLETRANSLATE(B762,""ar"",""en"")"),"Harassment and women's issues in the courts")</f>
        <v>Harassment and women's issues in the courts</v>
      </c>
      <c r="D762" s="5">
        <v>1</v>
      </c>
      <c r="E762" s="3">
        <v>0</v>
      </c>
    </row>
    <row r="763" spans="1:5" ht="15.75" customHeight="1" x14ac:dyDescent="0.2">
      <c r="A763" s="6">
        <v>3128</v>
      </c>
      <c r="B763" s="7" t="s">
        <v>15</v>
      </c>
      <c r="C763" s="8" t="str">
        <f ca="1">IFERROR(__xludf.DUMMYFUNCTION("GOOGLETRANSLATE(B763,""ar"",""en"")"),"Female circumcision")</f>
        <v>Female circumcision</v>
      </c>
      <c r="D763" s="9">
        <v>1</v>
      </c>
      <c r="E763" s="3">
        <v>0</v>
      </c>
    </row>
    <row r="764" spans="1:5" ht="15.75" customHeight="1" x14ac:dyDescent="0.2">
      <c r="A764" s="2">
        <v>3131</v>
      </c>
      <c r="B764" s="3" t="s">
        <v>706</v>
      </c>
      <c r="C764" s="4" t="str">
        <f ca="1">IFERROR(__xludf.DUMMYFUNCTION("GOOGLETRANSLATE(B764,""ar"",""en"")"),"The subject of harassment and the subject of króna and its impact on family life")</f>
        <v>The subject of harassment and the subject of króna and its impact on family life</v>
      </c>
      <c r="D764" s="5">
        <v>1</v>
      </c>
      <c r="E764" s="3">
        <v>0</v>
      </c>
    </row>
    <row r="765" spans="1:5" ht="15.75" customHeight="1" x14ac:dyDescent="0.2">
      <c r="A765" s="6">
        <v>3133</v>
      </c>
      <c r="B765" s="7" t="s">
        <v>707</v>
      </c>
      <c r="C765" s="8" t="str">
        <f ca="1">IFERROR(__xludf.DUMMYFUNCTION("GOOGLETRANSLATE(B765,""ar"",""en"")"),"Women's support and maintain p rights and defined them")</f>
        <v>Women's support and maintain p rights and defined them</v>
      </c>
      <c r="D765" s="9">
        <v>1</v>
      </c>
      <c r="E765" s="3">
        <v>0</v>
      </c>
    </row>
    <row r="766" spans="1:5" ht="15.75" customHeight="1" x14ac:dyDescent="0.2">
      <c r="A766" s="2">
        <v>3134</v>
      </c>
      <c r="B766" s="3" t="s">
        <v>708</v>
      </c>
      <c r="C766" s="4" t="str">
        <f ca="1">IFERROR(__xludf.DUMMYFUNCTION("GOOGLETRANSLATE(B766,""ar"",""en"")"),"Awareness Program")</f>
        <v>Awareness Program</v>
      </c>
      <c r="D766" s="5">
        <v>1</v>
      </c>
      <c r="E766" s="3">
        <v>0</v>
      </c>
    </row>
    <row r="767" spans="1:5" ht="15.75" customHeight="1" x14ac:dyDescent="0.2">
      <c r="A767" s="6">
        <v>3136</v>
      </c>
      <c r="B767" s="7" t="s">
        <v>709</v>
      </c>
      <c r="C767" s="8" t="str">
        <f ca="1">IFERROR(__xludf.DUMMYFUNCTION("GOOGLETRANSLATE(B767,""ar"",""en"")"),"More need Vala harassment and circumcision")</f>
        <v>More need Vala harassment and circumcision</v>
      </c>
      <c r="D767" s="9">
        <v>1</v>
      </c>
      <c r="E767" s="3">
        <v>0</v>
      </c>
    </row>
    <row r="768" spans="1:5" ht="15.75" customHeight="1" x14ac:dyDescent="0.2">
      <c r="A768" s="2">
        <v>3137</v>
      </c>
      <c r="B768" s="3" t="s">
        <v>710</v>
      </c>
      <c r="C768" s="4" t="str">
        <f ca="1">IFERROR(__xludf.DUMMYFUNCTION("GOOGLETRANSLATE(B768,""ar"",""en"")"),"The wife's rights to divorce / harassment")</f>
        <v>The wife's rights to divorce / harassment</v>
      </c>
      <c r="D768" s="5">
        <v>1</v>
      </c>
      <c r="E768" s="3">
        <v>0</v>
      </c>
    </row>
    <row r="769" spans="1:5" ht="15.75" customHeight="1" x14ac:dyDescent="0.2">
      <c r="A769" s="6">
        <v>3140</v>
      </c>
      <c r="B769" s="7" t="s">
        <v>711</v>
      </c>
      <c r="C769" s="8" t="str">
        <f ca="1">IFERROR(__xludf.DUMMYFUNCTION("GOOGLETRANSLATE(B769,""ar"",""en"")"),".violence against Woman")</f>
        <v>.violence against Woman</v>
      </c>
      <c r="D769" s="9">
        <v>1</v>
      </c>
      <c r="E769" s="3">
        <v>0</v>
      </c>
    </row>
    <row r="770" spans="1:5" ht="15.75" customHeight="1" x14ac:dyDescent="0.2">
      <c r="A770" s="2">
        <v>3143</v>
      </c>
      <c r="B770" s="3" t="s">
        <v>712</v>
      </c>
      <c r="C770" s="4" t="str">
        <f ca="1">IFERROR(__xludf.DUMMYFUNCTION("GOOGLETRANSLATE(B770,""ar"",""en"")"),"I think it was about harassment / law and women's rights")</f>
        <v>I think it was about harassment / law and women's rights</v>
      </c>
      <c r="D770" s="5">
        <v>1</v>
      </c>
      <c r="E770" s="3">
        <v>0</v>
      </c>
    </row>
    <row r="771" spans="1:5" ht="15.75" customHeight="1" x14ac:dyDescent="0.2">
      <c r="A771" s="6">
        <v>3146</v>
      </c>
      <c r="B771" s="7" t="s">
        <v>713</v>
      </c>
      <c r="C771" s="8" t="str">
        <f ca="1">IFERROR(__xludf.DUMMYFUNCTION("GOOGLETRANSLATE(B771,""ar"",""en"")"),"Divorce, divorce _ _ _ nursery")</f>
        <v>Divorce, divorce _ _ _ nursery</v>
      </c>
      <c r="D771" s="9">
        <v>1</v>
      </c>
      <c r="E771" s="3">
        <v>0</v>
      </c>
    </row>
    <row r="772" spans="1:5" ht="15.75" customHeight="1" x14ac:dyDescent="0.2">
      <c r="A772" s="2">
        <v>3150</v>
      </c>
      <c r="B772" s="3" t="s">
        <v>714</v>
      </c>
      <c r="C772" s="4" t="str">
        <f ca="1">IFERROR(__xludf.DUMMYFUNCTION("GOOGLETRANSLATE(B772,""ar"",""en"")"),"Honestly, I Marafh Describe the but endowed the program because it Ptdana information legal in stories and realistic are insipid and violin vertebra questions to the response of the professor Nihad very sweet because the questions different as possible an"&amp;"y extent utilized quickly and fiddle his way to speak and feel frankly wonderful mesh sense bored, but I'm employee The absolute poodle length of the day I hope my children special workshops worked on Friday and Saturday specifically speak of them all Mai"&amp;"_khas women and the corruption of the implementation of the verdicts, which wasted the right of women")</f>
        <v>Honestly, I Marafh Describe the but endowed the program because it Ptdana information legal in stories and realistic are insipid and violin vertebra questions to the response of the professor Nihad very sweet because the questions different as possible any extent utilized quickly and fiddle his way to speak and feel frankly wonderful mesh sense bored, but I'm employee The absolute poodle length of the day I hope my children special workshops worked on Friday and Saturday specifically speak of them all Mai_khas women and the corruption of the implementation of the verdicts, which wasted the right of women</v>
      </c>
      <c r="D772" s="5">
        <v>1</v>
      </c>
      <c r="E772" s="3">
        <v>0</v>
      </c>
    </row>
    <row r="773" spans="1:5" ht="15.75" customHeight="1" x14ac:dyDescent="0.2">
      <c r="A773" s="6">
        <v>3152</v>
      </c>
      <c r="B773" s="7" t="s">
        <v>715</v>
      </c>
      <c r="C773" s="8" t="str">
        <f ca="1">IFERROR(__xludf.DUMMYFUNCTION("GOOGLETRANSLATE(B773,""ar"",""en"")"),"Women's rights")</f>
        <v>Women's rights</v>
      </c>
      <c r="D773" s="9">
        <v>1</v>
      </c>
      <c r="E773" s="3">
        <v>0</v>
      </c>
    </row>
    <row r="774" spans="1:5" ht="15.75" customHeight="1" x14ac:dyDescent="0.2">
      <c r="A774" s="2">
        <v>3160</v>
      </c>
      <c r="B774" s="3" t="s">
        <v>716</v>
      </c>
      <c r="C774" s="4" t="str">
        <f ca="1">IFERROR(__xludf.DUMMYFUNCTION("GOOGLETRANSLATE(B774,""ar"",""en"")"),"Very inspiring and encouraging me with me personally teams")</f>
        <v>Very inspiring and encouraging me with me personally teams</v>
      </c>
      <c r="D774" s="5">
        <v>1</v>
      </c>
      <c r="E774" s="3">
        <v>0</v>
      </c>
    </row>
    <row r="775" spans="1:5" ht="15.75" customHeight="1" x14ac:dyDescent="0.2">
      <c r="A775" s="6">
        <v>3161</v>
      </c>
      <c r="B775" s="7" t="s">
        <v>717</v>
      </c>
      <c r="C775" s="8" t="str">
        <f ca="1">IFERROR(__xludf.DUMMYFUNCTION("GOOGLETRANSLATE(B775,""ar"",""en"")"),"Harassment and how to reconcile work and home and the role of Hamma in the lives of children")</f>
        <v>Harassment and how to reconcile work and home and the role of Hamma in the lives of children</v>
      </c>
      <c r="D775" s="9">
        <v>1</v>
      </c>
      <c r="E775" s="3">
        <v>0</v>
      </c>
    </row>
    <row r="776" spans="1:5" ht="15.75" customHeight="1" x14ac:dyDescent="0.2">
      <c r="A776" s="2">
        <v>3165</v>
      </c>
      <c r="B776" s="3" t="s">
        <v>718</v>
      </c>
      <c r="C776" s="4" t="str">
        <f ca="1">IFERROR(__xludf.DUMMYFUNCTION("GOOGLETRANSLATE(B776,""ar"",""en"")"),"Interesting and useful")</f>
        <v>Interesting and useful</v>
      </c>
      <c r="D776" s="9">
        <v>1</v>
      </c>
      <c r="E776" s="7">
        <v>1</v>
      </c>
    </row>
    <row r="777" spans="1:5" ht="15.75" customHeight="1" x14ac:dyDescent="0.2">
      <c r="A777" s="6">
        <v>3166</v>
      </c>
      <c r="B777" s="7" t="s">
        <v>719</v>
      </c>
      <c r="C777" s="8" t="str">
        <f ca="1">IFERROR(__xludf.DUMMYFUNCTION("GOOGLETRANSLATE(B777,""ar"",""en"")"),"Qzaiaalemraeh divorce and the rights of Alemraeh")</f>
        <v>Qzaiaalemraeh divorce and the rights of Alemraeh</v>
      </c>
      <c r="D777" s="9">
        <v>1</v>
      </c>
      <c r="E777" s="3">
        <v>0</v>
      </c>
    </row>
    <row r="778" spans="1:5" ht="15.75" customHeight="1" x14ac:dyDescent="0.2">
      <c r="A778" s="2">
        <v>3169</v>
      </c>
      <c r="B778" s="3" t="s">
        <v>133</v>
      </c>
      <c r="C778" s="4" t="str">
        <f ca="1">IFERROR(__xludf.DUMMYFUNCTION("GOOGLETRANSLATE(B778,""ar"",""en"")"),"Harassment")</f>
        <v>Harassment</v>
      </c>
      <c r="D778" s="5">
        <v>1</v>
      </c>
      <c r="E778" s="3">
        <v>0</v>
      </c>
    </row>
    <row r="779" spans="1:5" ht="15.75" customHeight="1" x14ac:dyDescent="0.2">
      <c r="A779" s="6">
        <v>3173</v>
      </c>
      <c r="B779" s="7" t="s">
        <v>720</v>
      </c>
      <c r="C779" s="8" t="str">
        <f ca="1">IFERROR(__xludf.DUMMYFUNCTION("GOOGLETRANSLATE(B779,""ar"",""en"")"),"What do you Tofiqi between work and home")</f>
        <v>What do you Tofiqi between work and home</v>
      </c>
      <c r="D779" s="9">
        <v>1</v>
      </c>
      <c r="E779" s="3">
        <v>0</v>
      </c>
    </row>
    <row r="780" spans="1:5" ht="15.75" customHeight="1" x14ac:dyDescent="0.2">
      <c r="A780" s="2">
        <v>3177</v>
      </c>
      <c r="B780" s="3" t="s">
        <v>107</v>
      </c>
      <c r="C780" s="4" t="str">
        <f ca="1">IFERROR(__xludf.DUMMYFUNCTION("GOOGLETRANSLATE(B780,""ar"",""en"")"),"Women's Issues")</f>
        <v>Women's Issues</v>
      </c>
      <c r="D780" s="5">
        <v>1</v>
      </c>
      <c r="E780" s="3">
        <v>0</v>
      </c>
    </row>
    <row r="781" spans="1:5" ht="15.75" customHeight="1" x14ac:dyDescent="0.2">
      <c r="A781" s="6">
        <v>3179</v>
      </c>
      <c r="B781" s="7" t="s">
        <v>721</v>
      </c>
      <c r="C781" s="8" t="str">
        <f ca="1">IFERROR(__xludf.DUMMYFUNCTION("GOOGLETRANSLATE(B781,""ar"",""en"")"),"For crimes of rape")</f>
        <v>For crimes of rape</v>
      </c>
      <c r="D781" s="9">
        <v>1</v>
      </c>
      <c r="E781" s="3">
        <v>0</v>
      </c>
    </row>
    <row r="782" spans="1:5" ht="15.75" customHeight="1" x14ac:dyDescent="0.2">
      <c r="A782" s="2">
        <v>3182</v>
      </c>
      <c r="B782" s="3" t="s">
        <v>722</v>
      </c>
      <c r="C782" s="4" t="str">
        <f ca="1">IFERROR(__xludf.DUMMYFUNCTION("GOOGLETRANSLATE(B782,""ar"",""en"")"),"Violence against women and harassment")</f>
        <v>Violence against women and harassment</v>
      </c>
      <c r="D782" s="5">
        <v>1</v>
      </c>
      <c r="E782" s="3">
        <v>0</v>
      </c>
    </row>
    <row r="783" spans="1:5" ht="15.75" customHeight="1" x14ac:dyDescent="0.2">
      <c r="A783" s="6">
        <v>3184</v>
      </c>
      <c r="B783" s="7" t="s">
        <v>723</v>
      </c>
      <c r="C783" s="8" t="str">
        <f ca="1">IFERROR(__xludf.DUMMYFUNCTION("GOOGLETRANSLATE(B783,""ar"",""en"")"),"Workshop on divorce law")</f>
        <v>Workshop on divorce law</v>
      </c>
      <c r="D783" s="9">
        <v>1</v>
      </c>
      <c r="E783" s="3">
        <v>0</v>
      </c>
    </row>
    <row r="784" spans="1:5" ht="15.75" customHeight="1" x14ac:dyDescent="0.2">
      <c r="A784" s="2">
        <v>3185</v>
      </c>
      <c r="B784" s="3" t="s">
        <v>724</v>
      </c>
      <c r="C784" s="4" t="str">
        <f ca="1">IFERROR(__xludf.DUMMYFUNCTION("GOOGLETRANSLATE(B784,""ar"",""en"")"),"The Worldwide for women's rights and protect the right Kasai in any need in the community")</f>
        <v>The Worldwide for women's rights and protect the right Kasai in any need in the community</v>
      </c>
      <c r="D784" s="5">
        <v>1</v>
      </c>
      <c r="E784" s="3">
        <v>0</v>
      </c>
    </row>
    <row r="785" spans="1:5" ht="15.75" customHeight="1" x14ac:dyDescent="0.2">
      <c r="A785" s="6">
        <v>3196</v>
      </c>
      <c r="B785" s="7" t="s">
        <v>725</v>
      </c>
      <c r="C785" s="8" t="str">
        <f ca="1">IFERROR(__xludf.DUMMYFUNCTION("GOOGLETRANSLATE(B785,""ar"",""en"")"),"Women and how to get their rights guaranteed by law and society have")</f>
        <v>Women and how to get their rights guaranteed by law and society have</v>
      </c>
      <c r="D785" s="9">
        <v>1</v>
      </c>
      <c r="E785" s="3">
        <v>0</v>
      </c>
    </row>
    <row r="786" spans="1:5" ht="15.75" customHeight="1" x14ac:dyDescent="0.2">
      <c r="A786" s="2">
        <v>3198</v>
      </c>
      <c r="B786" s="3" t="s">
        <v>726</v>
      </c>
      <c r="C786" s="4" t="str">
        <f ca="1">IFERROR(__xludf.DUMMYFUNCTION("GOOGLETRANSLATE(B786,""ar"",""en"")"),"Rings for female genital mutilation")</f>
        <v>Rings for female genital mutilation</v>
      </c>
      <c r="D786" s="5">
        <v>1</v>
      </c>
      <c r="E786" s="3">
        <v>0</v>
      </c>
    </row>
    <row r="787" spans="1:5" ht="15.75" customHeight="1" x14ac:dyDescent="0.2">
      <c r="A787" s="6">
        <v>3199</v>
      </c>
      <c r="B787" s="7" t="s">
        <v>727</v>
      </c>
      <c r="C787" s="8" t="str">
        <f ca="1">IFERROR(__xludf.DUMMYFUNCTION("GOOGLETRANSLATE(B787,""ar"",""en"")"),"Attractive")</f>
        <v>Attractive</v>
      </c>
      <c r="D787" s="9">
        <v>1</v>
      </c>
      <c r="E787" s="3">
        <v>0</v>
      </c>
    </row>
    <row r="788" spans="1:5" ht="15.75" customHeight="1" x14ac:dyDescent="0.2">
      <c r="A788" s="2">
        <v>3200</v>
      </c>
      <c r="B788" s="3" t="s">
        <v>728</v>
      </c>
      <c r="C788" s="4" t="str">
        <f ca="1">IFERROR(__xludf.DUMMYFUNCTION("GOOGLETRANSLATE(B788,""ar"",""en"")"),"Violence against women harassment")</f>
        <v>Violence against women harassment</v>
      </c>
      <c r="D788" s="5">
        <v>1</v>
      </c>
      <c r="E788" s="3">
        <v>0</v>
      </c>
    </row>
    <row r="789" spans="1:5" ht="15.75" customHeight="1" x14ac:dyDescent="0.2">
      <c r="A789" s="6">
        <v>3201</v>
      </c>
      <c r="B789" s="7" t="s">
        <v>729</v>
      </c>
      <c r="C789" s="8" t="str">
        <f ca="1">IFERROR(__xludf.DUMMYFUNCTION("GOOGLETRANSLATE(B789,""ar"",""en"")"),"Behtm Alemraep generally issues such as the issues of the program of divorce, alimony, and changed the issues of harassment and how to deal Amaaha")</f>
        <v>Behtm Alemraep generally issues such as the issues of the program of divorce, alimony, and changed the issues of harassment and how to deal Amaaha</v>
      </c>
      <c r="D789" s="9">
        <v>1</v>
      </c>
      <c r="E789" s="3">
        <v>0</v>
      </c>
    </row>
    <row r="790" spans="1:5" ht="15.75" customHeight="1" x14ac:dyDescent="0.2">
      <c r="A790" s="2">
        <v>3202</v>
      </c>
      <c r="B790" s="3" t="s">
        <v>730</v>
      </c>
      <c r="C790" s="4" t="str">
        <f ca="1">IFERROR(__xludf.DUMMYFUNCTION("GOOGLETRANSLATE(B790,""ar"",""en"")"),"N. was for women and the role of women")</f>
        <v>N. was for women and the role of women</v>
      </c>
      <c r="D790" s="5">
        <v>1</v>
      </c>
      <c r="E790" s="3">
        <v>0</v>
      </c>
    </row>
    <row r="791" spans="1:5" ht="15.75" customHeight="1" x14ac:dyDescent="0.2">
      <c r="A791" s="6">
        <v>3209</v>
      </c>
      <c r="B791" s="7" t="s">
        <v>731</v>
      </c>
      <c r="C791" s="8" t="str">
        <f ca="1">IFERROR(__xludf.DUMMYFUNCTION("GOOGLETRANSLATE(B791,""ar"",""en"")"),"About female circumcision and harassment")</f>
        <v>About female circumcision and harassment</v>
      </c>
      <c r="D791" s="9">
        <v>1</v>
      </c>
      <c r="E791" s="3">
        <v>0</v>
      </c>
    </row>
    <row r="792" spans="1:5" ht="15.75" customHeight="1" x14ac:dyDescent="0.2">
      <c r="A792" s="2">
        <v>3210</v>
      </c>
      <c r="B792" s="3" t="s">
        <v>732</v>
      </c>
      <c r="C792" s="4" t="str">
        <f ca="1">IFERROR(__xludf.DUMMYFUNCTION("GOOGLETRANSLATE(B792,""ar"",""en"")"),"Ring female circumcision and choose the man")</f>
        <v>Ring female circumcision and choose the man</v>
      </c>
      <c r="D792" s="5">
        <v>1</v>
      </c>
      <c r="E792" s="3">
        <v>0</v>
      </c>
    </row>
    <row r="793" spans="1:5" ht="15.75" customHeight="1" x14ac:dyDescent="0.2">
      <c r="A793" s="6">
        <v>3211</v>
      </c>
      <c r="B793" s="7" t="s">
        <v>733</v>
      </c>
      <c r="C793" s="8" t="str">
        <f ca="1">IFERROR(__xludf.DUMMYFUNCTION("GOOGLETRANSLATE(B793,""ar"",""en"")"),"Women's Rights The family")</f>
        <v>Women's Rights The family</v>
      </c>
      <c r="D793" s="9">
        <v>1</v>
      </c>
      <c r="E793" s="3">
        <v>0</v>
      </c>
    </row>
    <row r="794" spans="1:5" ht="15.75" customHeight="1" x14ac:dyDescent="0.2">
      <c r="A794" s="2">
        <v>3217</v>
      </c>
      <c r="B794" s="3" t="s">
        <v>734</v>
      </c>
      <c r="C794" s="4" t="str">
        <f ca="1">IFERROR(__xludf.DUMMYFUNCTION("GOOGLETRANSLATE(B794,""ar"",""en"")"),"General was harassing his throat as well as harassment, types and places and the negative effects of female circumcision and Corona I pressed remarkably three rings I am not an error")</f>
        <v>General was harassing his throat as well as harassment, types and places and the negative effects of female circumcision and Corona I pressed remarkably three rings I am not an error</v>
      </c>
      <c r="D794" s="5">
        <v>1</v>
      </c>
      <c r="E794" s="3">
        <v>0</v>
      </c>
    </row>
    <row r="795" spans="1:5" ht="15.75" customHeight="1" x14ac:dyDescent="0.2">
      <c r="A795" s="6">
        <v>3226</v>
      </c>
      <c r="B795" s="7" t="s">
        <v>735</v>
      </c>
      <c r="C795" s="8" t="str">
        <f ca="1">IFERROR(__xludf.DUMMYFUNCTION("GOOGLETRANSLATE(B795,""ar"",""en"")"),"Excellent and objective")</f>
        <v>Excellent and objective</v>
      </c>
      <c r="D795" s="9">
        <v>1</v>
      </c>
      <c r="E795" s="7">
        <v>1</v>
      </c>
    </row>
    <row r="796" spans="1:5" ht="15.75" customHeight="1" x14ac:dyDescent="0.2">
      <c r="A796" s="2">
        <v>3228</v>
      </c>
      <c r="B796" s="3" t="s">
        <v>736</v>
      </c>
      <c r="C796" s="4" t="str">
        <f ca="1">IFERROR(__xludf.DUMMYFUNCTION("GOOGLETRANSLATE(B796,""ar"",""en"")"),"Divorce, child marriage")</f>
        <v>Divorce, child marriage</v>
      </c>
      <c r="D796" s="5">
        <v>1</v>
      </c>
      <c r="E796" s="3">
        <v>0</v>
      </c>
    </row>
    <row r="797" spans="1:5" ht="15.75" customHeight="1" x14ac:dyDescent="0.2">
      <c r="A797" s="6">
        <v>3246</v>
      </c>
      <c r="B797" s="7" t="s">
        <v>737</v>
      </c>
      <c r="C797" s="8" t="str">
        <f ca="1">IFERROR(__xludf.DUMMYFUNCTION("GOOGLETRANSLATE(B797,""ar"",""en"")"),"Content for women and support the development of Ha")</f>
        <v>Content for women and support the development of Ha</v>
      </c>
      <c r="D797" s="9">
        <v>1</v>
      </c>
      <c r="E797" s="3">
        <v>0</v>
      </c>
    </row>
    <row r="798" spans="1:5" ht="15.75" customHeight="1" x14ac:dyDescent="0.2">
      <c r="A798" s="2">
        <v>3259</v>
      </c>
      <c r="B798" s="3" t="s">
        <v>738</v>
      </c>
      <c r="C798" s="4" t="str">
        <f ca="1">IFERROR(__xludf.DUMMYFUNCTION("GOOGLETRANSLATE(B798,""ar"",""en"")"),"Confronted about how women harassment at work")</f>
        <v>Confronted about how women harassment at work</v>
      </c>
      <c r="D798" s="5">
        <v>1</v>
      </c>
      <c r="E798" s="3">
        <v>0</v>
      </c>
    </row>
    <row r="799" spans="1:5" ht="15.75" customHeight="1" x14ac:dyDescent="0.2">
      <c r="A799" s="6">
        <v>3263</v>
      </c>
      <c r="B799" s="7" t="s">
        <v>739</v>
      </c>
      <c r="C799" s="8" t="str">
        <f ca="1">IFERROR(__xludf.DUMMYFUNCTION("GOOGLETRANSLATE(B799,""ar"",""en"")"),"The rings Ptnaakec some problems woman .. such as divorce and the right to see her children in .. and female circumcision .. customary marriages")</f>
        <v>The rings Ptnaakec some problems woman .. such as divorce and the right to see her children in .. and female circumcision .. customary marriages</v>
      </c>
      <c r="D799" s="9">
        <v>1</v>
      </c>
      <c r="E799" s="3">
        <v>0</v>
      </c>
    </row>
    <row r="800" spans="1:5" ht="15.75" customHeight="1" x14ac:dyDescent="0.2">
      <c r="A800" s="2">
        <v>3265</v>
      </c>
      <c r="B800" s="3" t="s">
        <v>740</v>
      </c>
      <c r="C800" s="4" t="str">
        <f ca="1">IFERROR(__xludf.DUMMYFUNCTION("GOOGLETRANSLATE(B800,""ar"",""en"")"),"The most important thing Tarafana our rights as women even Aitlaab us one")</f>
        <v>The most important thing Tarafana our rights as women even Aitlaab us one</v>
      </c>
      <c r="D800" s="5">
        <v>1</v>
      </c>
      <c r="E800" s="3">
        <v>0</v>
      </c>
    </row>
    <row r="801" spans="1:5" ht="15.75" customHeight="1" x14ac:dyDescent="0.2">
      <c r="A801" s="6">
        <v>3267</v>
      </c>
      <c r="B801" s="7" t="s">
        <v>741</v>
      </c>
      <c r="C801" s="8" t="str">
        <f ca="1">IFERROR(__xludf.DUMMYFUNCTION("GOOGLETRANSLATE(B801,""ar"",""en"")"),"For reasons of separation")</f>
        <v>For reasons of separation</v>
      </c>
      <c r="D801" s="9">
        <v>1</v>
      </c>
      <c r="E801" s="3">
        <v>0</v>
      </c>
    </row>
    <row r="802" spans="1:5" ht="15.75" customHeight="1" x14ac:dyDescent="0.2">
      <c r="A802" s="2">
        <v>3273</v>
      </c>
      <c r="B802" s="3" t="s">
        <v>742</v>
      </c>
      <c r="C802" s="4" t="str">
        <f ca="1">IFERROR(__xludf.DUMMYFUNCTION("GOOGLETRANSLATE(B802,""ar"",""en"")"),"The criminalization of female genital mutilation")</f>
        <v>The criminalization of female genital mutilation</v>
      </c>
      <c r="D802" s="5">
        <v>1</v>
      </c>
      <c r="E802" s="3">
        <v>0</v>
      </c>
    </row>
    <row r="803" spans="1:5" ht="15.75" customHeight="1" x14ac:dyDescent="0.2">
      <c r="A803" s="6">
        <v>3279</v>
      </c>
      <c r="B803" s="7" t="s">
        <v>743</v>
      </c>
      <c r="C803" s="8" t="str">
        <f ca="1">IFERROR(__xludf.DUMMYFUNCTION("GOOGLETRANSLATE(B803,""ar"",""en"")"),"View problems and explain the laws, rights and duties")</f>
        <v>View problems and explain the laws, rights and duties</v>
      </c>
      <c r="D803" s="9">
        <v>1</v>
      </c>
      <c r="E803" s="3">
        <v>0</v>
      </c>
    </row>
    <row r="804" spans="1:5" ht="15.75" customHeight="1" x14ac:dyDescent="0.2">
      <c r="A804" s="2">
        <v>3287</v>
      </c>
      <c r="B804" s="3" t="s">
        <v>744</v>
      </c>
      <c r="C804" s="4" t="str">
        <f ca="1">IFERROR(__xludf.DUMMYFUNCTION("GOOGLETRANSLATE(B804,""ar"",""en"")"),"Loop excision and throat marriage for girls small")</f>
        <v>Loop excision and throat marriage for girls small</v>
      </c>
      <c r="D804" s="5">
        <v>1</v>
      </c>
      <c r="E804" s="3">
        <v>0</v>
      </c>
    </row>
    <row r="805" spans="1:5" ht="15.75" customHeight="1" x14ac:dyDescent="0.2">
      <c r="A805" s="6">
        <v>3288</v>
      </c>
      <c r="B805" s="7" t="s">
        <v>745</v>
      </c>
      <c r="C805" s="8" t="str">
        <f ca="1">IFERROR(__xludf.DUMMYFUNCTION("GOOGLETRANSLATE(B805,""ar"",""en"")"),"Stop circumcision rape cases Ante-mesh alone most of the issues related to women who")</f>
        <v>Stop circumcision rape cases Ante-mesh alone most of the issues related to women who</v>
      </c>
      <c r="D805" s="9">
        <v>1</v>
      </c>
      <c r="E805" s="3">
        <v>0</v>
      </c>
    </row>
    <row r="806" spans="1:5" ht="15.75" customHeight="1" x14ac:dyDescent="0.2">
      <c r="A806" s="2">
        <v>3291</v>
      </c>
      <c r="B806" s="3" t="s">
        <v>746</v>
      </c>
      <c r="C806" s="4" t="str">
        <f ca="1">IFERROR(__xludf.DUMMYFUNCTION("GOOGLETRANSLATE(B806,""ar"",""en"")"),"Collect Hhaol often Bs was Petklm for underage marriage or family problems and Kasai who degrade and any imposed Tamli if your application pair in the house of obedience to what I remember")</f>
        <v>Collect Hhaol often Bs was Petklm for underage marriage or family problems and Kasai who degrade and any imposed Tamli if your application pair in the house of obedience to what I remember</v>
      </c>
      <c r="D806" s="5">
        <v>1</v>
      </c>
      <c r="E806" s="3">
        <v>0</v>
      </c>
    </row>
    <row r="807" spans="1:5" ht="15.75" customHeight="1" x14ac:dyDescent="0.2">
      <c r="A807" s="6">
        <v>3303</v>
      </c>
      <c r="B807" s="7" t="s">
        <v>747</v>
      </c>
      <c r="C807" s="8" t="str">
        <f ca="1">IFERROR(__xludf.DUMMYFUNCTION("GOOGLETRANSLATE(B807,""ar"",""en"")"),"Women's Issues")</f>
        <v>Women's Issues</v>
      </c>
      <c r="D807" s="9">
        <v>1</v>
      </c>
      <c r="E807" s="3">
        <v>0</v>
      </c>
    </row>
    <row r="808" spans="1:5" ht="15.75" customHeight="1" x14ac:dyDescent="0.2">
      <c r="A808" s="2">
        <v>3316</v>
      </c>
      <c r="B808" s="3" t="s">
        <v>748</v>
      </c>
      <c r="C808" s="4" t="str">
        <f ca="1">IFERROR(__xludf.DUMMYFUNCTION("GOOGLETRANSLATE(B808,""ar"",""en"")"),"Very Cuesh Ptoaa women and Ptsandha in various issues")</f>
        <v>Very Cuesh Ptoaa women and Ptsandha in various issues</v>
      </c>
      <c r="D808" s="5">
        <v>1</v>
      </c>
      <c r="E808" s="3">
        <v>0</v>
      </c>
    </row>
    <row r="809" spans="1:5" ht="15.75" customHeight="1" x14ac:dyDescent="0.2">
      <c r="A809" s="6">
        <v>3317</v>
      </c>
      <c r="B809" s="7" t="s">
        <v>98</v>
      </c>
      <c r="C809" s="8" t="str">
        <f ca="1">IFERROR(__xludf.DUMMYFUNCTION("GOOGLETRANSLATE(B809,""ar"",""en"")"),"Divorce")</f>
        <v>Divorce</v>
      </c>
      <c r="D809" s="9">
        <v>1</v>
      </c>
      <c r="E809" s="3">
        <v>0</v>
      </c>
    </row>
    <row r="810" spans="1:5" ht="15.75" customHeight="1" x14ac:dyDescent="0.2">
      <c r="A810" s="2">
        <v>3323</v>
      </c>
      <c r="B810" s="3" t="s">
        <v>749</v>
      </c>
      <c r="C810" s="4" t="str">
        <f ca="1">IFERROR(__xludf.DUMMYFUNCTION("GOOGLETRANSLATE(B810,""ar"",""en"")"),"Female circumcision marriage girls rape")</f>
        <v>Female circumcision marriage girls rape</v>
      </c>
      <c r="D810" s="5">
        <v>1</v>
      </c>
      <c r="E810" s="3">
        <v>0</v>
      </c>
    </row>
    <row r="811" spans="1:5" ht="15.75" customHeight="1" x14ac:dyDescent="0.2">
      <c r="A811" s="6">
        <v>3327</v>
      </c>
      <c r="B811" s="7" t="s">
        <v>545</v>
      </c>
      <c r="C811" s="8" t="str">
        <f ca="1">IFERROR(__xludf.DUMMYFUNCTION("GOOGLETRANSLATE(B811,""ar"",""en"")"),"Circumcision")</f>
        <v>Circumcision</v>
      </c>
      <c r="D811" s="9">
        <v>1</v>
      </c>
      <c r="E811" s="3">
        <v>0</v>
      </c>
    </row>
    <row r="812" spans="1:5" ht="15.75" customHeight="1" x14ac:dyDescent="0.2">
      <c r="A812" s="2">
        <v>3329</v>
      </c>
      <c r="B812" s="3" t="s">
        <v>750</v>
      </c>
      <c r="C812" s="4" t="str">
        <f ca="1">IFERROR(__xludf.DUMMYFUNCTION("GOOGLETRANSLATE(B812,""ar"",""en"")"),"For marital unfaithfulness almost")</f>
        <v>For marital unfaithfulness almost</v>
      </c>
      <c r="D812" s="5">
        <v>1</v>
      </c>
      <c r="E812" s="3">
        <v>0</v>
      </c>
    </row>
    <row r="813" spans="1:5" ht="15.75" customHeight="1" x14ac:dyDescent="0.2">
      <c r="A813" s="6">
        <v>3331</v>
      </c>
      <c r="B813" s="7" t="s">
        <v>751</v>
      </c>
      <c r="C813" s="8" t="str">
        <f ca="1">IFERROR(__xludf.DUMMYFUNCTION("GOOGLETRANSLATE(B813,""ar"",""en"")"),"Program Bihol Ancefna speak Elly Joanna form clear legal")</f>
        <v>Program Bihol Ancefna speak Elly Joanna form clear legal</v>
      </c>
      <c r="D813" s="9">
        <v>1</v>
      </c>
      <c r="E813" s="3">
        <v>0</v>
      </c>
    </row>
    <row r="814" spans="1:5" ht="15.75" customHeight="1" x14ac:dyDescent="0.2">
      <c r="A814" s="2">
        <v>3346</v>
      </c>
      <c r="B814" s="3" t="s">
        <v>752</v>
      </c>
      <c r="C814" s="4" t="str">
        <f ca="1">IFERROR(__xludf.DUMMYFUNCTION("GOOGLETRANSLATE(B814,""ar"",""en"")"),"* Cases of rape and sexual neck and tips to reduce exposure to rape and the face of the crime if you fall / female circumcision is usually inherited and have nothing to do with religion and must be maintained for girls from non-cutting part of them and to"&amp;" appeal to the White Army to protect girls from this crime / Statement of the public prosecutor regarding the referral of the father of Nada a victim of circumcision and the doctor / marriage of underage girls and the story of an authorized customary marr"&amp;"iage contract for a child and charged the husband's refusal to document the marriage issue / Stat of the best two women who knew Egypt Mary Asaad and Aziza Hussain was honored their names from the national Committee for the fight against female genital mu"&amp;"tilation.")</f>
        <v>* Cases of rape and sexual neck and tips to reduce exposure to rape and the face of the crime if you fall / female circumcision is usually inherited and have nothing to do with religion and must be maintained for girls from non-cutting part of them and to appeal to the White Army to protect girls from this crime / Statement of the public prosecutor regarding the referral of the father of Nada a victim of circumcision and the doctor / marriage of underage girls and the story of an authorized customary marriage contract for a child and charged the husband's refusal to document the marriage issue / Stat of the best two women who knew Egypt Mary Asaad and Aziza Hussain was honored their names from the national Committee for the fight against female genital mutilation.</v>
      </c>
      <c r="D814" s="5">
        <v>1</v>
      </c>
      <c r="E814" s="3">
        <v>0</v>
      </c>
    </row>
    <row r="815" spans="1:5" ht="15.75" customHeight="1" x14ac:dyDescent="0.2">
      <c r="A815" s="6">
        <v>3348</v>
      </c>
      <c r="B815" s="7" t="s">
        <v>753</v>
      </c>
      <c r="C815" s="8" t="str">
        <f ca="1">IFERROR(__xludf.DUMMYFUNCTION("GOOGLETRANSLATE(B815,""ar"",""en"")"),"Rape and maim genital Vtayat harassment")</f>
        <v>Rape and maim genital Vtayat harassment</v>
      </c>
      <c r="D815" s="9">
        <v>1</v>
      </c>
      <c r="E815" s="3">
        <v>0</v>
      </c>
    </row>
    <row r="816" spans="1:5" ht="15.75" customHeight="1" x14ac:dyDescent="0.2">
      <c r="A816" s="2">
        <v>3352</v>
      </c>
      <c r="B816" s="3" t="s">
        <v>754</v>
      </c>
      <c r="C816" s="4" t="str">
        <f ca="1">IFERROR(__xludf.DUMMYFUNCTION("GOOGLETRANSLATE(B816,""ar"",""en"")"),"Talk about women rights")</f>
        <v>Talk about women rights</v>
      </c>
      <c r="D816" s="5">
        <v>1</v>
      </c>
      <c r="E816" s="3">
        <v>0</v>
      </c>
    </row>
    <row r="817" spans="1:5" ht="15.75" customHeight="1" x14ac:dyDescent="0.2">
      <c r="A817" s="6">
        <v>3353</v>
      </c>
      <c r="B817" s="7" t="s">
        <v>755</v>
      </c>
      <c r="C817" s="8" t="str">
        <f ca="1">IFERROR(__xludf.DUMMYFUNCTION("GOOGLETRANSLATE(B817,""ar"",""en"")"),"Divorce and divorce .. episode of the second wife or second marriage")</f>
        <v>Divorce and divorce .. episode of the second wife or second marriage</v>
      </c>
      <c r="D817" s="9">
        <v>1</v>
      </c>
      <c r="E817" s="3">
        <v>0</v>
      </c>
    </row>
    <row r="818" spans="1:5" ht="15.75" customHeight="1" x14ac:dyDescent="0.2">
      <c r="A818" s="2">
        <v>3354</v>
      </c>
      <c r="B818" s="3" t="s">
        <v>756</v>
      </c>
      <c r="C818" s="4" t="str">
        <f ca="1">IFERROR(__xludf.DUMMYFUNCTION("GOOGLETRANSLATE(B818,""ar"",""en"")"),"Throat young Ahmed who offers to marry a girl and she was a condition filled fluidity")</f>
        <v>Throat young Ahmed who offers to marry a girl and she was a condition filled fluidity</v>
      </c>
      <c r="D818" s="5">
        <v>1</v>
      </c>
      <c r="E818" s="3">
        <v>0</v>
      </c>
    </row>
    <row r="819" spans="1:5" ht="15.75" customHeight="1" x14ac:dyDescent="0.2">
      <c r="A819" s="6">
        <v>3363</v>
      </c>
      <c r="B819" s="7" t="s">
        <v>757</v>
      </c>
      <c r="C819" s="8" t="str">
        <f ca="1">IFERROR(__xludf.DUMMYFUNCTION("GOOGLETRANSLATE(B819,""ar"",""en"")"),"Sexual harassment of children")</f>
        <v>Sexual harassment of children</v>
      </c>
      <c r="D819" s="9">
        <v>1</v>
      </c>
      <c r="E819" s="3">
        <v>0</v>
      </c>
    </row>
    <row r="820" spans="1:5" ht="15.75" customHeight="1" x14ac:dyDescent="0.2">
      <c r="A820" s="2">
        <v>3364</v>
      </c>
      <c r="B820" s="3" t="s">
        <v>758</v>
      </c>
      <c r="C820" s="4" t="str">
        <f ca="1">IFERROR(__xludf.DUMMYFUNCTION("GOOGLETRANSLATE(B820,""ar"",""en"")"),"Episode of harassment and that the girl is not a basic mesh reason Kasai deal and Mnkafsh, and the throat was about to tell the difference between divorce and divorce and resort to any solution including Emta, and a loop for virus króna and its impact on "&amp;"the work")</f>
        <v>Episode of harassment and that the girl is not a basic mesh reason Kasai deal and Mnkafsh, and the throat was about to tell the difference between divorce and divorce and resort to any solution including Emta, and a loop for virus króna and its impact on the work</v>
      </c>
      <c r="D820" s="5">
        <v>1</v>
      </c>
      <c r="E820" s="3">
        <v>0</v>
      </c>
    </row>
    <row r="821" spans="1:5" ht="15.75" customHeight="1" x14ac:dyDescent="0.2">
      <c r="A821" s="6">
        <v>3372</v>
      </c>
      <c r="B821" s="7" t="s">
        <v>759</v>
      </c>
      <c r="C821" s="8" t="str">
        <f ca="1">IFERROR(__xludf.DUMMYFUNCTION("GOOGLETRANSLATE(B821,""ar"",""en"")"),"Harassment and awareness issues")</f>
        <v>Harassment and awareness issues</v>
      </c>
      <c r="D821" s="9">
        <v>1</v>
      </c>
      <c r="E821" s="3">
        <v>0</v>
      </c>
    </row>
    <row r="822" spans="1:5" ht="15.75" customHeight="1" x14ac:dyDescent="0.2">
      <c r="A822" s="2">
        <v>3374</v>
      </c>
      <c r="B822" s="3" t="s">
        <v>760</v>
      </c>
      <c r="C822" s="4" t="str">
        <f ca="1">IFERROR(__xludf.DUMMYFUNCTION("GOOGLETRANSLATE(B822,""ar"",""en"")"),"Witnessed bullying, rape and Tvsam important household to be a time for myself and attention to the issues of children and abuse of paralleled Ahmiam or harassment violin circumcision and Emta need for violin and reconciliation law and some laws on real e"&amp;"state")</f>
        <v>Witnessed bullying, rape and Tvsam important household to be a time for myself and attention to the issues of children and abuse of paralleled Ahmiam or harassment violin circumcision and Emta need for violin and reconciliation law and some laws on real estate</v>
      </c>
      <c r="D822" s="5">
        <v>1</v>
      </c>
      <c r="E822" s="3">
        <v>0</v>
      </c>
    </row>
    <row r="823" spans="1:5" ht="15.75" customHeight="1" x14ac:dyDescent="0.2">
      <c r="A823" s="6">
        <v>3381</v>
      </c>
      <c r="B823" s="7" t="s">
        <v>761</v>
      </c>
      <c r="C823" s="8" t="str">
        <f ca="1">IFERROR(__xludf.DUMMYFUNCTION("GOOGLETRANSLATE(B823,""ar"",""en"")"),"Rings were content Llano Kasai legally defend myself if Hsali harassment or rape and any new points to Atdavc Egyptian law protects the confidentiality of girls Ashan data and whistleblower BRDO shaft rings for circumcision health, psychological, physical"&amp;", religious and damaging")</f>
        <v>Rings were content Llano Kasai legally defend myself if Hsali harassment or rape and any new points to Atdavc Egyptian law protects the confidentiality of girls Ashan data and whistleblower BRDO shaft rings for circumcision health, psychological, physical, religious and damaging</v>
      </c>
      <c r="D823" s="9">
        <v>1</v>
      </c>
      <c r="E823" s="3">
        <v>0</v>
      </c>
    </row>
    <row r="824" spans="1:5" ht="15.75" customHeight="1" x14ac:dyDescent="0.2">
      <c r="A824" s="2">
        <v>3386</v>
      </c>
      <c r="B824" s="3" t="s">
        <v>762</v>
      </c>
      <c r="C824" s="4" t="str">
        <f ca="1">IFERROR(__xludf.DUMMYFUNCTION("GOOGLETRANSLATE(B824,""ar"",""en"")"),"Issues often women's issues")</f>
        <v>Issues often women's issues</v>
      </c>
      <c r="D824" s="5">
        <v>1</v>
      </c>
      <c r="E824" s="3">
        <v>0</v>
      </c>
    </row>
    <row r="825" spans="1:5" ht="15.75" customHeight="1" x14ac:dyDescent="0.2">
      <c r="A825" s="6">
        <v>3387</v>
      </c>
      <c r="B825" s="7" t="s">
        <v>763</v>
      </c>
      <c r="C825" s="8" t="str">
        <f ca="1">IFERROR(__xludf.DUMMYFUNCTION("GOOGLETRANSLATE(B825,""ar"",""en"")"),"Very useful, especially the legal content")</f>
        <v>Very useful, especially the legal content</v>
      </c>
      <c r="D825" s="9">
        <v>1</v>
      </c>
      <c r="E825" s="7">
        <v>1</v>
      </c>
    </row>
    <row r="826" spans="1:5" ht="15.75" customHeight="1" x14ac:dyDescent="0.2">
      <c r="A826" s="2">
        <v>3389</v>
      </c>
      <c r="B826" s="3" t="s">
        <v>22</v>
      </c>
      <c r="C826" s="4" t="str">
        <f ca="1">IFERROR(__xludf.DUMMYFUNCTION("GOOGLETRANSLATE(B826,""ar"",""en"")"),"Harassment")</f>
        <v>Harassment</v>
      </c>
      <c r="D826" s="5">
        <v>1</v>
      </c>
      <c r="E826" s="3">
        <v>0</v>
      </c>
    </row>
    <row r="827" spans="1:5" ht="15.75" customHeight="1" x14ac:dyDescent="0.2">
      <c r="A827" s="6">
        <v>3399</v>
      </c>
      <c r="B827" s="7" t="s">
        <v>764</v>
      </c>
      <c r="C827" s="8" t="str">
        <f ca="1">IFERROR(__xludf.DUMMYFUNCTION("GOOGLETRANSLATE(B827,""ar"",""en"")"),"Dislocation - women's empowerment")</f>
        <v>Dislocation - women's empowerment</v>
      </c>
      <c r="D827" s="9">
        <v>1</v>
      </c>
      <c r="E827" s="3">
        <v>0</v>
      </c>
    </row>
    <row r="828" spans="1:5" ht="15.75" customHeight="1" x14ac:dyDescent="0.2">
      <c r="A828" s="2">
        <v>3400</v>
      </c>
      <c r="B828" s="3" t="s">
        <v>765</v>
      </c>
      <c r="C828" s="4" t="str">
        <f ca="1">IFERROR(__xludf.DUMMYFUNCTION("GOOGLETRANSLATE(B828,""ar"",""en"")"),"One of the rings were about circumcision and punishment")</f>
        <v>One of the rings were about circumcision and punishment</v>
      </c>
      <c r="D828" s="5">
        <v>1</v>
      </c>
      <c r="E828" s="3">
        <v>0</v>
      </c>
    </row>
    <row r="829" spans="1:5" ht="15.75" customHeight="1" x14ac:dyDescent="0.2">
      <c r="A829" s="6">
        <v>3409</v>
      </c>
      <c r="B829" s="7" t="s">
        <v>107</v>
      </c>
      <c r="C829" s="8" t="str">
        <f ca="1">IFERROR(__xludf.DUMMYFUNCTION("GOOGLETRANSLATE(B829,""ar"",""en"")"),"Women's Issues")</f>
        <v>Women's Issues</v>
      </c>
      <c r="D829" s="9">
        <v>1</v>
      </c>
      <c r="E829" s="3">
        <v>0</v>
      </c>
    </row>
    <row r="830" spans="1:5" ht="15.75" customHeight="1" x14ac:dyDescent="0.2">
      <c r="A830" s="2">
        <v>3418</v>
      </c>
      <c r="B830" s="3" t="s">
        <v>766</v>
      </c>
      <c r="C830" s="4" t="str">
        <f ca="1">IFERROR(__xludf.DUMMYFUNCTION("GOOGLETRANSLATE(B830,""ar"",""en"")"),"comprehensive")</f>
        <v>comprehensive</v>
      </c>
      <c r="D830" s="9">
        <v>1</v>
      </c>
      <c r="E830" s="7">
        <v>1</v>
      </c>
    </row>
    <row r="831" spans="1:5" ht="15.75" customHeight="1" x14ac:dyDescent="0.2">
      <c r="A831" s="6">
        <v>3425</v>
      </c>
      <c r="B831" s="7" t="s">
        <v>767</v>
      </c>
      <c r="C831" s="8" t="str">
        <f ca="1">IFERROR(__xludf.DUMMYFUNCTION("GOOGLETRANSLATE(B831,""ar"",""en"")"),"Knowledge of the rights of women legally")</f>
        <v>Knowledge of the rights of women legally</v>
      </c>
      <c r="D831" s="9">
        <v>1</v>
      </c>
      <c r="E831" s="3">
        <v>0</v>
      </c>
    </row>
    <row r="832" spans="1:5" ht="15.75" customHeight="1" x14ac:dyDescent="0.2">
      <c r="A832" s="2">
        <v>3434</v>
      </c>
      <c r="B832" s="3" t="s">
        <v>768</v>
      </c>
      <c r="C832" s="4" t="str">
        <f ca="1">IFERROR(__xludf.DUMMYFUNCTION("GOOGLETRANSLATE(B832,""ar"",""en"")"),"Knowing the legal rights of wife")</f>
        <v>Knowing the legal rights of wife</v>
      </c>
      <c r="D832" s="5">
        <v>1</v>
      </c>
      <c r="E832" s="3">
        <v>0</v>
      </c>
    </row>
    <row r="833" spans="1:5" ht="15.75" customHeight="1" x14ac:dyDescent="0.2">
      <c r="A833" s="6">
        <v>3435</v>
      </c>
      <c r="B833" s="7" t="s">
        <v>769</v>
      </c>
      <c r="C833" s="8" t="str">
        <f ca="1">IFERROR(__xludf.DUMMYFUNCTION("GOOGLETRANSLATE(B833,""ar"",""en"")"),"Aktar throat for Alimony issues and generally fiddle inheritance program is very Abiejbna")</f>
        <v>Aktar throat for Alimony issues and generally fiddle inheritance program is very Abiejbna</v>
      </c>
      <c r="D833" s="9">
        <v>1</v>
      </c>
      <c r="E833" s="3">
        <v>0</v>
      </c>
    </row>
    <row r="834" spans="1:5" ht="15.75" customHeight="1" x14ac:dyDescent="0.2">
      <c r="A834" s="2">
        <v>3438</v>
      </c>
      <c r="B834" s="3" t="s">
        <v>770</v>
      </c>
      <c r="C834" s="4" t="str">
        <f ca="1">IFERROR(__xludf.DUMMYFUNCTION("GOOGLETRANSLATE(B834,""ar"",""en"")"),"Problems for women Atsrvo where wrongly the lack of awareness of the law")</f>
        <v>Problems for women Atsrvo where wrongly the lack of awareness of the law</v>
      </c>
      <c r="D834" s="5">
        <v>1</v>
      </c>
      <c r="E834" s="3">
        <v>0</v>
      </c>
    </row>
    <row r="835" spans="1:5" ht="15.75" customHeight="1" x14ac:dyDescent="0.2">
      <c r="A835" s="6">
        <v>3441</v>
      </c>
      <c r="B835" s="7" t="s">
        <v>771</v>
      </c>
      <c r="C835" s="8" t="str">
        <f ca="1">IFERROR(__xludf.DUMMYFUNCTION("GOOGLETRANSLATE(B835,""ar"",""en"")"),"Family Law and disobedient")</f>
        <v>Family Law and disobedient</v>
      </c>
      <c r="D835" s="9">
        <v>1</v>
      </c>
      <c r="E835" s="3">
        <v>0</v>
      </c>
    </row>
    <row r="836" spans="1:5" ht="15.75" customHeight="1" x14ac:dyDescent="0.2">
      <c r="A836" s="2">
        <v>3442</v>
      </c>
      <c r="B836" s="3" t="s">
        <v>772</v>
      </c>
      <c r="C836" s="4" t="str">
        <f ca="1">IFERROR(__xludf.DUMMYFUNCTION("GOOGLETRANSLATE(B836,""ar"",""en"")"),"Stories about Stat Ptbat problems")</f>
        <v>Stories about Stat Ptbat problems</v>
      </c>
      <c r="D836" s="5">
        <v>1</v>
      </c>
      <c r="E836" s="3">
        <v>0</v>
      </c>
    </row>
    <row r="837" spans="1:5" ht="15.75" customHeight="1" x14ac:dyDescent="0.2">
      <c r="A837" s="6">
        <v>3443</v>
      </c>
      <c r="B837" s="7" t="s">
        <v>773</v>
      </c>
      <c r="C837" s="8" t="str">
        <f ca="1">IFERROR(__xludf.DUMMYFUNCTION("GOOGLETRANSLATE(B837,""ar"",""en"")"),"What do you protect my child from harassment and that he keeps subconscious p itself and with the positions of Kasai I deal harassment Elly possible touch on her guardian and Kasai was reportedly Sahbati and I deal with cases of harassment Elly possible a"&amp;"ny one exposed to veterans")</f>
        <v>What do you protect my child from harassment and that he keeps subconscious p itself and with the positions of Kasai I deal harassment Elly possible touch on her guardian and Kasai was reportedly Sahbati and I deal with cases of harassment Elly possible any one exposed to veterans</v>
      </c>
      <c r="D837" s="9">
        <v>1</v>
      </c>
      <c r="E837" s="3">
        <v>0</v>
      </c>
    </row>
    <row r="838" spans="1:5" ht="15.75" customHeight="1" x14ac:dyDescent="0.2">
      <c r="A838" s="2">
        <v>3449</v>
      </c>
      <c r="B838" s="3" t="s">
        <v>774</v>
      </c>
      <c r="C838" s="4" t="str">
        <f ca="1">IFERROR(__xludf.DUMMYFUNCTION("GOOGLETRANSLATE(B838,""ar"",""en"")"),"Kasai women defend itself and that age mesh obstacle")</f>
        <v>Kasai women defend itself and that age mesh obstacle</v>
      </c>
      <c r="D838" s="5">
        <v>1</v>
      </c>
      <c r="E838" s="3">
        <v>0</v>
      </c>
    </row>
    <row r="839" spans="1:5" ht="15.75" customHeight="1" x14ac:dyDescent="0.2">
      <c r="A839" s="6">
        <v>3453</v>
      </c>
      <c r="B839" s="7" t="s">
        <v>775</v>
      </c>
      <c r="C839" s="8" t="str">
        <f ca="1">IFERROR(__xludf.DUMMYFUNCTION("GOOGLETRANSLATE(B839,""ar"",""en"")"),"Content Batl_khas how to address problems, mostly against women, such as harassment and circumcision")</f>
        <v>Content Batl_khas how to address problems, mostly against women, such as harassment and circumcision</v>
      </c>
      <c r="D839" s="9">
        <v>1</v>
      </c>
      <c r="E839" s="3">
        <v>0</v>
      </c>
    </row>
    <row r="840" spans="1:5" ht="15.75" customHeight="1" x14ac:dyDescent="0.2">
      <c r="A840" s="2">
        <v>3465</v>
      </c>
      <c r="B840" s="3" t="s">
        <v>776</v>
      </c>
      <c r="C840" s="4" t="str">
        <f ca="1">IFERROR(__xludf.DUMMYFUNCTION("GOOGLETRANSLATE(B840,""ar"",""en"")"),"The content of women's rights, which deposed her husband")</f>
        <v>The content of women's rights, which deposed her husband</v>
      </c>
      <c r="D840" s="5">
        <v>1</v>
      </c>
      <c r="E840" s="3">
        <v>0</v>
      </c>
    </row>
    <row r="841" spans="1:5" ht="15.75" customHeight="1" x14ac:dyDescent="0.2">
      <c r="A841" s="6">
        <v>3488</v>
      </c>
      <c r="B841" s="7" t="s">
        <v>777</v>
      </c>
      <c r="C841" s="8" t="str">
        <f ca="1">IFERROR(__xludf.DUMMYFUNCTION("GOOGLETRANSLATE(B841,""ar"",""en"")"),"The six Ml_khashm Maaconc all focus guy but is showing her violin and care of herself and Baaalha and the evolution of their likelihood")</f>
        <v>The six Ml_khashm Maaconc all focus guy but is showing her violin and care of herself and Baaalha and the evolution of their likelihood</v>
      </c>
      <c r="D841" s="9">
        <v>1</v>
      </c>
      <c r="E841" s="3">
        <v>0</v>
      </c>
    </row>
    <row r="842" spans="1:5" ht="15.75" customHeight="1" x14ac:dyDescent="0.2">
      <c r="A842" s="2">
        <v>3492</v>
      </c>
      <c r="B842" s="3" t="s">
        <v>778</v>
      </c>
      <c r="C842" s="4" t="str">
        <f ca="1">IFERROR(__xludf.DUMMYFUNCTION("GOOGLETRANSLATE(B842,""ar"",""en"")"),"For underage marriage and female genital mutilation")</f>
        <v>For underage marriage and female genital mutilation</v>
      </c>
      <c r="D842" s="5">
        <v>1</v>
      </c>
      <c r="E842" s="3">
        <v>0</v>
      </c>
    </row>
    <row r="843" spans="1:5" ht="15.75" customHeight="1" x14ac:dyDescent="0.2">
      <c r="A843" s="6">
        <v>3494</v>
      </c>
      <c r="B843" s="7" t="s">
        <v>779</v>
      </c>
      <c r="C843" s="8" t="str">
        <f ca="1">IFERROR(__xludf.DUMMYFUNCTION("GOOGLETRANSLATE(B843,""ar"",""en"")"),"Circumcision of women's rights and the importance of girls' education work")</f>
        <v>Circumcision of women's rights and the importance of girls' education work</v>
      </c>
      <c r="D843" s="9">
        <v>1</v>
      </c>
      <c r="E843" s="3">
        <v>0</v>
      </c>
    </row>
    <row r="844" spans="1:5" ht="15.75" customHeight="1" x14ac:dyDescent="0.2">
      <c r="A844" s="2">
        <v>3495</v>
      </c>
      <c r="B844" s="3" t="s">
        <v>780</v>
      </c>
      <c r="C844" s="4" t="str">
        <f ca="1">IFERROR(__xludf.DUMMYFUNCTION("GOOGLETRANSLATE(B844,""ar"",""en"")"),"What do we face the stop of violence against women")</f>
        <v>What do we face the stop of violence against women</v>
      </c>
      <c r="D844" s="5">
        <v>1</v>
      </c>
      <c r="E844" s="3">
        <v>0</v>
      </c>
    </row>
    <row r="845" spans="1:5" ht="15.75" customHeight="1" x14ac:dyDescent="0.2">
      <c r="A845" s="6">
        <v>3506</v>
      </c>
      <c r="B845" s="7" t="s">
        <v>781</v>
      </c>
      <c r="C845" s="8" t="str">
        <f ca="1">IFERROR(__xludf.DUMMYFUNCTION("GOOGLETRANSLATE(B845,""ar"",""en"")"),"Child molestation")</f>
        <v>Child molestation</v>
      </c>
      <c r="D845" s="9">
        <v>1</v>
      </c>
      <c r="E845" s="3">
        <v>0</v>
      </c>
    </row>
    <row r="846" spans="1:5" ht="15.75" customHeight="1" x14ac:dyDescent="0.2">
      <c r="A846" s="2">
        <v>3508</v>
      </c>
      <c r="B846" s="3" t="s">
        <v>782</v>
      </c>
      <c r="C846" s="4" t="str">
        <f ca="1">IFERROR(__xludf.DUMMYFUNCTION("GOOGLETRANSLATE(B846,""ar"",""en"")"),"Harassment and problems of marriage and-law")</f>
        <v>Harassment and problems of marriage and-law</v>
      </c>
      <c r="D846" s="5">
        <v>1</v>
      </c>
      <c r="E846" s="3">
        <v>0</v>
      </c>
    </row>
    <row r="847" spans="1:5" ht="15.75" customHeight="1" x14ac:dyDescent="0.2">
      <c r="A847" s="6">
        <v>3512</v>
      </c>
      <c r="B847" s="7" t="s">
        <v>783</v>
      </c>
      <c r="C847" s="8" t="str">
        <f ca="1">IFERROR(__xludf.DUMMYFUNCTION("GOOGLETRANSLATE(B847,""ar"",""en"")"),"The need for family courts and vision")</f>
        <v>The need for family courts and vision</v>
      </c>
      <c r="D847" s="9">
        <v>1</v>
      </c>
      <c r="E847" s="3">
        <v>0</v>
      </c>
    </row>
    <row r="848" spans="1:5" ht="15.75" customHeight="1" x14ac:dyDescent="0.2">
      <c r="A848" s="2">
        <v>3516</v>
      </c>
      <c r="B848" s="3" t="s">
        <v>784</v>
      </c>
      <c r="C848" s="4" t="str">
        <f ca="1">IFERROR(__xludf.DUMMYFUNCTION("GOOGLETRANSLATE(B848,""ar"",""en"")"),"His throat for choosing a husband and his throat rejection mortification and work")</f>
        <v>His throat for choosing a husband and his throat rejection mortification and work</v>
      </c>
      <c r="D848" s="5">
        <v>1</v>
      </c>
      <c r="E848" s="3">
        <v>0</v>
      </c>
    </row>
    <row r="849" spans="1:5" ht="15.75" customHeight="1" x14ac:dyDescent="0.2">
      <c r="A849" s="6">
        <v>3517</v>
      </c>
      <c r="B849" s="7" t="s">
        <v>785</v>
      </c>
      <c r="C849" s="8" t="str">
        <f ca="1">IFERROR(__xludf.DUMMYFUNCTION("GOOGLETRANSLATE(B849,""ar"",""en"")"),"Was once the episode talking Elly possible Atqal from one side and Babaky risk index in the negative relationship was the Tanih workshop on pluralism and the presence of wife Tanih")</f>
        <v>Was once the episode talking Elly possible Atqal from one side and Babaky risk index in the negative relationship was the Tanih workshop on pluralism and the presence of wife Tanih</v>
      </c>
      <c r="D849" s="9">
        <v>1</v>
      </c>
      <c r="E849" s="3">
        <v>0</v>
      </c>
    </row>
    <row r="850" spans="1:5" ht="15.75" customHeight="1" x14ac:dyDescent="0.2">
      <c r="A850" s="2">
        <v>3519</v>
      </c>
      <c r="B850" s="3" t="s">
        <v>786</v>
      </c>
      <c r="C850" s="4" t="str">
        <f ca="1">IFERROR(__xludf.DUMMYFUNCTION("GOOGLETRANSLATE(B850,""ar"",""en"")"),"Ownership of the apartment .... Domestic Violence")</f>
        <v>Ownership of the apartment .... Domestic Violence</v>
      </c>
      <c r="D850" s="5">
        <v>1</v>
      </c>
      <c r="E850" s="3">
        <v>0</v>
      </c>
    </row>
    <row r="851" spans="1:5" ht="15.75" customHeight="1" x14ac:dyDescent="0.2">
      <c r="A851" s="6">
        <v>3521</v>
      </c>
      <c r="B851" s="7" t="s">
        <v>787</v>
      </c>
      <c r="C851" s="8" t="str">
        <f ca="1">IFERROR(__xludf.DUMMYFUNCTION("GOOGLETRANSLATE(B851,""ar"",""en"")"),"Excerpts from custody law and vision of harassment, including harassment and e-paragraphs d. Nihad at sixes program Mabierfush Akdboa")</f>
        <v>Excerpts from custody law and vision of harassment, including harassment and e-paragraphs d. Nihad at sixes program Mabierfush Akdboa</v>
      </c>
      <c r="D851" s="9">
        <v>1</v>
      </c>
      <c r="E851" s="3">
        <v>0</v>
      </c>
    </row>
    <row r="852" spans="1:5" ht="15.75" customHeight="1" x14ac:dyDescent="0.2">
      <c r="A852" s="2">
        <v>3523</v>
      </c>
      <c r="B852" s="3" t="s">
        <v>788</v>
      </c>
      <c r="C852" s="4" t="str">
        <f ca="1">IFERROR(__xludf.DUMMYFUNCTION("GOOGLETRANSLATE(B852,""ar"",""en"")"),"Cifa series addresses all levels")</f>
        <v>Cifa series addresses all levels</v>
      </c>
      <c r="D852" s="5">
        <v>1</v>
      </c>
      <c r="E852" s="3">
        <v>0</v>
      </c>
    </row>
    <row r="853" spans="1:5" ht="15.75" customHeight="1" x14ac:dyDescent="0.2">
      <c r="A853" s="6">
        <v>3526</v>
      </c>
      <c r="B853" s="7" t="s">
        <v>789</v>
      </c>
      <c r="C853" s="8" t="str">
        <f ca="1">IFERROR(__xludf.DUMMYFUNCTION("GOOGLETRANSLATE(B853,""ar"",""en"")"),"... Personal rape cases ... child custody")</f>
        <v>... Personal rape cases ... child custody</v>
      </c>
      <c r="D853" s="9">
        <v>1</v>
      </c>
      <c r="E853" s="3">
        <v>0</v>
      </c>
    </row>
    <row r="854" spans="1:5" ht="15.75" customHeight="1" x14ac:dyDescent="0.2">
      <c r="A854" s="2">
        <v>3530</v>
      </c>
      <c r="B854" s="3" t="s">
        <v>790</v>
      </c>
      <c r="C854" s="4" t="str">
        <f ca="1">IFERROR(__xludf.DUMMYFUNCTION("GOOGLETRANSLATE(B854,""ar"",""en"")"),"Bihol reached the brain and people in their own way")</f>
        <v>Bihol reached the brain and people in their own way</v>
      </c>
      <c r="D854" s="5">
        <v>1</v>
      </c>
      <c r="E854" s="3">
        <v>0</v>
      </c>
    </row>
    <row r="855" spans="1:5" ht="15.75" customHeight="1" x14ac:dyDescent="0.2">
      <c r="A855" s="6">
        <v>3533</v>
      </c>
      <c r="B855" s="7" t="s">
        <v>791</v>
      </c>
      <c r="C855" s="8" t="str">
        <f ca="1">IFERROR(__xludf.DUMMYFUNCTION("GOOGLETRANSLATE(B855,""ar"",""en"")"),"Social program for women's rights")</f>
        <v>Social program for women's rights</v>
      </c>
      <c r="D855" s="9">
        <v>1</v>
      </c>
      <c r="E855" s="3">
        <v>0</v>
      </c>
    </row>
    <row r="856" spans="1:5" ht="15.75" customHeight="1" x14ac:dyDescent="0.2">
      <c r="A856" s="2">
        <v>3542</v>
      </c>
      <c r="B856" s="3" t="s">
        <v>792</v>
      </c>
      <c r="C856" s="4" t="str">
        <f ca="1">IFERROR(__xludf.DUMMYFUNCTION("GOOGLETRANSLATE(B856,""ar"",""en"")"),"Qzaih women")</f>
        <v>Qzaih women</v>
      </c>
      <c r="D856" s="5">
        <v>1</v>
      </c>
      <c r="E856" s="3">
        <v>0</v>
      </c>
    </row>
    <row r="857" spans="1:5" ht="15.75" customHeight="1" x14ac:dyDescent="0.2">
      <c r="A857" s="6">
        <v>3547</v>
      </c>
      <c r="B857" s="7" t="s">
        <v>22</v>
      </c>
      <c r="C857" s="8" t="str">
        <f ca="1">IFERROR(__xludf.DUMMYFUNCTION("GOOGLETRANSLATE(B857,""ar"",""en"")"),"Harassment")</f>
        <v>Harassment</v>
      </c>
      <c r="D857" s="9">
        <v>1</v>
      </c>
      <c r="E857" s="3">
        <v>0</v>
      </c>
    </row>
    <row r="858" spans="1:5" ht="15.75" customHeight="1" x14ac:dyDescent="0.2">
      <c r="A858" s="2">
        <v>3549</v>
      </c>
      <c r="B858" s="3" t="s">
        <v>17</v>
      </c>
      <c r="C858" s="4" t="str">
        <f ca="1">IFERROR(__xludf.DUMMYFUNCTION("GOOGLETRANSLATE(B858,""ar"",""en"")"),"female mutilation")</f>
        <v>female mutilation</v>
      </c>
      <c r="D858" s="5">
        <v>1</v>
      </c>
      <c r="E858" s="3">
        <v>0</v>
      </c>
    </row>
    <row r="859" spans="1:5" ht="15.75" customHeight="1" x14ac:dyDescent="0.2">
      <c r="A859" s="6">
        <v>3552</v>
      </c>
      <c r="B859" s="7" t="s">
        <v>793</v>
      </c>
      <c r="C859" s="8" t="str">
        <f ca="1">IFERROR(__xludf.DUMMYFUNCTION("GOOGLETRANSLATE(B859,""ar"",""en"")"),"Harassment and custody and maintenance")</f>
        <v>Harassment and custody and maintenance</v>
      </c>
      <c r="D859" s="9">
        <v>1</v>
      </c>
      <c r="E859" s="3">
        <v>0</v>
      </c>
    </row>
    <row r="860" spans="1:5" ht="15.75" customHeight="1" x14ac:dyDescent="0.2">
      <c r="A860" s="2">
        <v>3554</v>
      </c>
      <c r="B860" s="3" t="s">
        <v>794</v>
      </c>
      <c r="C860" s="4" t="str">
        <f ca="1">IFERROR(__xludf.DUMMYFUNCTION("GOOGLETRANSLATE(B860,""ar"",""en"")"),"Harassment circumcision divorce and negative effects of divorce and krone harassment at work")</f>
        <v>Harassment circumcision divorce and negative effects of divorce and krone harassment at work</v>
      </c>
      <c r="D860" s="5">
        <v>1</v>
      </c>
      <c r="E860" s="3">
        <v>0</v>
      </c>
    </row>
    <row r="861" spans="1:5" ht="15.75" customHeight="1" x14ac:dyDescent="0.2">
      <c r="A861" s="6">
        <v>3559</v>
      </c>
      <c r="B861" s="7" t="s">
        <v>795</v>
      </c>
      <c r="C861" s="8" t="str">
        <f ca="1">IFERROR(__xludf.DUMMYFUNCTION("GOOGLETRANSLATE(B861,""ar"",""en"")"),"Second marriage")</f>
        <v>Second marriage</v>
      </c>
      <c r="D861" s="9">
        <v>1</v>
      </c>
      <c r="E861" s="3">
        <v>0</v>
      </c>
    </row>
    <row r="862" spans="1:5" ht="15.75" customHeight="1" x14ac:dyDescent="0.2">
      <c r="A862" s="2">
        <v>3564</v>
      </c>
      <c r="B862" s="3" t="s">
        <v>796</v>
      </c>
      <c r="C862" s="4" t="str">
        <f ca="1">IFERROR(__xludf.DUMMYFUNCTION("GOOGLETRANSLATE(B862,""ar"",""en"")"),"Trendat common issues related to women, such as harassment")</f>
        <v>Trendat common issues related to women, such as harassment</v>
      </c>
      <c r="D862" s="5">
        <v>1</v>
      </c>
      <c r="E862" s="3">
        <v>0</v>
      </c>
    </row>
    <row r="863" spans="1:5" ht="15.75" customHeight="1" x14ac:dyDescent="0.2">
      <c r="A863" s="6">
        <v>3565</v>
      </c>
      <c r="B863" s="7" t="s">
        <v>797</v>
      </c>
      <c r="C863" s="8" t="str">
        <f ca="1">IFERROR(__xludf.DUMMYFUNCTION("GOOGLETRANSLATE(B863,""ar"",""en"")"),"Circumcision issues of inheritance harassment alimony women subjected to beatings")</f>
        <v>Circumcision issues of inheritance harassment alimony women subjected to beatings</v>
      </c>
      <c r="D863" s="9">
        <v>1</v>
      </c>
      <c r="E863" s="3">
        <v>0</v>
      </c>
    </row>
    <row r="864" spans="1:5" ht="15.75" customHeight="1" x14ac:dyDescent="0.2">
      <c r="A864" s="2">
        <v>3567</v>
      </c>
      <c r="B864" s="3" t="s">
        <v>798</v>
      </c>
      <c r="C864" s="4" t="str">
        <f ca="1">IFERROR(__xludf.DUMMYFUNCTION("GOOGLETRANSLATE(B864,""ar"",""en"")"),"Harassment and genital mutilation and divorce and filled female")</f>
        <v>Harassment and genital mutilation and divorce and filled female</v>
      </c>
      <c r="D864" s="5">
        <v>1</v>
      </c>
      <c r="E864" s="3">
        <v>0</v>
      </c>
    </row>
    <row r="865" spans="1:5" ht="15.75" customHeight="1" x14ac:dyDescent="0.2">
      <c r="A865" s="6">
        <v>3568</v>
      </c>
      <c r="B865" s="7" t="s">
        <v>799</v>
      </c>
      <c r="C865" s="8" t="str">
        <f ca="1">IFERROR(__xludf.DUMMYFUNCTION("GOOGLETRANSLATE(B865,""ar"",""en"")"),"Rights and support women in violations of women's right")</f>
        <v>Rights and support women in violations of women's right</v>
      </c>
      <c r="D865" s="9">
        <v>1</v>
      </c>
      <c r="E865" s="3">
        <v>0</v>
      </c>
    </row>
    <row r="866" spans="1:5" ht="15.75" customHeight="1" x14ac:dyDescent="0.2">
      <c r="A866" s="2">
        <v>3571</v>
      </c>
      <c r="B866" s="3" t="s">
        <v>800</v>
      </c>
      <c r="C866" s="4" t="str">
        <f ca="1">IFERROR(__xludf.DUMMYFUNCTION("GOOGLETRANSLATE(B866,""ar"",""en"")"),"Was in an episode of Worldwide's second wife and other episodes for men only")</f>
        <v>Was in an episode of Worldwide's second wife and other episodes for men only</v>
      </c>
      <c r="D866" s="5">
        <v>1</v>
      </c>
      <c r="E866" s="3">
        <v>0</v>
      </c>
    </row>
    <row r="867" spans="1:5" ht="15.75" customHeight="1" x14ac:dyDescent="0.2">
      <c r="A867" s="6">
        <v>3572</v>
      </c>
      <c r="B867" s="7" t="s">
        <v>801</v>
      </c>
      <c r="C867" s="8" t="str">
        <f ca="1">IFERROR(__xludf.DUMMYFUNCTION("GOOGLETRANSLATE(B867,""ar"",""en"")"),"Harassment. Veil")</f>
        <v>Harassment. Veil</v>
      </c>
      <c r="D867" s="9">
        <v>1</v>
      </c>
      <c r="E867" s="3">
        <v>0</v>
      </c>
    </row>
    <row r="868" spans="1:5" ht="15.75" customHeight="1" x14ac:dyDescent="0.2">
      <c r="A868" s="2">
        <v>3574</v>
      </c>
      <c r="B868" s="3" t="s">
        <v>802</v>
      </c>
      <c r="C868" s="4" t="str">
        <f ca="1">IFERROR(__xludf.DUMMYFUNCTION("GOOGLETRANSLATE(B868,""ar"",""en"")"),"Women's rights and some legal problems")</f>
        <v>Women's rights and some legal problems</v>
      </c>
      <c r="D868" s="5">
        <v>1</v>
      </c>
      <c r="E868" s="3">
        <v>0</v>
      </c>
    </row>
    <row r="869" spans="1:5" ht="15.75" customHeight="1" x14ac:dyDescent="0.2">
      <c r="A869" s="6">
        <v>3575</v>
      </c>
      <c r="B869" s="7" t="s">
        <v>803</v>
      </c>
      <c r="C869" s="8" t="str">
        <f ca="1">IFERROR(__xludf.DUMMYFUNCTION("GOOGLETRANSLATE(B869,""ar"",""en"")"),"Awareness meaningful content discusses the legal rights of individuals as us and what we")</f>
        <v>Awareness meaningful content discusses the legal rights of individuals as us and what we</v>
      </c>
      <c r="D869" s="9">
        <v>1</v>
      </c>
      <c r="E869" s="3">
        <v>0</v>
      </c>
    </row>
    <row r="870" spans="1:5" ht="15.75" customHeight="1" x14ac:dyDescent="0.2">
      <c r="A870" s="2">
        <v>3583</v>
      </c>
      <c r="B870" s="3" t="s">
        <v>804</v>
      </c>
      <c r="C870" s="4" t="str">
        <f ca="1">IFERROR(__xludf.DUMMYFUNCTION("GOOGLETRANSLATE(B870,""ar"",""en"")"),"Importance of employment, harassment in employment rape, female genital mutilation")</f>
        <v>Importance of employment, harassment in employment rape, female genital mutilation</v>
      </c>
      <c r="D870" s="5">
        <v>1</v>
      </c>
      <c r="E870" s="3">
        <v>0</v>
      </c>
    </row>
    <row r="871" spans="1:5" ht="15.75" customHeight="1" x14ac:dyDescent="0.2">
      <c r="A871" s="6">
        <v>3585</v>
      </c>
      <c r="B871" s="7" t="s">
        <v>805</v>
      </c>
      <c r="C871" s="8" t="str">
        <f ca="1">IFERROR(__xludf.DUMMYFUNCTION("GOOGLETRANSLATE(B871,""ar"",""en"")"),"The woman needed reward herself on her efforts")</f>
        <v>The woman needed reward herself on her efforts</v>
      </c>
      <c r="D871" s="9">
        <v>1</v>
      </c>
      <c r="E871" s="3">
        <v>0</v>
      </c>
    </row>
    <row r="872" spans="1:5" ht="15.75" customHeight="1" x14ac:dyDescent="0.2">
      <c r="A872" s="2">
        <v>3586</v>
      </c>
      <c r="B872" s="3" t="s">
        <v>806</v>
      </c>
      <c r="C872" s="4" t="str">
        <f ca="1">IFERROR(__xludf.DUMMYFUNCTION("GOOGLETRANSLATE(B872,""ar"",""en"")"),"Workshops on women and their rights, harassment and Kasai defend itself. The estimated harassment from the right thing for taking or violence Ha")</f>
        <v>Workshops on women and their rights, harassment and Kasai defend itself. The estimated harassment from the right thing for taking or violence Ha</v>
      </c>
      <c r="D872" s="5">
        <v>1</v>
      </c>
      <c r="E872" s="3">
        <v>0</v>
      </c>
    </row>
    <row r="873" spans="1:5" ht="15.75" customHeight="1" x14ac:dyDescent="0.2">
      <c r="A873" s="6">
        <v>3587</v>
      </c>
      <c r="B873" s="7" t="s">
        <v>219</v>
      </c>
      <c r="C873" s="8" t="str">
        <f ca="1">IFERROR(__xludf.DUMMYFUNCTION("GOOGLETRANSLATE(B873,""ar"",""en"")"),"Excellent")</f>
        <v>Excellent</v>
      </c>
      <c r="D873" s="9">
        <v>1</v>
      </c>
      <c r="E873" s="7">
        <v>1</v>
      </c>
    </row>
    <row r="874" spans="1:5" ht="15.75" customHeight="1" x14ac:dyDescent="0.2">
      <c r="A874" s="2">
        <v>3592</v>
      </c>
      <c r="B874" s="3" t="s">
        <v>807</v>
      </c>
      <c r="C874" s="4" t="str">
        <f ca="1">IFERROR(__xludf.DUMMYFUNCTION("GOOGLETRANSLATE(B874,""ar"",""en"")"),"Alkhtan- domestic violence during Alchorona- stop violence Althrashwalaghtsab- Kasai")</f>
        <v>Alkhtan- domestic violence during Alchorona- stop violence Althrashwalaghtsab- Kasai</v>
      </c>
      <c r="D874" s="5">
        <v>1</v>
      </c>
      <c r="E874" s="3">
        <v>0</v>
      </c>
    </row>
    <row r="875" spans="1:5" ht="15.75" customHeight="1" x14ac:dyDescent="0.2">
      <c r="A875" s="6">
        <v>3596</v>
      </c>
      <c r="B875" s="7" t="s">
        <v>808</v>
      </c>
      <c r="C875" s="8" t="str">
        <f ca="1">IFERROR(__xludf.DUMMYFUNCTION("GOOGLETRANSLATE(B875,""ar"",""en"")"),"Supports Alemraeh rights and dramatically")</f>
        <v>Supports Alemraeh rights and dramatically</v>
      </c>
      <c r="D875" s="9">
        <v>1</v>
      </c>
      <c r="E875" s="3">
        <v>0</v>
      </c>
    </row>
    <row r="876" spans="1:5" ht="15.75" customHeight="1" x14ac:dyDescent="0.2">
      <c r="A876" s="2">
        <v>3598</v>
      </c>
      <c r="B876" s="3" t="s">
        <v>809</v>
      </c>
      <c r="C876" s="4" t="str">
        <f ca="1">IFERROR(__xludf.DUMMYFUNCTION("GOOGLETRANSLATE(B876,""ar"",""en"")"),"Alkhtan.qzaia Alaghtsab.ahm in Egypt, two women")</f>
        <v>Alkhtan.qzaia Alaghtsab.ahm in Egypt, two women</v>
      </c>
      <c r="D876" s="5">
        <v>1</v>
      </c>
      <c r="E876" s="3">
        <v>0</v>
      </c>
    </row>
    <row r="877" spans="1:5" ht="15.75" customHeight="1" x14ac:dyDescent="0.2">
      <c r="A877" s="6">
        <v>3600</v>
      </c>
      <c r="B877" s="7" t="s">
        <v>810</v>
      </c>
      <c r="C877" s="8" t="str">
        <f ca="1">IFERROR(__xludf.DUMMYFUNCTION("GOOGLETRANSLATE(B877,""ar"",""en"")"),"Awareness of women's rights legal and social")</f>
        <v>Awareness of women's rights legal and social</v>
      </c>
      <c r="D877" s="9">
        <v>1</v>
      </c>
      <c r="E877" s="3">
        <v>0</v>
      </c>
    </row>
    <row r="878" spans="1:5" ht="15.75" customHeight="1" x14ac:dyDescent="0.2">
      <c r="A878" s="2">
        <v>3604</v>
      </c>
      <c r="B878" s="3" t="s">
        <v>548</v>
      </c>
      <c r="C878" s="4" t="str">
        <f ca="1">IFERROR(__xludf.DUMMYFUNCTION("GOOGLETRANSLATE(B878,""ar"",""en"")"),"Women's rights")</f>
        <v>Women's rights</v>
      </c>
      <c r="D878" s="5">
        <v>1</v>
      </c>
      <c r="E878" s="3">
        <v>0</v>
      </c>
    </row>
    <row r="879" spans="1:5" ht="15.75" customHeight="1" x14ac:dyDescent="0.2">
      <c r="A879" s="6">
        <v>3629</v>
      </c>
      <c r="B879" s="7" t="s">
        <v>811</v>
      </c>
      <c r="C879" s="8" t="str">
        <f ca="1">IFERROR(__xludf.DUMMYFUNCTION("GOOGLETRANSLATE(B879,""ar"",""en"")"),"Violence against women Aktar ring liked so")</f>
        <v>Violence against women Aktar ring liked so</v>
      </c>
      <c r="D879" s="9">
        <v>1</v>
      </c>
      <c r="E879" s="3">
        <v>0</v>
      </c>
    </row>
    <row r="880" spans="1:5" ht="15.75" customHeight="1" x14ac:dyDescent="0.2">
      <c r="A880" s="2">
        <v>3630</v>
      </c>
      <c r="B880" s="3" t="s">
        <v>812</v>
      </c>
      <c r="C880" s="4" t="str">
        <f ca="1">IFERROR(__xludf.DUMMYFUNCTION("GOOGLETRANSLATE(B880,""ar"",""en"")"),". The case of Fairmont")</f>
        <v>. The case of Fairmont</v>
      </c>
      <c r="D880" s="5">
        <v>1</v>
      </c>
      <c r="E880" s="3">
        <v>0</v>
      </c>
    </row>
    <row r="881" spans="1:5" ht="15.75" customHeight="1" x14ac:dyDescent="0.2">
      <c r="A881" s="6">
        <v>3631</v>
      </c>
      <c r="B881" s="7" t="s">
        <v>813</v>
      </c>
      <c r="C881" s="8" t="str">
        <f ca="1">IFERROR(__xludf.DUMMYFUNCTION("GOOGLETRANSLATE(B881,""ar"",""en"")"),"I'm free, open rape case Fairmont")</f>
        <v>I'm free, open rape case Fairmont</v>
      </c>
      <c r="D881" s="9">
        <v>1</v>
      </c>
      <c r="E881" s="3">
        <v>0</v>
      </c>
    </row>
    <row r="882" spans="1:5" ht="15.75" customHeight="1" x14ac:dyDescent="0.2">
      <c r="A882" s="2">
        <v>3636</v>
      </c>
      <c r="B882" s="3" t="s">
        <v>814</v>
      </c>
      <c r="C882" s="4" t="str">
        <f ca="1">IFERROR(__xludf.DUMMYFUNCTION("GOOGLETRANSLATE(B882,""ar"",""en"")"),"The man treated the stories of tragic beatings and humiliation wives under the pretext that the wife Provocative")</f>
        <v>The man treated the stories of tragic beatings and humiliation wives under the pretext that the wife Provocative</v>
      </c>
      <c r="D882" s="5">
        <v>1</v>
      </c>
      <c r="E882" s="3">
        <v>0</v>
      </c>
    </row>
    <row r="883" spans="1:5" ht="15.75" customHeight="1" x14ac:dyDescent="0.2">
      <c r="A883" s="6">
        <v>3640</v>
      </c>
      <c r="B883" s="7" t="s">
        <v>815</v>
      </c>
      <c r="C883" s="8" t="str">
        <f ca="1">IFERROR(__xludf.DUMMYFUNCTION("GOOGLETRANSLATE(B883,""ar"",""en"")"),"Real Benefit legal rights of women and support them in case of any help needed")</f>
        <v>Real Benefit legal rights of women and support them in case of any help needed</v>
      </c>
      <c r="D883" s="9">
        <v>1</v>
      </c>
      <c r="E883" s="3">
        <v>0</v>
      </c>
    </row>
    <row r="884" spans="1:5" ht="15.75" customHeight="1" x14ac:dyDescent="0.2">
      <c r="A884" s="2">
        <v>3641</v>
      </c>
      <c r="B884" s="3" t="s">
        <v>816</v>
      </c>
      <c r="C884" s="4" t="str">
        <f ca="1">IFERROR(__xludf.DUMMYFUNCTION("GOOGLETRANSLATE(B884,""ar"",""en"")"),"The problems that most of the houses of Egypt went")</f>
        <v>The problems that most of the houses of Egypt went</v>
      </c>
      <c r="D884" s="5">
        <v>1</v>
      </c>
      <c r="E884" s="3">
        <v>0</v>
      </c>
    </row>
    <row r="885" spans="1:5" ht="15.75" customHeight="1" x14ac:dyDescent="0.2">
      <c r="A885" s="6">
        <v>3651</v>
      </c>
      <c r="B885" s="7" t="s">
        <v>817</v>
      </c>
      <c r="C885" s="8" t="str">
        <f ca="1">IFERROR(__xludf.DUMMYFUNCTION("GOOGLETRANSLATE(B885,""ar"",""en"")"),"Violence against women at a time Koruna")</f>
        <v>Violence against women at a time Koruna</v>
      </c>
      <c r="D885" s="9">
        <v>1</v>
      </c>
      <c r="E885" s="3">
        <v>0</v>
      </c>
    </row>
    <row r="886" spans="1:5" ht="15.75" customHeight="1" x14ac:dyDescent="0.2">
      <c r="A886" s="2">
        <v>3658</v>
      </c>
      <c r="B886" s="3" t="s">
        <v>818</v>
      </c>
      <c r="C886" s="4" t="str">
        <f ca="1">IFERROR(__xludf.DUMMYFUNCTION("GOOGLETRANSLATE(B886,""ar"",""en"")"),"Quality problems and rights of women")</f>
        <v>Quality problems and rights of women</v>
      </c>
      <c r="D886" s="5">
        <v>1</v>
      </c>
      <c r="E886" s="3">
        <v>0</v>
      </c>
    </row>
    <row r="887" spans="1:5" ht="15.75" customHeight="1" x14ac:dyDescent="0.2">
      <c r="A887" s="6">
        <v>3664</v>
      </c>
      <c r="B887" s="7" t="s">
        <v>819</v>
      </c>
      <c r="C887" s="8" t="str">
        <f ca="1">IFERROR(__xludf.DUMMYFUNCTION("GOOGLETRANSLATE(B887,""ar"",""en"")"),"The issues of inheritance and divorce Khqouk women and the problems of children")</f>
        <v>The issues of inheritance and divorce Khqouk women and the problems of children</v>
      </c>
      <c r="D887" s="9">
        <v>1</v>
      </c>
      <c r="E887" s="3">
        <v>0</v>
      </c>
    </row>
    <row r="888" spans="1:5" ht="15.75" customHeight="1" x14ac:dyDescent="0.2">
      <c r="A888" s="2">
        <v>3666</v>
      </c>
      <c r="B888" s="3" t="s">
        <v>820</v>
      </c>
      <c r="C888" s="4" t="str">
        <f ca="1">IFERROR(__xludf.DUMMYFUNCTION("GOOGLETRANSLATE(B888,""ar"",""en"")"),"The episode about women's issues and her work in the community")</f>
        <v>The episode about women's issues and her work in the community</v>
      </c>
      <c r="D888" s="5">
        <v>1</v>
      </c>
      <c r="E888" s="3">
        <v>0</v>
      </c>
    </row>
    <row r="889" spans="1:5" ht="15.75" customHeight="1" x14ac:dyDescent="0.2">
      <c r="A889" s="6">
        <v>3669</v>
      </c>
      <c r="B889" s="7" t="s">
        <v>821</v>
      </c>
      <c r="C889" s="8" t="str">
        <f ca="1">IFERROR(__xludf.DUMMYFUNCTION("GOOGLETRANSLATE(B889,""ar"",""en"")"),"The situation of women, violence, and child-rearing")</f>
        <v>The situation of women, violence, and child-rearing</v>
      </c>
      <c r="D889" s="9">
        <v>1</v>
      </c>
      <c r="E889" s="3">
        <v>0</v>
      </c>
    </row>
    <row r="890" spans="1:5" ht="15.75" customHeight="1" x14ac:dyDescent="0.2">
      <c r="A890" s="2">
        <v>3685</v>
      </c>
      <c r="B890" s="3" t="s">
        <v>822</v>
      </c>
      <c r="C890" s="4" t="str">
        <f ca="1">IFERROR(__xludf.DUMMYFUNCTION("GOOGLETRANSLATE(B890,""ar"",""en"")"),"Workshops on harassment of women")</f>
        <v>Workshops on harassment of women</v>
      </c>
      <c r="D890" s="5">
        <v>1</v>
      </c>
      <c r="E890" s="3">
        <v>0</v>
      </c>
    </row>
    <row r="891" spans="1:5" ht="15.75" customHeight="1" x14ac:dyDescent="0.2">
      <c r="A891" s="6">
        <v>3700</v>
      </c>
      <c r="B891" s="7" t="s">
        <v>823</v>
      </c>
      <c r="C891" s="8" t="str">
        <f ca="1">IFERROR(__xludf.DUMMYFUNCTION("GOOGLETRANSLATE(B891,""ar"",""en"")"),"Family Law")</f>
        <v>Family Law</v>
      </c>
      <c r="D891" s="9">
        <v>1</v>
      </c>
      <c r="E891" s="3">
        <v>0</v>
      </c>
    </row>
    <row r="892" spans="1:5" ht="15.75" customHeight="1" x14ac:dyDescent="0.2">
      <c r="A892" s="2">
        <v>3708</v>
      </c>
      <c r="B892" s="3" t="s">
        <v>824</v>
      </c>
      <c r="C892" s="4" t="str">
        <f ca="1">IFERROR(__xludf.DUMMYFUNCTION("GOOGLETRANSLATE(B892,""ar"",""en"")"),"Include answering some of the questions of legal viewers")</f>
        <v>Include answering some of the questions of legal viewers</v>
      </c>
      <c r="D892" s="5">
        <v>1</v>
      </c>
      <c r="E892" s="3">
        <v>0</v>
      </c>
    </row>
    <row r="893" spans="1:5" ht="15.75" customHeight="1" x14ac:dyDescent="0.2">
      <c r="A893" s="6">
        <v>3709</v>
      </c>
      <c r="B893" s="7" t="s">
        <v>825</v>
      </c>
      <c r="C893" s="8" t="str">
        <f ca="1">IFERROR(__xludf.DUMMYFUNCTION("GOOGLETRANSLATE(B893,""ar"",""en"")"),"Harassment and violence against women and women's work and Kasai reconcile her home and her work")</f>
        <v>Harassment and violence against women and women's work and Kasai reconcile her home and her work</v>
      </c>
      <c r="D893" s="9">
        <v>1</v>
      </c>
      <c r="E893" s="3">
        <v>0</v>
      </c>
    </row>
    <row r="894" spans="1:5" ht="15.75" customHeight="1" x14ac:dyDescent="0.2">
      <c r="A894" s="2">
        <v>3713</v>
      </c>
      <c r="B894" s="3" t="s">
        <v>826</v>
      </c>
      <c r="C894" s="4" t="str">
        <f ca="1">IFERROR(__xludf.DUMMYFUNCTION("GOOGLETRANSLATE(B894,""ar"",""en"")"),"It was about time-use even after 45 years")</f>
        <v>It was about time-use even after 45 years</v>
      </c>
      <c r="D894" s="5">
        <v>1</v>
      </c>
      <c r="E894" s="3">
        <v>0</v>
      </c>
    </row>
    <row r="895" spans="1:5" ht="15.75" customHeight="1" x14ac:dyDescent="0.2">
      <c r="A895" s="6">
        <v>3717</v>
      </c>
      <c r="B895" s="7" t="s">
        <v>133</v>
      </c>
      <c r="C895" s="8" t="str">
        <f ca="1">IFERROR(__xludf.DUMMYFUNCTION("GOOGLETRANSLATE(B895,""ar"",""en"")"),"Harassment")</f>
        <v>Harassment</v>
      </c>
      <c r="D895" s="9">
        <v>1</v>
      </c>
      <c r="E895" s="3">
        <v>0</v>
      </c>
    </row>
    <row r="896" spans="1:5" ht="15.75" customHeight="1" x14ac:dyDescent="0.2">
      <c r="A896" s="2">
        <v>3722</v>
      </c>
      <c r="B896" s="3" t="s">
        <v>827</v>
      </c>
      <c r="C896" s="4" t="str">
        <f ca="1">IFERROR(__xludf.DUMMYFUNCTION("GOOGLETRANSLATE(B896,""ar"",""en"")"),"Important and fill Pallaivadh")</f>
        <v>Important and fill Pallaivadh</v>
      </c>
      <c r="D896" s="9">
        <v>1</v>
      </c>
      <c r="E896" s="7">
        <v>1</v>
      </c>
    </row>
    <row r="897" spans="1:5" ht="15.75" customHeight="1" x14ac:dyDescent="0.2">
      <c r="A897" s="6">
        <v>3724</v>
      </c>
      <c r="B897" s="7" t="s">
        <v>828</v>
      </c>
      <c r="C897" s="8" t="str">
        <f ca="1">IFERROR(__xludf.DUMMYFUNCTION("GOOGLETRANSLATE(B897,""ar"",""en"")"),"Circumcision of violence against women")</f>
        <v>Circumcision of violence against women</v>
      </c>
      <c r="D897" s="9">
        <v>1</v>
      </c>
      <c r="E897" s="3">
        <v>0</v>
      </c>
    </row>
    <row r="898" spans="1:5" ht="15.75" customHeight="1" x14ac:dyDescent="0.2">
      <c r="A898" s="2">
        <v>3727</v>
      </c>
      <c r="B898" s="3" t="s">
        <v>829</v>
      </c>
      <c r="C898" s="4" t="str">
        <f ca="1">IFERROR(__xludf.DUMMYFUNCTION("GOOGLETRANSLATE(B898,""ar"",""en"")"),"Habitus about harassment and how the confrontation and the violin from the fact that harassment is a crime, and her veil and our daughters about the two types of Kasai and Kasai estimated facing harasser in our society")</f>
        <v>Habitus about harassment and how the confrontation and the violin from the fact that harassment is a crime, and her veil and our daughters about the two types of Kasai and Kasai estimated facing harasser in our society</v>
      </c>
      <c r="D898" s="5">
        <v>1</v>
      </c>
      <c r="E898" s="3">
        <v>0</v>
      </c>
    </row>
    <row r="899" spans="1:5" ht="15.75" customHeight="1" x14ac:dyDescent="0.2">
      <c r="A899" s="6">
        <v>3733</v>
      </c>
      <c r="B899" s="7" t="s">
        <v>830</v>
      </c>
      <c r="C899" s="8" t="str">
        <f ca="1">IFERROR(__xludf.DUMMYFUNCTION("GOOGLETRANSLATE(B899,""ar"",""en"")"),"His throat was almost early marriage")</f>
        <v>His throat was almost early marriage</v>
      </c>
      <c r="D899" s="9">
        <v>1</v>
      </c>
      <c r="E899" s="3">
        <v>0</v>
      </c>
    </row>
    <row r="900" spans="1:5" ht="15.75" customHeight="1" x14ac:dyDescent="0.2">
      <c r="A900" s="2">
        <v>3736</v>
      </c>
      <c r="B900" s="3" t="s">
        <v>831</v>
      </c>
      <c r="C900" s="4" t="str">
        <f ca="1">IFERROR(__xludf.DUMMYFUNCTION("GOOGLETRANSLATE(B900,""ar"",""en"")"),"Respectable content and addresses all categories")</f>
        <v>Respectable content and addresses all categories</v>
      </c>
      <c r="D900" s="5">
        <v>1</v>
      </c>
      <c r="E900" s="3">
        <v>0</v>
      </c>
    </row>
    <row r="901" spans="1:5" ht="15.75" customHeight="1" x14ac:dyDescent="0.2">
      <c r="A901" s="6">
        <v>3755</v>
      </c>
      <c r="B901" s="7" t="s">
        <v>832</v>
      </c>
      <c r="C901" s="8" t="str">
        <f ca="1">IFERROR(__xludf.DUMMYFUNCTION("GOOGLETRANSLATE(B901,""ar"",""en"")"),"Good content, especially women's issues")</f>
        <v>Good content, especially women's issues</v>
      </c>
      <c r="D901" s="9">
        <v>1</v>
      </c>
      <c r="E901" s="3">
        <v>0</v>
      </c>
    </row>
    <row r="902" spans="1:5" ht="15.75" customHeight="1" x14ac:dyDescent="0.2">
      <c r="A902" s="2">
        <v>3757</v>
      </c>
      <c r="B902" s="3" t="s">
        <v>833</v>
      </c>
      <c r="C902" s="4" t="str">
        <f ca="1">IFERROR(__xludf.DUMMYFUNCTION("GOOGLETRANSLATE(B902,""ar"",""en"")"),"The difference between divorce and divorce .anv against women.")</f>
        <v>The difference between divorce and divorce .anv against women.</v>
      </c>
      <c r="D902" s="5">
        <v>1</v>
      </c>
      <c r="E902" s="3">
        <v>0</v>
      </c>
    </row>
    <row r="903" spans="1:5" ht="15.75" customHeight="1" x14ac:dyDescent="0.2">
      <c r="A903" s="6">
        <v>3758</v>
      </c>
      <c r="B903" s="7" t="s">
        <v>834</v>
      </c>
      <c r="C903" s="8" t="str">
        <f ca="1">IFERROR(__xludf.DUMMYFUNCTION("GOOGLETRANSLATE(B903,""ar"",""en"")"),"Workshops on domestic violence and how to deal with harassment and workshops")</f>
        <v>Workshops on domestic violence and how to deal with harassment and workshops</v>
      </c>
      <c r="D903" s="9">
        <v>1</v>
      </c>
      <c r="E903" s="3">
        <v>0</v>
      </c>
    </row>
    <row r="904" spans="1:5" ht="15.75" customHeight="1" x14ac:dyDescent="0.2">
      <c r="A904" s="2">
        <v>3761</v>
      </c>
      <c r="B904" s="3" t="s">
        <v>835</v>
      </c>
      <c r="C904" s="4" t="str">
        <f ca="1">IFERROR(__xludf.DUMMYFUNCTION("GOOGLETRANSLATE(B904,""ar"",""en"")"),"Neat")</f>
        <v>Neat</v>
      </c>
      <c r="D904" s="5">
        <v>1</v>
      </c>
      <c r="E904" s="3">
        <v>0</v>
      </c>
    </row>
    <row r="905" spans="1:5" ht="15.75" customHeight="1" x14ac:dyDescent="0.2">
      <c r="A905" s="6">
        <v>3764</v>
      </c>
      <c r="B905" s="7" t="s">
        <v>836</v>
      </c>
      <c r="C905" s="8" t="str">
        <f ca="1">IFERROR(__xludf.DUMMYFUNCTION("GOOGLETRANSLATE(B905,""ar"",""en"")"),"Violence against women-female circumcision -")</f>
        <v>Violence against women-female circumcision -</v>
      </c>
      <c r="D905" s="9">
        <v>1</v>
      </c>
      <c r="E905" s="3">
        <v>0</v>
      </c>
    </row>
    <row r="906" spans="1:5" ht="15.75" customHeight="1" x14ac:dyDescent="0.2">
      <c r="A906" s="2">
        <v>3768</v>
      </c>
      <c r="B906" s="3" t="s">
        <v>837</v>
      </c>
      <c r="C906" s="4" t="str">
        <f ca="1">IFERROR(__xludf.DUMMYFUNCTION("GOOGLETRANSLATE(B906,""ar"",""en"")"),"Women from home and work projects and the ministry, which supports small projects as a public or business")</f>
        <v>Women from home and work projects and the ministry, which supports small projects as a public or business</v>
      </c>
      <c r="D906" s="5">
        <v>1</v>
      </c>
      <c r="E906" s="3">
        <v>0</v>
      </c>
    </row>
    <row r="907" spans="1:5" ht="15.75" customHeight="1" x14ac:dyDescent="0.2">
      <c r="A907" s="6">
        <v>3770</v>
      </c>
      <c r="B907" s="7" t="s">
        <v>838</v>
      </c>
      <c r="C907" s="8" t="str">
        <f ca="1">IFERROR(__xludf.DUMMYFUNCTION("GOOGLETRANSLATE(B907,""ar"",""en"")"),"Problems Pt_khas women and let Ptarafna deal how to get the Amaaha")</f>
        <v>Problems Pt_khas women and let Ptarafna deal how to get the Amaaha</v>
      </c>
      <c r="D907" s="9">
        <v>1</v>
      </c>
      <c r="E907" s="3">
        <v>0</v>
      </c>
    </row>
    <row r="908" spans="1:5" ht="15.75" customHeight="1" x14ac:dyDescent="0.2">
      <c r="A908" s="2">
        <v>3778</v>
      </c>
      <c r="B908" s="3" t="s">
        <v>839</v>
      </c>
      <c r="C908" s="4" t="str">
        <f ca="1">IFERROR(__xludf.DUMMYFUNCTION("GOOGLETRANSLATE(B908,""ar"",""en"")"),"Interesting and useful")</f>
        <v>Interesting and useful</v>
      </c>
      <c r="D908" s="9">
        <v>1</v>
      </c>
      <c r="E908" s="7">
        <v>1</v>
      </c>
    </row>
    <row r="909" spans="1:5" ht="15.75" customHeight="1" x14ac:dyDescent="0.2">
      <c r="A909" s="6">
        <v>3780</v>
      </c>
      <c r="B909" s="7" t="s">
        <v>840</v>
      </c>
      <c r="C909" s="8" t="str">
        <f ca="1">IFERROR(__xludf.DUMMYFUNCTION("GOOGLETRANSLATE(B909,""ar"",""en"")"),"Harassment and how to confront it means legal, negative energy, domestic violence and Corona virus")</f>
        <v>Harassment and how to confront it means legal, negative energy, domestic violence and Corona virus</v>
      </c>
      <c r="D909" s="9">
        <v>1</v>
      </c>
      <c r="E909" s="3">
        <v>0</v>
      </c>
    </row>
    <row r="910" spans="1:5" ht="15.75" customHeight="1" x14ac:dyDescent="0.2">
      <c r="A910" s="2">
        <v>3782</v>
      </c>
      <c r="B910" s="3" t="s">
        <v>841</v>
      </c>
      <c r="C910" s="4" t="str">
        <f ca="1">IFERROR(__xludf.DUMMYFUNCTION("GOOGLETRANSLATE(B910,""ar"",""en"")"),"At the age of forty sixes ... Stat of the job ... beating and taunting the Stat ...")</f>
        <v>At the age of forty sixes ... Stat of the job ... beating and taunting the Stat ...</v>
      </c>
      <c r="D910" s="5">
        <v>1</v>
      </c>
      <c r="E910" s="3">
        <v>0</v>
      </c>
    </row>
    <row r="911" spans="1:5" ht="15.75" customHeight="1" x14ac:dyDescent="0.2">
      <c r="A911" s="6">
        <v>3783</v>
      </c>
      <c r="B911" s="7" t="s">
        <v>842</v>
      </c>
      <c r="C911" s="8" t="str">
        <f ca="1">IFERROR(__xludf.DUMMYFUNCTION("GOOGLETRANSLATE(B911,""ar"",""en"")"),"Harassment of new colleagues and how to exploit new colleagues and try to harass the importance of the job in the life of a married woman and Kasai I appreciate the job and more satisfactory between the house (my husband and children)")</f>
        <v>Harassment of new colleagues and how to exploit new colleagues and try to harass the importance of the job in the life of a married woman and Kasai I appreciate the job and more satisfactory between the house (my husband and children)</v>
      </c>
      <c r="D911" s="9">
        <v>1</v>
      </c>
      <c r="E911" s="3">
        <v>0</v>
      </c>
    </row>
    <row r="912" spans="1:5" ht="15.75" customHeight="1" x14ac:dyDescent="0.2">
      <c r="A912" s="2">
        <v>3784</v>
      </c>
      <c r="B912" s="3" t="s">
        <v>843</v>
      </c>
      <c r="C912" s="4" t="str">
        <f ca="1">IFERROR(__xludf.DUMMYFUNCTION("GOOGLETRANSLATE(B912,""ar"",""en"")"),"Harassment and women's rights")</f>
        <v>Harassment and women's rights</v>
      </c>
      <c r="D912" s="5">
        <v>1</v>
      </c>
      <c r="E912" s="3">
        <v>0</v>
      </c>
    </row>
    <row r="913" spans="1:5" ht="15.75" customHeight="1" x14ac:dyDescent="0.2">
      <c r="A913" s="6">
        <v>3787</v>
      </c>
      <c r="B913" s="7" t="s">
        <v>844</v>
      </c>
      <c r="C913" s="8" t="str">
        <f ca="1">IFERROR(__xludf.DUMMYFUNCTION("GOOGLETRANSLATE(B913,""ar"",""en"")"),"Vdyohat on August Alwats violence against women Corona virus and the impact on domestic violence and Ante mesh on your own")</f>
        <v>Vdyohat on August Alwats violence against women Corona virus and the impact on domestic violence and Ante mesh on your own</v>
      </c>
      <c r="D913" s="9">
        <v>1</v>
      </c>
      <c r="E913" s="3">
        <v>0</v>
      </c>
    </row>
    <row r="914" spans="1:5" ht="15.75" customHeight="1" x14ac:dyDescent="0.2">
      <c r="A914" s="2">
        <v>3789</v>
      </c>
      <c r="B914" s="3" t="s">
        <v>845</v>
      </c>
      <c r="C914" s="4" t="str">
        <f ca="1">IFERROR(__xludf.DUMMYFUNCTION("GOOGLETRANSLATE(B914,""ar"",""en"")"),"Worldwide episode on violence against women")</f>
        <v>Worldwide episode on violence against women</v>
      </c>
      <c r="D914" s="5">
        <v>1</v>
      </c>
      <c r="E914" s="3">
        <v>0</v>
      </c>
    </row>
    <row r="915" spans="1:5" ht="15.75" customHeight="1" x14ac:dyDescent="0.2">
      <c r="A915" s="6">
        <v>3792</v>
      </c>
      <c r="B915" s="7" t="s">
        <v>846</v>
      </c>
      <c r="C915" s="8" t="str">
        <f ca="1">IFERROR(__xludf.DUMMYFUNCTION("GOOGLETRANSLATE(B915,""ar"",""en"")"),"Inheritance / female circumcision")</f>
        <v>Inheritance / female circumcision</v>
      </c>
      <c r="D915" s="9">
        <v>1</v>
      </c>
      <c r="E915" s="3">
        <v>0</v>
      </c>
    </row>
    <row r="916" spans="1:5" ht="15.75" customHeight="1" x14ac:dyDescent="0.2">
      <c r="A916" s="2">
        <v>3801</v>
      </c>
      <c r="B916" s="3" t="s">
        <v>847</v>
      </c>
      <c r="C916" s="4" t="str">
        <f ca="1">IFERROR(__xludf.DUMMYFUNCTION("GOOGLETRANSLATE(B916,""ar"",""en"")"),"Harassment at work, Ahmahalchgl House and female circumcision and the difference between divorce and divorce and the impact of the corona virus on increasing domestic violence")</f>
        <v>Harassment at work, Ahmahalchgl House and female circumcision and the difference between divorce and divorce and the impact of the corona virus on increasing domestic violence</v>
      </c>
      <c r="D916" s="5">
        <v>1</v>
      </c>
      <c r="E916" s="3">
        <v>0</v>
      </c>
    </row>
    <row r="917" spans="1:5" ht="15.75" customHeight="1" x14ac:dyDescent="0.2">
      <c r="A917" s="6">
        <v>3802</v>
      </c>
      <c r="B917" s="7" t="s">
        <v>848</v>
      </c>
      <c r="C917" s="8" t="str">
        <f ca="1">IFERROR(__xludf.DUMMYFUNCTION("GOOGLETRANSLATE(B917,""ar"",""en"")"),"Female genital mutilation, harassment")</f>
        <v>Female genital mutilation, harassment</v>
      </c>
      <c r="D917" s="9">
        <v>1</v>
      </c>
      <c r="E917" s="3">
        <v>0</v>
      </c>
    </row>
    <row r="918" spans="1:5" ht="15.75" customHeight="1" x14ac:dyDescent="0.2">
      <c r="A918" s="2">
        <v>3806</v>
      </c>
      <c r="B918" s="3" t="s">
        <v>849</v>
      </c>
      <c r="C918" s="4" t="str">
        <f ca="1">IFERROR(__xludf.DUMMYFUNCTION("GOOGLETRANSLATE(B918,""ar"",""en"")"),"I heard about the inheritance law of women and on the traffic and the rights of children")</f>
        <v>I heard about the inheritance law of women and on the traffic and the rights of children</v>
      </c>
      <c r="D918" s="5">
        <v>1</v>
      </c>
      <c r="E918" s="3">
        <v>0</v>
      </c>
    </row>
    <row r="919" spans="1:5" ht="15.75" customHeight="1" x14ac:dyDescent="0.2">
      <c r="A919" s="6">
        <v>3813</v>
      </c>
      <c r="B919" s="7" t="s">
        <v>850</v>
      </c>
      <c r="C919" s="8" t="str">
        <f ca="1">IFERROR(__xludf.DUMMYFUNCTION("GOOGLETRANSLATE(B919,""ar"",""en"")"),"Female genital mutilation, the rights of divorced women, underage marriage")</f>
        <v>Female genital mutilation, the rights of divorced women, underage marriage</v>
      </c>
      <c r="D919" s="9">
        <v>1</v>
      </c>
      <c r="E919" s="3">
        <v>0</v>
      </c>
    </row>
    <row r="920" spans="1:5" ht="15.75" customHeight="1" x14ac:dyDescent="0.2">
      <c r="A920" s="2">
        <v>3818</v>
      </c>
      <c r="B920" s="3" t="s">
        <v>851</v>
      </c>
      <c r="C920" s="4" t="str">
        <f ca="1">IFERROR(__xludf.DUMMYFUNCTION("GOOGLETRANSLATE(B920,""ar"",""en"")"),"Social issues are talking about some cases of divorce and violence against women")</f>
        <v>Social issues are talking about some cases of divorce and violence against women</v>
      </c>
      <c r="D920" s="5">
        <v>1</v>
      </c>
      <c r="E920" s="3">
        <v>0</v>
      </c>
    </row>
    <row r="921" spans="1:5" ht="15.75" customHeight="1" x14ac:dyDescent="0.2">
      <c r="A921" s="6">
        <v>3819</v>
      </c>
      <c r="B921" s="7" t="s">
        <v>852</v>
      </c>
      <c r="C921" s="8" t="str">
        <f ca="1">IFERROR(__xludf.DUMMYFUNCTION("GOOGLETRANSLATE(B921,""ar"",""en"")"),"Content values ​​and useful")</f>
        <v>Content values ​​and useful</v>
      </c>
      <c r="D921" s="9">
        <v>1</v>
      </c>
      <c r="E921" s="7">
        <v>1</v>
      </c>
    </row>
    <row r="922" spans="1:5" ht="15.75" customHeight="1" x14ac:dyDescent="0.2">
      <c r="A922" s="2">
        <v>3821</v>
      </c>
      <c r="B922" s="3" t="s">
        <v>853</v>
      </c>
      <c r="C922" s="4" t="str">
        <f ca="1">IFERROR(__xludf.DUMMYFUNCTION("GOOGLETRANSLATE(B922,""ar"",""en"")"),"The role of the family in the upbringing of the child and laze understand the concept of virility and create footmen cooperation and understanding means A life of matrimonial Qaamh Ali entangling, cooperation, understanding, equality and non-recourse to v"&amp;"iolence with Alemraeh and dealing laze if violence happened against Alemraeh and the most important means available asylum guardian")</f>
        <v>The role of the family in the upbringing of the child and laze understand the concept of virility and create footmen cooperation and understanding means A life of matrimonial Qaamh Ali entangling, cooperation, understanding, equality and non-recourse to violence with Alemraeh and dealing laze if violence happened against Alemraeh and the most important means available asylum guardian</v>
      </c>
      <c r="D922" s="5">
        <v>1</v>
      </c>
      <c r="E922" s="3">
        <v>0</v>
      </c>
    </row>
    <row r="923" spans="1:5" ht="15.75" customHeight="1" x14ac:dyDescent="0.2">
      <c r="A923" s="6">
        <v>3823</v>
      </c>
      <c r="B923" s="7" t="s">
        <v>854</v>
      </c>
      <c r="C923" s="8" t="str">
        <f ca="1">IFERROR(__xludf.DUMMYFUNCTION("GOOGLETRANSLATE(B923,""ar"",""en"")"),"Tales of variety")</f>
        <v>Tales of variety</v>
      </c>
      <c r="D923" s="9">
        <v>1</v>
      </c>
      <c r="E923" s="3">
        <v>0</v>
      </c>
    </row>
    <row r="924" spans="1:5" ht="15.75" customHeight="1" x14ac:dyDescent="0.2">
      <c r="A924" s="2">
        <v>3825</v>
      </c>
      <c r="B924" s="3" t="s">
        <v>855</v>
      </c>
      <c r="C924" s="4" t="str">
        <f ca="1">IFERROR(__xludf.DUMMYFUNCTION("GOOGLETRANSLATE(B924,""ar"",""en"")"),"Passport girls and rape cases and stop circumcision")</f>
        <v>Passport girls and rape cases and stop circumcision</v>
      </c>
      <c r="D924" s="5">
        <v>1</v>
      </c>
      <c r="E924" s="3">
        <v>0</v>
      </c>
    </row>
    <row r="925" spans="1:5" ht="15.75" customHeight="1" x14ac:dyDescent="0.2">
      <c r="A925" s="6">
        <v>3828</v>
      </c>
      <c r="B925" s="7" t="s">
        <v>856</v>
      </c>
      <c r="C925" s="8" t="str">
        <f ca="1">IFERROR(__xludf.DUMMYFUNCTION("GOOGLETRANSLATE(B925,""ar"",""en"")"),"Empowerment and women's rights")</f>
        <v>Empowerment and women's rights</v>
      </c>
      <c r="D925" s="9">
        <v>1</v>
      </c>
      <c r="E925" s="3">
        <v>0</v>
      </c>
    </row>
    <row r="926" spans="1:5" ht="15.75" customHeight="1" x14ac:dyDescent="0.2">
      <c r="A926" s="2">
        <v>3830</v>
      </c>
      <c r="B926" s="3" t="s">
        <v>857</v>
      </c>
      <c r="C926" s="4" t="str">
        <f ca="1">IFERROR(__xludf.DUMMYFUNCTION("GOOGLETRANSLATE(B926,""ar"",""en"")"),"The process of female circumcision and the role of the father and mother in which the way to the cruelty of doctors in female circumcision This process is labor criminal required punishable by law because it is detrimental to the psychology of the girl Ag"&amp;"l attention to the girl and Omtabatah and Alahtma them and necessary joined Hadihimha at home mind mother sons and the province of the girl herself the role of women in society seeks to the Ge in the society role Kozerhao Tabebhao vizier school and engine"&amp;"er Tozy to Ruqai Vyalamojtma")</f>
        <v>The process of female circumcision and the role of the father and mother in which the way to the cruelty of doctors in female circumcision This process is labor criminal required punishable by law because it is detrimental to the psychology of the girl Agl attention to the girl and Omtabatah and Alahtma them and necessary joined Hadihimha at home mind mother sons and the province of the girl herself the role of women in society seeks to the Ge in the society role Kozerhao Tabebhao vizier school and engineer Tozy to Ruqai Vyalamojtma</v>
      </c>
      <c r="D926" s="5">
        <v>1</v>
      </c>
      <c r="E926" s="3">
        <v>0</v>
      </c>
    </row>
    <row r="927" spans="1:5" ht="15.75" customHeight="1" x14ac:dyDescent="0.2">
      <c r="A927" s="6">
        <v>3837</v>
      </c>
      <c r="B927" s="7" t="s">
        <v>858</v>
      </c>
      <c r="C927" s="8" t="str">
        <f ca="1">IFERROR(__xludf.DUMMYFUNCTION("GOOGLETRANSLATE(B927,""ar"",""en"")"),"We reject violence and take a legal position of repayment anyone, even if the marriage rings inheritance and maintain inheritance")</f>
        <v>We reject violence and take a legal position of repayment anyone, even if the marriage rings inheritance and maintain inheritance</v>
      </c>
      <c r="D927" s="9">
        <v>1</v>
      </c>
      <c r="E927" s="3">
        <v>0</v>
      </c>
    </row>
    <row r="928" spans="1:5" ht="15.75" customHeight="1" x14ac:dyDescent="0.2">
      <c r="A928" s="2">
        <v>3838</v>
      </c>
      <c r="B928" s="3" t="s">
        <v>491</v>
      </c>
      <c r="C928" s="4" t="str">
        <f ca="1">IFERROR(__xludf.DUMMYFUNCTION("GOOGLETRANSLATE(B928,""ar"",""en"")"),"Women's")</f>
        <v>Women's</v>
      </c>
      <c r="D928" s="5">
        <v>1</v>
      </c>
      <c r="E928" s="3">
        <v>0</v>
      </c>
    </row>
    <row r="929" spans="1:5" ht="15.75" customHeight="1" x14ac:dyDescent="0.2">
      <c r="A929" s="6">
        <v>3844</v>
      </c>
      <c r="B929" s="7" t="s">
        <v>859</v>
      </c>
      <c r="C929" s="8" t="str">
        <f ca="1">IFERROR(__xludf.DUMMYFUNCTION("GOOGLETRANSLATE(B929,""ar"",""en"")"),"His throat was that what the six home Evdha it needed showing the owners care about their own CDDA mean")</f>
        <v>His throat was that what the six home Evdha it needed showing the owners care about their own CDDA mean</v>
      </c>
      <c r="D929" s="9">
        <v>1</v>
      </c>
      <c r="E929" s="3">
        <v>0</v>
      </c>
    </row>
    <row r="930" spans="1:5" ht="15.75" customHeight="1" x14ac:dyDescent="0.2">
      <c r="A930" s="2">
        <v>3848</v>
      </c>
      <c r="B930" s="3" t="s">
        <v>860</v>
      </c>
      <c r="C930" s="4" t="str">
        <f ca="1">IFERROR(__xludf.DUMMYFUNCTION("GOOGLETRANSLATE(B930,""ar"",""en"")"),"His throat was the first Hovtha Worldwide rights of children scattered between divorced parents and had no job de defect in the psychological development of the child within the community, and he always Bihs that less than his peers from the kids because "&amp;"there are some problems in his life and Bacon are the main reason for which parents")</f>
        <v>His throat was the first Hovtha Worldwide rights of children scattered between divorced parents and had no job de defect in the psychological development of the child within the community, and he always Bihs that less than his peers from the kids because there are some problems in his life and Bacon are the main reason for which parents</v>
      </c>
      <c r="D930" s="5">
        <v>1</v>
      </c>
      <c r="E930" s="3">
        <v>0</v>
      </c>
    </row>
    <row r="931" spans="1:5" ht="15.75" customHeight="1" x14ac:dyDescent="0.2">
      <c r="A931" s="6">
        <v>3849</v>
      </c>
      <c r="B931" s="7" t="s">
        <v>861</v>
      </c>
      <c r="C931" s="8" t="str">
        <f ca="1">IFERROR(__xludf.DUMMYFUNCTION("GOOGLETRANSLATE(B931,""ar"",""en"")"),"For girls who written in her book Bnglt")</f>
        <v>For girls who written in her book Bnglt</v>
      </c>
      <c r="D931" s="9">
        <v>1</v>
      </c>
      <c r="E931" s="3">
        <v>0</v>
      </c>
    </row>
    <row r="932" spans="1:5" ht="15.75" customHeight="1" x14ac:dyDescent="0.2">
      <c r="A932" s="2">
        <v>3851</v>
      </c>
      <c r="B932" s="3" t="s">
        <v>862</v>
      </c>
      <c r="C932" s="4" t="str">
        <f ca="1">IFERROR(__xludf.DUMMYFUNCTION("GOOGLETRANSLATE(B932,""ar"",""en"")"),"The girl on the Worldwide Elly was written by the day before the Bs Atjozat the Wedding")</f>
        <v>The girl on the Worldwide Elly was written by the day before the Bs Atjozat the Wedding</v>
      </c>
      <c r="D932" s="5">
        <v>1</v>
      </c>
      <c r="E932" s="3">
        <v>0</v>
      </c>
    </row>
    <row r="933" spans="1:5" ht="15.75" customHeight="1" x14ac:dyDescent="0.2">
      <c r="A933" s="6">
        <v>3853</v>
      </c>
      <c r="B933" s="7" t="s">
        <v>863</v>
      </c>
      <c r="C933" s="8" t="str">
        <f ca="1">IFERROR(__xludf.DUMMYFUNCTION("GOOGLETRANSLATE(B933,""ar"",""en"")"),"Elvis Almirat..alkhtan..tathir the views of women")</f>
        <v>Elvis Almirat..alkhtan..tathir the views of women</v>
      </c>
      <c r="D933" s="9">
        <v>1</v>
      </c>
      <c r="E933" s="3">
        <v>0</v>
      </c>
    </row>
    <row r="934" spans="1:5" ht="15.75" customHeight="1" x14ac:dyDescent="0.2">
      <c r="A934" s="2">
        <v>3856</v>
      </c>
      <c r="B934" s="3" t="s">
        <v>864</v>
      </c>
      <c r="C934" s="4" t="str">
        <f ca="1">IFERROR(__xludf.DUMMYFUNCTION("GOOGLETRANSLATE(B934,""ar"",""en"")"),"What do I protect myself if subjected to harassment, and Ante be a personal Les")</f>
        <v>What do I protect myself if subjected to harassment, and Ante be a personal Les</v>
      </c>
      <c r="D934" s="5">
        <v>1</v>
      </c>
      <c r="E934" s="3">
        <v>0</v>
      </c>
    </row>
    <row r="935" spans="1:5" ht="15.75" customHeight="1" x14ac:dyDescent="0.2">
      <c r="A935" s="6">
        <v>3857</v>
      </c>
      <c r="B935" s="7" t="s">
        <v>865</v>
      </c>
      <c r="C935" s="8" t="str">
        <f ca="1">IFERROR(__xludf.DUMMYFUNCTION("GOOGLETRANSLATE(B935,""ar"",""en"")"),"Human Alemrahe")</f>
        <v>Human Alemrahe</v>
      </c>
      <c r="D935" s="9">
        <v>1</v>
      </c>
      <c r="E935" s="3">
        <v>0</v>
      </c>
    </row>
    <row r="936" spans="1:5" ht="15.75" customHeight="1" x14ac:dyDescent="0.2">
      <c r="A936" s="2">
        <v>3858</v>
      </c>
      <c r="B936" s="3" t="s">
        <v>866</v>
      </c>
      <c r="C936" s="4" t="str">
        <f ca="1">IFERROR(__xludf.DUMMYFUNCTION("GOOGLETRANSLATE(B936,""ar"",""en"")"),"sexual harassment")</f>
        <v>sexual harassment</v>
      </c>
      <c r="D936" s="5">
        <v>1</v>
      </c>
      <c r="E936" s="3">
        <v>0</v>
      </c>
    </row>
    <row r="937" spans="1:5" ht="15.75" customHeight="1" x14ac:dyDescent="0.2">
      <c r="A937" s="6">
        <v>3860</v>
      </c>
      <c r="B937" s="7" t="s">
        <v>867</v>
      </c>
      <c r="C937" s="8" t="str">
        <f ca="1">IFERROR(__xludf.DUMMYFUNCTION("GOOGLETRANSLATE(B937,""ar"",""en"")"),"Women's Issues Vzaia rents circumcision")</f>
        <v>Women's Issues Vzaia rents circumcision</v>
      </c>
      <c r="D937" s="9">
        <v>1</v>
      </c>
      <c r="E937" s="3">
        <v>0</v>
      </c>
    </row>
    <row r="938" spans="1:5" ht="15.75" customHeight="1" x14ac:dyDescent="0.2">
      <c r="A938" s="2">
        <v>3862</v>
      </c>
      <c r="B938" s="3" t="s">
        <v>868</v>
      </c>
      <c r="C938" s="4" t="str">
        <f ca="1">IFERROR(__xludf.DUMMYFUNCTION("GOOGLETRANSLATE(B938,""ar"",""en"")"),"Discuss issues of our lives in a way Btelmus communal cough and Bnfem our rights Oajptna and that the six are estimated to be the same")</f>
        <v>Discuss issues of our lives in a way Btelmus communal cough and Bnfem our rights Oajptna and that the six are estimated to be the same</v>
      </c>
      <c r="D938" s="5">
        <v>1</v>
      </c>
      <c r="E938" s="3">
        <v>0</v>
      </c>
    </row>
    <row r="939" spans="1:5" ht="15.75" customHeight="1" x14ac:dyDescent="0.2">
      <c r="A939" s="6">
        <v>3866</v>
      </c>
      <c r="B939" s="7" t="s">
        <v>869</v>
      </c>
      <c r="C939" s="8" t="str">
        <f ca="1">IFERROR(__xludf.DUMMYFUNCTION("GOOGLETRANSLATE(B939,""ar"",""en"")"),"All special issues of women")</f>
        <v>All special issues of women</v>
      </c>
      <c r="D939" s="9">
        <v>1</v>
      </c>
      <c r="E939" s="3">
        <v>0</v>
      </c>
    </row>
    <row r="940" spans="1:5" ht="15.75" customHeight="1" x14ac:dyDescent="0.2">
      <c r="A940" s="2">
        <v>3869</v>
      </c>
      <c r="B940" s="3" t="s">
        <v>870</v>
      </c>
      <c r="C940" s="4" t="str">
        <f ca="1">IFERROR(__xludf.DUMMYFUNCTION("GOOGLETRANSLATE(B940,""ar"",""en"")"),"For adverse effects for Corona virus and harassment and the young guy or stop violence")</f>
        <v>For adverse effects for Corona virus and harassment and the young guy or stop violence</v>
      </c>
      <c r="D940" s="5">
        <v>1</v>
      </c>
      <c r="E940" s="3">
        <v>0</v>
      </c>
    </row>
    <row r="941" spans="1:5" ht="15.75" customHeight="1" x14ac:dyDescent="0.2">
      <c r="A941" s="6">
        <v>3870</v>
      </c>
      <c r="B941" s="7" t="s">
        <v>871</v>
      </c>
      <c r="C941" s="8" t="str">
        <f ca="1">IFERROR(__xludf.DUMMYFUNCTION("GOOGLETRANSLATE(B941,""ar"",""en"")"),"Throat rights of the wife and underage marriage and inheritance throat")</f>
        <v>Throat rights of the wife and underage marriage and inheritance throat</v>
      </c>
      <c r="D941" s="9">
        <v>1</v>
      </c>
      <c r="E941" s="3">
        <v>0</v>
      </c>
    </row>
    <row r="942" spans="1:5" ht="15.75" customHeight="1" x14ac:dyDescent="0.2">
      <c r="A942" s="2">
        <v>3873</v>
      </c>
      <c r="B942" s="3" t="s">
        <v>872</v>
      </c>
      <c r="C942" s="4" t="str">
        <f ca="1">IFERROR(__xludf.DUMMYFUNCTION("GOOGLETRANSLATE(B942,""ar"",""en"")"),"Early marriage harassment")</f>
        <v>Early marriage harassment</v>
      </c>
      <c r="D942" s="5">
        <v>1</v>
      </c>
      <c r="E942" s="3">
        <v>0</v>
      </c>
    </row>
    <row r="943" spans="1:5" ht="15.75" customHeight="1" x14ac:dyDescent="0.2">
      <c r="A943" s="6">
        <v>3874</v>
      </c>
      <c r="B943" s="7" t="s">
        <v>873</v>
      </c>
      <c r="C943" s="8" t="str">
        <f ca="1">IFERROR(__xludf.DUMMYFUNCTION("GOOGLETRANSLATE(B943,""ar"",""en"")"),"Women's rights, legal and their treatment")</f>
        <v>Women's rights, legal and their treatment</v>
      </c>
      <c r="D943" s="9">
        <v>1</v>
      </c>
      <c r="E943" s="3">
        <v>0</v>
      </c>
    </row>
    <row r="944" spans="1:5" ht="15.75" customHeight="1" x14ac:dyDescent="0.2">
      <c r="A944" s="2">
        <v>3881</v>
      </c>
      <c r="B944" s="3" t="s">
        <v>874</v>
      </c>
      <c r="C944" s="4" t="str">
        <f ca="1">IFERROR(__xludf.DUMMYFUNCTION("GOOGLETRANSLATE(B944,""ar"",""en"")"),"Harassment response to questions and issues of viewers")</f>
        <v>Harassment response to questions and issues of viewers</v>
      </c>
      <c r="D944" s="5">
        <v>1</v>
      </c>
      <c r="E944" s="3">
        <v>0</v>
      </c>
    </row>
    <row r="945" spans="1:5" ht="15.75" customHeight="1" x14ac:dyDescent="0.2">
      <c r="A945" s="6">
        <v>3886</v>
      </c>
      <c r="B945" s="7" t="s">
        <v>875</v>
      </c>
      <c r="C945" s="8" t="str">
        <f ca="1">IFERROR(__xludf.DUMMYFUNCTION("GOOGLETRANSLATE(B945,""ar"",""en"")"),"Circumcision and beating women and other things did not remember")</f>
        <v>Circumcision and beating women and other things did not remember</v>
      </c>
      <c r="D945" s="9">
        <v>1</v>
      </c>
      <c r="E945" s="3">
        <v>0</v>
      </c>
    </row>
    <row r="946" spans="1:5" ht="15.75" customHeight="1" x14ac:dyDescent="0.2">
      <c r="A946" s="2">
        <v>3890</v>
      </c>
      <c r="B946" s="3" t="s">
        <v>876</v>
      </c>
      <c r="C946" s="4" t="str">
        <f ca="1">IFERROR(__xludf.DUMMYFUNCTION("GOOGLETRANSLATE(B946,""ar"",""en"")"),"Sexual harassment and violence against women")</f>
        <v>Sexual harassment and violence against women</v>
      </c>
      <c r="D946" s="5">
        <v>1</v>
      </c>
      <c r="E946" s="3">
        <v>0</v>
      </c>
    </row>
    <row r="947" spans="1:5" ht="15.75" customHeight="1" x14ac:dyDescent="0.2">
      <c r="A947" s="6">
        <v>3905</v>
      </c>
      <c r="B947" s="7" t="s">
        <v>877</v>
      </c>
      <c r="C947" s="8" t="str">
        <f ca="1">IFERROR(__xludf.DUMMYFUNCTION("GOOGLETRANSLATE(B947,""ar"",""en"")"),"Human Alemraep")</f>
        <v>Human Alemraep</v>
      </c>
      <c r="D947" s="9">
        <v>1</v>
      </c>
      <c r="E947" s="3">
        <v>0</v>
      </c>
    </row>
    <row r="948" spans="1:5" ht="15.75" customHeight="1" x14ac:dyDescent="0.2">
      <c r="A948" s="2">
        <v>3909</v>
      </c>
      <c r="B948" s="3" t="s">
        <v>878</v>
      </c>
      <c r="C948" s="4" t="str">
        <f ca="1">IFERROR(__xludf.DUMMYFUNCTION("GOOGLETRANSLATE(B948,""ar"",""en"")"),"Workshops on violence against women and child custody after divorce")</f>
        <v>Workshops on violence against women and child custody after divorce</v>
      </c>
      <c r="D948" s="5">
        <v>1</v>
      </c>
      <c r="E948" s="3">
        <v>0</v>
      </c>
    </row>
    <row r="949" spans="1:5" ht="15.75" customHeight="1" x14ac:dyDescent="0.2">
      <c r="A949" s="6">
        <v>3913</v>
      </c>
      <c r="B949" s="7" t="s">
        <v>879</v>
      </c>
      <c r="C949" s="8" t="str">
        <f ca="1">IFERROR(__xludf.DUMMYFUNCTION("GOOGLETRANSLATE(B949,""ar"",""en"")"),"Harassment Walworth Rights of Women Vision child")</f>
        <v>Harassment Walworth Rights of Women Vision child</v>
      </c>
      <c r="D949" s="9">
        <v>1</v>
      </c>
      <c r="E949" s="3">
        <v>0</v>
      </c>
    </row>
    <row r="950" spans="1:5" ht="15.75" customHeight="1" x14ac:dyDescent="0.2">
      <c r="A950" s="2">
        <v>3914</v>
      </c>
      <c r="B950" s="3" t="s">
        <v>880</v>
      </c>
      <c r="C950" s="4" t="str">
        <f ca="1">IFERROR(__xludf.DUMMYFUNCTION("GOOGLETRANSLATE(B950,""ar"",""en"")"),"Social content in a legal row woman oppressed")</f>
        <v>Social content in a legal row woman oppressed</v>
      </c>
      <c r="D950" s="5">
        <v>1</v>
      </c>
      <c r="E950" s="3">
        <v>0</v>
      </c>
    </row>
    <row r="951" spans="1:5" ht="15.75" customHeight="1" x14ac:dyDescent="0.2">
      <c r="A951" s="6">
        <v>3921</v>
      </c>
      <c r="B951" s="7" t="s">
        <v>881</v>
      </c>
      <c r="C951" s="8" t="str">
        <f ca="1">IFERROR(__xludf.DUMMYFUNCTION("GOOGLETRANSLATE(B951,""ar"",""en"")"),"Workshop on freedom of girls in education and it is possible to travel alone and be an important episode Kasai personal")</f>
        <v>Workshop on freedom of girls in education and it is possible to travel alone and be an important episode Kasai personal</v>
      </c>
      <c r="D951" s="9">
        <v>1</v>
      </c>
      <c r="E951" s="3">
        <v>0</v>
      </c>
    </row>
    <row r="952" spans="1:5" ht="15.75" customHeight="1" x14ac:dyDescent="0.2">
      <c r="A952" s="2">
        <v>3924</v>
      </c>
      <c r="B952" s="3" t="s">
        <v>882</v>
      </c>
      <c r="C952" s="4" t="str">
        <f ca="1">IFERROR(__xludf.DUMMYFUNCTION("GOOGLETRANSLATE(B952,""ar"",""en"")"),"Elly Vakrah I saw his throat B_rah Kasai who evacuated Huwalia respect me")</f>
        <v>Elly Vakrah I saw his throat B_rah Kasai who evacuated Huwalia respect me</v>
      </c>
      <c r="D952" s="5">
        <v>1</v>
      </c>
      <c r="E952" s="3">
        <v>0</v>
      </c>
    </row>
    <row r="953" spans="1:5" ht="15.75" customHeight="1" x14ac:dyDescent="0.2">
      <c r="A953" s="6">
        <v>3927</v>
      </c>
      <c r="B953" s="7" t="s">
        <v>883</v>
      </c>
      <c r="C953" s="8" t="str">
        <f ca="1">IFERROR(__xludf.DUMMYFUNCTION("GOOGLETRANSLATE(B953,""ar"",""en"")"),"Female genital mutilation and women's issues")</f>
        <v>Female genital mutilation and women's issues</v>
      </c>
      <c r="D953" s="9">
        <v>1</v>
      </c>
      <c r="E953" s="3">
        <v>0</v>
      </c>
    </row>
    <row r="954" spans="1:5" ht="15.75" customHeight="1" x14ac:dyDescent="0.2">
      <c r="A954" s="2">
        <v>3937</v>
      </c>
      <c r="B954" s="3" t="s">
        <v>884</v>
      </c>
      <c r="C954" s="4" t="str">
        <f ca="1">IFERROR(__xludf.DUMMYFUNCTION("GOOGLETRANSLATE(B954,""ar"",""en"")"),"About the problems faced by men and women")</f>
        <v>About the problems faced by men and women</v>
      </c>
      <c r="D954" s="5">
        <v>1</v>
      </c>
      <c r="E954" s="3">
        <v>0</v>
      </c>
    </row>
    <row r="955" spans="1:5" ht="15.75" customHeight="1" x14ac:dyDescent="0.2">
      <c r="A955" s="6">
        <v>3942</v>
      </c>
      <c r="B955" s="7" t="s">
        <v>885</v>
      </c>
      <c r="C955" s="8" t="str">
        <f ca="1">IFERROR(__xludf.DUMMYFUNCTION("GOOGLETRANSLATE(B955,""ar"",""en"")"),"Meaningful content rights and duties of women and men but women in particular")</f>
        <v>Meaningful content rights and duties of women and men but women in particular</v>
      </c>
      <c r="D955" s="9">
        <v>1</v>
      </c>
      <c r="E955" s="3">
        <v>0</v>
      </c>
    </row>
    <row r="956" spans="1:5" ht="15.75" customHeight="1" x14ac:dyDescent="0.2">
      <c r="A956" s="2">
        <v>3943</v>
      </c>
      <c r="B956" s="3" t="s">
        <v>886</v>
      </c>
      <c r="C956" s="4" t="str">
        <f ca="1">IFERROR(__xludf.DUMMYFUNCTION("GOOGLETRANSLATE(B956,""ar"",""en"")"),"His lawyer shared his stories Ptgi for women have been subjected to injustice and issues Haya accepted divorce")</f>
        <v>His lawyer shared his stories Ptgi for women have been subjected to injustice and issues Haya accepted divorce</v>
      </c>
      <c r="D956" s="5">
        <v>1</v>
      </c>
      <c r="E956" s="3">
        <v>0</v>
      </c>
    </row>
    <row r="957" spans="1:5" ht="15.75" customHeight="1" x14ac:dyDescent="0.2">
      <c r="A957" s="6">
        <v>3944</v>
      </c>
      <c r="B957" s="7" t="s">
        <v>887</v>
      </c>
      <c r="C957" s="8" t="str">
        <f ca="1">IFERROR(__xludf.DUMMYFUNCTION("GOOGLETRANSLATE(B957,""ar"",""en"")"),"How to deal with the animal")</f>
        <v>How to deal with the animal</v>
      </c>
      <c r="D957" s="9">
        <v>1</v>
      </c>
      <c r="E957" s="3">
        <v>0</v>
      </c>
    </row>
    <row r="958" spans="1:5" ht="15.75" customHeight="1" x14ac:dyDescent="0.2">
      <c r="A958" s="2">
        <v>3948</v>
      </c>
      <c r="B958" s="3" t="s">
        <v>888</v>
      </c>
      <c r="C958" s="4" t="str">
        <f ca="1">IFERROR(__xludf.DUMMYFUNCTION("GOOGLETRANSLATE(B958,""ar"",""en"")"),"Female genital mutilation and the difference between divorce and divorce and harassment of violence against women and the descent of women to work")</f>
        <v>Female genital mutilation and the difference between divorce and divorce and harassment of violence against women and the descent of women to work</v>
      </c>
      <c r="D958" s="5">
        <v>1</v>
      </c>
      <c r="E958" s="3">
        <v>0</v>
      </c>
    </row>
    <row r="959" spans="1:5" ht="15.75" customHeight="1" x14ac:dyDescent="0.2">
      <c r="A959" s="6">
        <v>3954</v>
      </c>
      <c r="B959" s="7" t="s">
        <v>889</v>
      </c>
      <c r="C959" s="8" t="str">
        <f ca="1">IFERROR(__xludf.DUMMYFUNCTION("GOOGLETRANSLATE(B959,""ar"",""en"")"),"For all the women and their rights and issues of communal important common and solve them and educate citizens")</f>
        <v>For all the women and their rights and issues of communal important common and solve them and educate citizens</v>
      </c>
      <c r="D959" s="9">
        <v>1</v>
      </c>
      <c r="E959" s="3">
        <v>0</v>
      </c>
    </row>
    <row r="960" spans="1:5" ht="15.75" customHeight="1" x14ac:dyDescent="0.2">
      <c r="A960" s="2">
        <v>3963</v>
      </c>
      <c r="B960" s="3" t="s">
        <v>890</v>
      </c>
      <c r="C960" s="4" t="str">
        <f ca="1">IFERROR(__xludf.DUMMYFUNCTION("GOOGLETRANSLATE(B960,""ar"",""en"")"),"Domestic Violence. And his throat was one that her brother Ptsol Want the text of her salary")</f>
        <v>Domestic Violence. And his throat was one that her brother Ptsol Want the text of her salary</v>
      </c>
      <c r="D960" s="5">
        <v>1</v>
      </c>
      <c r="E960" s="3">
        <v>0</v>
      </c>
    </row>
    <row r="961" spans="1:5" ht="15.75" customHeight="1" x14ac:dyDescent="0.2">
      <c r="A961" s="6">
        <v>3966</v>
      </c>
      <c r="B961" s="7" t="s">
        <v>891</v>
      </c>
      <c r="C961" s="8" t="str">
        <f ca="1">IFERROR(__xludf.DUMMYFUNCTION("GOOGLETRANSLATE(B961,""ar"",""en"")"),"Circumcision and marriage problems")</f>
        <v>Circumcision and marriage problems</v>
      </c>
      <c r="D961" s="9">
        <v>1</v>
      </c>
      <c r="E961" s="3">
        <v>0</v>
      </c>
    </row>
    <row r="962" spans="1:5" ht="15.75" customHeight="1" x14ac:dyDescent="0.2">
      <c r="A962" s="2">
        <v>3972</v>
      </c>
      <c r="B962" s="3" t="s">
        <v>892</v>
      </c>
      <c r="C962" s="4" t="str">
        <f ca="1">IFERROR(__xludf.DUMMYFUNCTION("GOOGLETRANSLATE(B962,""ar"",""en"")"),"It was about divorce and months preparing")</f>
        <v>It was about divorce and months preparing</v>
      </c>
      <c r="D962" s="5">
        <v>1</v>
      </c>
      <c r="E962" s="3">
        <v>0</v>
      </c>
    </row>
    <row r="963" spans="1:5" ht="15.75" customHeight="1" x14ac:dyDescent="0.2">
      <c r="A963" s="6">
        <v>3976</v>
      </c>
      <c r="B963" s="7" t="s">
        <v>893</v>
      </c>
      <c r="C963" s="8" t="str">
        <f ca="1">IFERROR(__xludf.DUMMYFUNCTION("GOOGLETRANSLATE(B963,""ar"",""en"")"),"And problems solved by law")</f>
        <v>And problems solved by law</v>
      </c>
      <c r="D963" s="9">
        <v>1</v>
      </c>
      <c r="E963" s="3">
        <v>0</v>
      </c>
    </row>
    <row r="964" spans="1:5" ht="15.75" customHeight="1" x14ac:dyDescent="0.2">
      <c r="A964" s="2">
        <v>3978</v>
      </c>
      <c r="B964" s="3" t="s">
        <v>894</v>
      </c>
      <c r="C964" s="4" t="str">
        <f ca="1">IFERROR(__xludf.DUMMYFUNCTION("GOOGLETRANSLATE(B964,""ar"",""en"")"),"Legal advice and topics related to women's empowerment")</f>
        <v>Legal advice and topics related to women's empowerment</v>
      </c>
      <c r="D964" s="5">
        <v>1</v>
      </c>
      <c r="E964" s="3">
        <v>0</v>
      </c>
    </row>
    <row r="965" spans="1:5" ht="15.75" customHeight="1" x14ac:dyDescent="0.2">
      <c r="A965" s="6">
        <v>3982</v>
      </c>
      <c r="B965" s="7" t="s">
        <v>895</v>
      </c>
      <c r="C965" s="8" t="str">
        <f ca="1">IFERROR(__xludf.DUMMYFUNCTION("GOOGLETRANSLATE(B965,""ar"",""en"")"),"Bahdv content to raise awareness of their rights of Egyptian women")</f>
        <v>Bahdv content to raise awareness of their rights of Egyptian women</v>
      </c>
      <c r="D965" s="9">
        <v>1</v>
      </c>
      <c r="E965" s="3">
        <v>0</v>
      </c>
    </row>
    <row r="966" spans="1:5" ht="15.75" customHeight="1" x14ac:dyDescent="0.2">
      <c r="A966" s="2">
        <v>3983</v>
      </c>
      <c r="B966" s="3" t="s">
        <v>896</v>
      </c>
      <c r="C966" s="4" t="str">
        <f ca="1">IFERROR(__xludf.DUMMYFUNCTION("GOOGLETRANSLATE(B966,""ar"",""en"")"),"Circumcision of girls Alrjalh Ayza from us any inheritance")</f>
        <v>Circumcision of girls Alrjalh Ayza from us any inheritance</v>
      </c>
      <c r="D966" s="5">
        <v>1</v>
      </c>
      <c r="E966" s="3">
        <v>0</v>
      </c>
    </row>
    <row r="967" spans="1:5" ht="15.75" customHeight="1" x14ac:dyDescent="0.2">
      <c r="A967" s="6">
        <v>3987</v>
      </c>
      <c r="B967" s="7" t="s">
        <v>897</v>
      </c>
      <c r="C967" s="8" t="str">
        <f ca="1">IFERROR(__xludf.DUMMYFUNCTION("GOOGLETRANSLATE(B967,""ar"",""en"")"),"Mesh Baraf express or really Whitmn Describe the Bs Alemraep Rights Program")</f>
        <v>Mesh Baraf express or really Whitmn Describe the Bs Alemraep Rights Program</v>
      </c>
      <c r="D967" s="9">
        <v>1</v>
      </c>
      <c r="E967" s="3">
        <v>0</v>
      </c>
    </row>
    <row r="968" spans="1:5" ht="15.75" customHeight="1" x14ac:dyDescent="0.2">
      <c r="A968" s="2">
        <v>3989</v>
      </c>
      <c r="B968" s="3" t="s">
        <v>898</v>
      </c>
      <c r="C968" s="4" t="str">
        <f ca="1">IFERROR(__xludf.DUMMYFUNCTION("GOOGLETRANSLATE(B968,""ar"",""en"")"),"Female circumcision _ scolding and beating women _ harassment of women and children")</f>
        <v>Female circumcision _ scolding and beating women _ harassment of women and children</v>
      </c>
      <c r="D968" s="5">
        <v>1</v>
      </c>
      <c r="E968" s="3">
        <v>0</v>
      </c>
    </row>
    <row r="969" spans="1:5" ht="15.75" customHeight="1" x14ac:dyDescent="0.2">
      <c r="A969" s="6">
        <v>4000</v>
      </c>
      <c r="B969" s="7" t="s">
        <v>742</v>
      </c>
      <c r="C969" s="8" t="str">
        <f ca="1">IFERROR(__xludf.DUMMYFUNCTION("GOOGLETRANSLATE(B969,""ar"",""en"")"),"The criminalization of female genital mutilation")</f>
        <v>The criminalization of female genital mutilation</v>
      </c>
      <c r="D969" s="9">
        <v>1</v>
      </c>
      <c r="E969" s="3">
        <v>0</v>
      </c>
    </row>
    <row r="970" spans="1:5" ht="15.75" customHeight="1" x14ac:dyDescent="0.2">
      <c r="A970" s="6">
        <v>1143</v>
      </c>
      <c r="B970" s="7" t="s">
        <v>259</v>
      </c>
      <c r="C970" s="8" t="str">
        <f ca="1">IFERROR(__xludf.DUMMYFUNCTION("GOOGLETRANSLATE(B267,""ar"",""en"")"),"Including some of the problems that were faced by women and which I remember well the issue of female circumcision and jurisprudence and case work and some of the problems that were exposed to views such as the woman who married for love and then began he"&amp;"r difference on the job and hit and influenced by her brothers and sisters girls from the situation and its impact on the sister who wanted to travel, and others")</f>
        <v>Including some of the problems that were faced by women and which I remember well the issue of female circumcision and jurisprudence and case work and some of the problems that were exposed to views such as the woman who married for love and then began her difference on the job and hit and influenced by her brothers and sisters girls from the situation and its impact on the sister who wanted to travel, and others</v>
      </c>
      <c r="D970" s="9">
        <v>1</v>
      </c>
      <c r="E970" s="3">
        <v>0</v>
      </c>
    </row>
    <row r="971" spans="1:5" ht="15.75" customHeight="1" x14ac:dyDescent="0.2">
      <c r="A971" s="6">
        <v>4009</v>
      </c>
      <c r="B971" s="7" t="s">
        <v>900</v>
      </c>
      <c r="C971" s="8" t="str">
        <f ca="1">IFERROR(__xludf.DUMMYFUNCTION("GOOGLETRANSLATE(B971,""ar"",""en"")"),"The problem of girls and the Internet")</f>
        <v>The problem of girls and the Internet</v>
      </c>
      <c r="D971" s="9">
        <v>1</v>
      </c>
      <c r="E971" s="3">
        <v>0</v>
      </c>
    </row>
    <row r="972" spans="1:5" ht="15.75" customHeight="1" x14ac:dyDescent="0.2">
      <c r="A972" s="2">
        <v>4016</v>
      </c>
      <c r="B972" s="3" t="s">
        <v>901</v>
      </c>
      <c r="C972" s="4" t="str">
        <f ca="1">IFERROR(__xludf.DUMMYFUNCTION("GOOGLETRANSLATE(B972,""ar"",""en"")"),"Frankly, meaningful and accurate content and learning first Er who Btaatkelmy it and a sweet way and the violin for you Ptamly CDDA Ahabh da mesh Ashan no need for your presence and Alfdtina")</f>
        <v>Frankly, meaningful and accurate content and learning first Er who Btaatkelmy it and a sweet way and the violin for you Ptamly CDDA Ahabh da mesh Ashan no need for your presence and Alfdtina</v>
      </c>
      <c r="D972" s="9">
        <v>1</v>
      </c>
      <c r="E972" s="7">
        <v>1</v>
      </c>
    </row>
    <row r="973" spans="1:5" ht="15.75" customHeight="1" x14ac:dyDescent="0.2">
      <c r="A973" s="6">
        <v>4021</v>
      </c>
      <c r="B973" s="7" t="s">
        <v>902</v>
      </c>
      <c r="C973" s="8" t="str">
        <f ca="1">IFERROR(__xludf.DUMMYFUNCTION("GOOGLETRANSLATE(B973,""ar"",""en"")"),"And resolving problems for women")</f>
        <v>And resolving problems for women</v>
      </c>
      <c r="D973" s="9">
        <v>1</v>
      </c>
      <c r="E973" s="3">
        <v>0</v>
      </c>
    </row>
    <row r="974" spans="1:5" ht="15.75" customHeight="1" x14ac:dyDescent="0.2">
      <c r="A974" s="2">
        <v>4027</v>
      </c>
      <c r="B974" s="3" t="s">
        <v>903</v>
      </c>
      <c r="C974" s="4" t="str">
        <f ca="1">IFERROR(__xludf.DUMMYFUNCTION("GOOGLETRANSLATE(B974,""ar"",""en"")"),"Harassment episodes of female genital mutilation")</f>
        <v>Harassment episodes of female genital mutilation</v>
      </c>
      <c r="D974" s="5">
        <v>1</v>
      </c>
      <c r="E974" s="3">
        <v>0</v>
      </c>
    </row>
    <row r="975" spans="1:5" ht="15.75" customHeight="1" x14ac:dyDescent="0.2">
      <c r="A975" s="6">
        <v>4041</v>
      </c>
      <c r="B975" s="7" t="s">
        <v>904</v>
      </c>
      <c r="C975" s="8" t="str">
        <f ca="1">IFERROR(__xludf.DUMMYFUNCTION("GOOGLETRANSLATE(B975,""ar"",""en"")"),"Useful values")</f>
        <v>Useful values</v>
      </c>
      <c r="D975" s="9">
        <v>1</v>
      </c>
      <c r="E975" s="7">
        <v>1</v>
      </c>
    </row>
    <row r="976" spans="1:5" ht="15.75" customHeight="1" x14ac:dyDescent="0.2">
      <c r="A976" s="2">
        <v>4044</v>
      </c>
      <c r="B976" s="3" t="s">
        <v>905</v>
      </c>
      <c r="C976" s="4" t="str">
        <f ca="1">IFERROR(__xludf.DUMMYFUNCTION("GOOGLETRANSLATE(B976,""ar"",""en"")"),"The rights of women is the marriage")</f>
        <v>The rights of women is the marriage</v>
      </c>
      <c r="D976" s="5">
        <v>1</v>
      </c>
      <c r="E976" s="3">
        <v>0</v>
      </c>
    </row>
    <row r="977" spans="1:5" ht="15.75" customHeight="1" x14ac:dyDescent="0.2">
      <c r="A977" s="6">
        <v>4047</v>
      </c>
      <c r="B977" s="7" t="s">
        <v>906</v>
      </c>
      <c r="C977" s="8" t="str">
        <f ca="1">IFERROR(__xludf.DUMMYFUNCTION("GOOGLETRANSLATE(B977,""ar"",""en"")"),"As fanatically Mbhovc veterans")</f>
        <v>As fanatically Mbhovc veterans</v>
      </c>
      <c r="D977" s="9">
        <v>1</v>
      </c>
      <c r="E977" s="3">
        <v>0</v>
      </c>
    </row>
    <row r="978" spans="1:5" ht="15.75" customHeight="1" x14ac:dyDescent="0.2">
      <c r="A978" s="2">
        <v>4054</v>
      </c>
      <c r="B978" s="3" t="s">
        <v>98</v>
      </c>
      <c r="C978" s="4" t="str">
        <f ca="1">IFERROR(__xludf.DUMMYFUNCTION("GOOGLETRANSLATE(B978,""ar"",""en"")"),"Divorce")</f>
        <v>Divorce</v>
      </c>
      <c r="D978" s="5">
        <v>1</v>
      </c>
      <c r="E978" s="3">
        <v>0</v>
      </c>
    </row>
    <row r="979" spans="1:5" ht="15.75" customHeight="1" x14ac:dyDescent="0.2">
      <c r="A979" s="6">
        <v>4060</v>
      </c>
      <c r="B979" s="7" t="s">
        <v>907</v>
      </c>
      <c r="C979" s="8" t="str">
        <f ca="1">IFERROR(__xludf.DUMMYFUNCTION("GOOGLETRANSLATE(B979,""ar"",""en"")"),"One of differences couples")</f>
        <v>One of differences couples</v>
      </c>
      <c r="D979" s="9">
        <v>1</v>
      </c>
      <c r="E979" s="3">
        <v>0</v>
      </c>
    </row>
    <row r="980" spans="1:5" ht="15.75" customHeight="1" x14ac:dyDescent="0.2">
      <c r="A980" s="2">
        <v>4071</v>
      </c>
      <c r="B980" s="3" t="s">
        <v>908</v>
      </c>
      <c r="C980" s="4" t="str">
        <f ca="1">IFERROR(__xludf.DUMMYFUNCTION("GOOGLETRANSLATE(B980,""ar"",""en"")"),"Task in community issues")</f>
        <v>Task in community issues</v>
      </c>
      <c r="D980" s="5">
        <v>1</v>
      </c>
      <c r="E980" s="3">
        <v>0</v>
      </c>
    </row>
    <row r="981" spans="1:5" ht="15.75" customHeight="1" x14ac:dyDescent="0.2">
      <c r="A981" s="6">
        <v>4072</v>
      </c>
      <c r="B981" s="7" t="s">
        <v>587</v>
      </c>
      <c r="C981" s="8" t="str">
        <f ca="1">IFERROR(__xludf.DUMMYFUNCTION("GOOGLETRANSLATE(B981,""ar"",""en"")"),"The rights of divorced")</f>
        <v>The rights of divorced</v>
      </c>
      <c r="D981" s="9">
        <v>1</v>
      </c>
      <c r="E981" s="3">
        <v>0</v>
      </c>
    </row>
    <row r="982" spans="1:5" ht="15.75" customHeight="1" x14ac:dyDescent="0.2">
      <c r="A982" s="2">
        <v>4075</v>
      </c>
      <c r="B982" s="3" t="s">
        <v>909</v>
      </c>
      <c r="C982" s="4" t="str">
        <f ca="1">IFERROR(__xludf.DUMMYFUNCTION("GOOGLETRANSLATE(B982,""ar"",""en"")"),"Women's issues and in particular who were their exposure and access methods to solve stories")</f>
        <v>Women's issues and in particular who were their exposure and access methods to solve stories</v>
      </c>
      <c r="D982" s="5">
        <v>1</v>
      </c>
      <c r="E982" s="3">
        <v>0</v>
      </c>
    </row>
    <row r="983" spans="1:5" ht="15.75" customHeight="1" x14ac:dyDescent="0.2">
      <c r="A983" s="6">
        <v>4076</v>
      </c>
      <c r="B983" s="7" t="s">
        <v>910</v>
      </c>
      <c r="C983" s="8" t="str">
        <f ca="1">IFERROR(__xludf.DUMMYFUNCTION("GOOGLETRANSLATE(B983,""ar"",""en"")"),"Early marriage for girls and the Union of Architecture Allahassan women because we Pinhtm detail and love paragraph questions Alsocheal Elly cool it in the program because it is diverse")</f>
        <v>Early marriage for girls and the Union of Architecture Allahassan women because we Pinhtm detail and love paragraph questions Alsocheal Elly cool it in the program because it is diverse</v>
      </c>
      <c r="D983" s="9">
        <v>1</v>
      </c>
      <c r="E983" s="3">
        <v>0</v>
      </c>
    </row>
    <row r="984" spans="1:5" ht="15.75" customHeight="1" x14ac:dyDescent="0.2">
      <c r="A984" s="6">
        <v>1801</v>
      </c>
      <c r="B984" s="7" t="s">
        <v>420</v>
      </c>
      <c r="C984" s="8" t="str">
        <f ca="1">IFERROR(__xludf.DUMMYFUNCTION("GOOGLETRANSLATE(B439,""ar"",""en"")"),"But good")</f>
        <v>But good</v>
      </c>
      <c r="D984" s="9">
        <v>1</v>
      </c>
      <c r="E984" s="7">
        <v>1</v>
      </c>
    </row>
    <row r="985" spans="1:5" ht="15.75" customHeight="1" x14ac:dyDescent="0.2">
      <c r="A985" s="6">
        <v>4089</v>
      </c>
      <c r="B985" s="7" t="s">
        <v>911</v>
      </c>
      <c r="C985" s="8" t="str">
        <f ca="1">IFERROR(__xludf.DUMMYFUNCTION("GOOGLETRANSLATE(B985,""ar"",""en"")"),"The rights of women and children of divorce when the husband and wife ,, for heritable ,,, harassment and circumcision")</f>
        <v>The rights of women and children of divorce when the husband and wife ,, for heritable ,,, harassment and circumcision</v>
      </c>
      <c r="D985" s="9">
        <v>1</v>
      </c>
      <c r="E985" s="3">
        <v>0</v>
      </c>
    </row>
    <row r="986" spans="1:5" ht="15.75" customHeight="1" x14ac:dyDescent="0.2">
      <c r="A986" s="2">
        <v>4095</v>
      </c>
      <c r="B986" s="3" t="s">
        <v>912</v>
      </c>
      <c r="C986" s="4" t="str">
        <f ca="1">IFERROR(__xludf.DUMMYFUNCTION("GOOGLETRANSLATE(B986,""ar"",""en"")"),"It's about women rights Worldwide in Egyptian society and defend their rights and also talk about women resist verbal harassment or physical and not to remain silent about that thing")</f>
        <v>It's about women rights Worldwide in Egyptian society and defend their rights and also talk about women resist verbal harassment or physical and not to remain silent about that thing</v>
      </c>
      <c r="D986" s="5">
        <v>1</v>
      </c>
      <c r="E986" s="3">
        <v>0</v>
      </c>
    </row>
    <row r="987" spans="1:5" ht="15.75" customHeight="1" x14ac:dyDescent="0.2">
      <c r="A987" s="6">
        <v>4098</v>
      </c>
      <c r="B987" s="7" t="s">
        <v>913</v>
      </c>
      <c r="C987" s="8" t="str">
        <f ca="1">IFERROR(__xludf.DUMMYFUNCTION("GOOGLETRANSLATE(B987,""ar"",""en"")"),"The seriousness of the process of Worldwide circumcision for girls")</f>
        <v>The seriousness of the process of Worldwide circumcision for girls</v>
      </c>
      <c r="D987" s="9">
        <v>1</v>
      </c>
      <c r="E987" s="3">
        <v>0</v>
      </c>
    </row>
    <row r="988" spans="1:5" ht="15.75" customHeight="1" x14ac:dyDescent="0.2">
      <c r="A988" s="2">
        <v>4099</v>
      </c>
      <c r="B988" s="3" t="s">
        <v>914</v>
      </c>
      <c r="C988" s="4" t="str">
        <f ca="1">IFERROR(__xludf.DUMMYFUNCTION("GOOGLETRANSLATE(B988,""ar"",""en"")"),"Zee extracts showed, for example, that Elly offers resignation Minfc is due and the needs of Keda Bs Jozy Bitapah because he is a lawyer")</f>
        <v>Zee extracts showed, for example, that Elly offers resignation Minfc is due and the needs of Keda Bs Jozy Bitapah because he is a lawyer</v>
      </c>
      <c r="D988" s="5">
        <v>1</v>
      </c>
      <c r="E988" s="3">
        <v>0</v>
      </c>
    </row>
    <row r="989" spans="1:5" ht="15.75" customHeight="1" x14ac:dyDescent="0.2">
      <c r="A989" s="6">
        <v>4107</v>
      </c>
      <c r="B989" s="7" t="s">
        <v>915</v>
      </c>
      <c r="C989" s="8" t="str">
        <f ca="1">IFERROR(__xludf.DUMMYFUNCTION("GOOGLETRANSLATE(B989,""ar"",""en"")"),"I saw a paragraph about girl I worked and traveled program levels and succeeded")</f>
        <v>I saw a paragraph about girl I worked and traveled program levels and succeeded</v>
      </c>
      <c r="D989" s="9">
        <v>1</v>
      </c>
      <c r="E989" s="3">
        <v>0</v>
      </c>
    </row>
    <row r="990" spans="1:5" ht="15.75" customHeight="1" x14ac:dyDescent="0.2">
      <c r="A990" s="2">
        <v>4112</v>
      </c>
      <c r="B990" s="3" t="s">
        <v>916</v>
      </c>
      <c r="C990" s="4" t="str">
        <f ca="1">IFERROR(__xludf.DUMMYFUNCTION("GOOGLETRANSLATE(B990,""ar"",""en"")"),"Important tips to face harassment")</f>
        <v>Important tips to face harassment</v>
      </c>
      <c r="D990" s="5">
        <v>1</v>
      </c>
      <c r="E990" s="3">
        <v>0</v>
      </c>
    </row>
    <row r="991" spans="1:5" ht="15.75" customHeight="1" x14ac:dyDescent="0.2">
      <c r="A991" s="6">
        <v>4114</v>
      </c>
      <c r="B991" s="7" t="s">
        <v>917</v>
      </c>
      <c r="C991" s="8" t="str">
        <f ca="1">IFERROR(__xludf.DUMMYFUNCTION("GOOGLETRANSLATE(B991,""ar"",""en"")"),"Tales about divorce or marriage foreigners")</f>
        <v>Tales about divorce or marriage foreigners</v>
      </c>
      <c r="D991" s="9">
        <v>1</v>
      </c>
      <c r="E991" s="3">
        <v>0</v>
      </c>
    </row>
    <row r="992" spans="1:5" ht="15.75" customHeight="1" x14ac:dyDescent="0.2">
      <c r="A992" s="2">
        <v>4119</v>
      </c>
      <c r="B992" s="3" t="s">
        <v>210</v>
      </c>
      <c r="C992" s="4" t="str">
        <f ca="1">IFERROR(__xludf.DUMMYFUNCTION("GOOGLETRANSLATE(B992,""ar"",""en"")"),"Dislocation")</f>
        <v>Dislocation</v>
      </c>
      <c r="D992" s="5">
        <v>1</v>
      </c>
      <c r="E992" s="3">
        <v>0</v>
      </c>
    </row>
    <row r="993" spans="1:5" ht="15.75" customHeight="1" x14ac:dyDescent="0.2">
      <c r="A993" s="6">
        <v>4124</v>
      </c>
      <c r="B993" s="7" t="s">
        <v>918</v>
      </c>
      <c r="C993" s="8" t="str">
        <f ca="1">IFERROR(__xludf.DUMMYFUNCTION("GOOGLETRANSLATE(B993,""ar"",""en"")"),"What do you keep happy")</f>
        <v>What do you keep happy</v>
      </c>
      <c r="D993" s="9">
        <v>1</v>
      </c>
      <c r="E993" s="3">
        <v>0</v>
      </c>
    </row>
    <row r="994" spans="1:5" ht="15.75" customHeight="1" x14ac:dyDescent="0.2">
      <c r="A994" s="2">
        <v>4130</v>
      </c>
      <c r="B994" s="3" t="s">
        <v>919</v>
      </c>
      <c r="C994" s="4" t="str">
        <f ca="1">IFERROR(__xludf.DUMMYFUNCTION("GOOGLETRANSLATE(B994,""ar"",""en"")"),"Female genital mutilation, sexual harassment and child molestation")</f>
        <v>Female genital mutilation, sexual harassment and child molestation</v>
      </c>
      <c r="D994" s="5">
        <v>1</v>
      </c>
      <c r="E994" s="3">
        <v>0</v>
      </c>
    </row>
    <row r="995" spans="1:5" ht="15.75" customHeight="1" x14ac:dyDescent="0.2">
      <c r="A995" s="6">
        <v>4133</v>
      </c>
      <c r="B995" s="7" t="s">
        <v>920</v>
      </c>
      <c r="C995" s="8" t="str">
        <f ca="1">IFERROR(__xludf.DUMMYFUNCTION("GOOGLETRANSLATE(B995,""ar"",""en"")"),"Women's Issues working")</f>
        <v>Women's Issues working</v>
      </c>
      <c r="D995" s="9">
        <v>1</v>
      </c>
      <c r="E995" s="3">
        <v>0</v>
      </c>
    </row>
    <row r="996" spans="1:5" ht="15.75" customHeight="1" x14ac:dyDescent="0.2">
      <c r="A996" s="2">
        <v>4137</v>
      </c>
      <c r="B996" s="3" t="s">
        <v>921</v>
      </c>
      <c r="C996" s="4" t="str">
        <f ca="1">IFERROR(__xludf.DUMMYFUNCTION("GOOGLETRANSLATE(B996,""ar"",""en"")"),"Make women aware of the need to maintain her body against harassment and to educate society and keep her children and what to do in case of watching the case of harassment against fellow .. In short workshops concerned with educating women to maintain Mah"&amp;"aitiha of harassment and cons of the society.")</f>
        <v>Make women aware of the need to maintain her body against harassment and to educate society and keep her children and what to do in case of watching the case of harassment against fellow .. In short workshops concerned with educating women to maintain Mahaitiha of harassment and cons of the society.</v>
      </c>
      <c r="D996" s="5">
        <v>1</v>
      </c>
      <c r="E996" s="3">
        <v>0</v>
      </c>
    </row>
    <row r="997" spans="1:5" ht="15.75" customHeight="1" x14ac:dyDescent="0.2">
      <c r="A997" s="6">
        <v>4139</v>
      </c>
      <c r="B997" s="7" t="s">
        <v>922</v>
      </c>
      <c r="C997" s="8" t="str">
        <f ca="1">IFERROR(__xludf.DUMMYFUNCTION("GOOGLETRANSLATE(B997,""ar"",""en"")"),"Issues, social captors and resolve legal")</f>
        <v>Issues, social captors and resolve legal</v>
      </c>
      <c r="D997" s="9">
        <v>1</v>
      </c>
      <c r="E997" s="3">
        <v>0</v>
      </c>
    </row>
    <row r="998" spans="1:5" ht="15.75" customHeight="1" x14ac:dyDescent="0.2">
      <c r="A998" s="2">
        <v>4141</v>
      </c>
      <c r="B998" s="3" t="s">
        <v>923</v>
      </c>
      <c r="C998" s="4" t="str">
        <f ca="1">IFERROR(__xludf.DUMMYFUNCTION("GOOGLETRANSLATE(B998,""ar"",""en"")"),"Loop Worldwide for customs and traditions")</f>
        <v>Loop Worldwide for customs and traditions</v>
      </c>
      <c r="D998" s="5">
        <v>1</v>
      </c>
      <c r="E998" s="3">
        <v>0</v>
      </c>
    </row>
    <row r="999" spans="1:5" ht="15.75" customHeight="1" x14ac:dyDescent="0.2">
      <c r="A999" s="6">
        <v>4156</v>
      </c>
      <c r="B999" s="7" t="s">
        <v>924</v>
      </c>
      <c r="C999" s="8" t="str">
        <f ca="1">IFERROR(__xludf.DUMMYFUNCTION("GOOGLETRANSLATE(B999,""ar"",""en"")"),"Very useful and important content of social relations, and I love him very")</f>
        <v>Very useful and important content of social relations, and I love him very</v>
      </c>
      <c r="D999" s="9">
        <v>1</v>
      </c>
      <c r="E999" s="7">
        <v>1</v>
      </c>
    </row>
    <row r="1000" spans="1:5" ht="15.75" customHeight="1" x14ac:dyDescent="0.2">
      <c r="A1000" s="2">
        <v>4157</v>
      </c>
      <c r="B1000" s="3" t="s">
        <v>925</v>
      </c>
      <c r="C1000" s="4" t="str">
        <f ca="1">IFERROR(__xludf.DUMMYFUNCTION("GOOGLETRANSLATE(B1000,""ar"",""en"")"),"Contracts and the abolition of agencies and judging harassers")</f>
        <v>Contracts and the abolition of agencies and judging harassers</v>
      </c>
      <c r="D1000" s="5">
        <v>1</v>
      </c>
      <c r="E1000" s="3">
        <v>0</v>
      </c>
    </row>
    <row r="1001" spans="1:5" ht="15.75" customHeight="1" x14ac:dyDescent="0.2">
      <c r="A1001" s="6">
        <v>4163</v>
      </c>
      <c r="B1001" s="7" t="s">
        <v>926</v>
      </c>
      <c r="C1001" s="8" t="str">
        <f ca="1">IFERROR(__xludf.DUMMYFUNCTION("GOOGLETRANSLATE(B1001,""ar"",""en"")"),"Educational content Awareness influential")</f>
        <v>Educational content Awareness influential</v>
      </c>
      <c r="D1001" s="9">
        <v>1</v>
      </c>
      <c r="E1001" s="3">
        <v>0</v>
      </c>
    </row>
  </sheetData>
  <autoFilter ref="A1:E1001" xr:uid="{00000000-0009-0000-0000-000000000000}">
    <sortState xmlns:xlrd2="http://schemas.microsoft.com/office/spreadsheetml/2017/richdata2" ref="A8:E984">
      <sortCondition ref="E1:E1001"/>
    </sortState>
  </autoFilter>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workbookViewId="0"/>
  </sheetViews>
  <sheetFormatPr baseColWidth="10" defaultColWidth="12.6640625" defaultRowHeight="15" customHeight="1" x14ac:dyDescent="0.15"/>
  <cols>
    <col min="1" max="26" width="7.6640625" customWidth="1"/>
  </cols>
  <sheetData>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episodes_content_end</vt:lpstr>
      <vt:lpstr>Sheet1</vt:lpstr>
      <vt:lpstr>episodes_content_end!ExternalData_1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Quintero Coronel</dc:creator>
  <cp:lastModifiedBy>Microsoft Office User</cp:lastModifiedBy>
  <dcterms:created xsi:type="dcterms:W3CDTF">2021-03-24T00:29:26Z</dcterms:created>
  <dcterms:modified xsi:type="dcterms:W3CDTF">2021-03-27T23:33:59Z</dcterms:modified>
</cp:coreProperties>
</file>