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ml.chartshape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E:\My Activtites\Internal Audit\"/>
    </mc:Choice>
  </mc:AlternateContent>
  <bookViews>
    <workbookView xWindow="0" yWindow="0" windowWidth="20490" windowHeight="7755" tabRatio="996" firstSheet="1" activeTab="1"/>
  </bookViews>
  <sheets>
    <sheet name="Guidelines" sheetId="25" r:id="rId1"/>
    <sheet name="PC Dashboard" sheetId="16" r:id="rId2"/>
    <sheet name="Summary" sheetId="23" r:id="rId3"/>
    <sheet name="Process Area wise" sheetId="15" r:id="rId4"/>
    <sheet name="Severity wise" sheetId="19" r:id="rId5"/>
    <sheet name="Risks" sheetId="18" r:id="rId6"/>
    <sheet name="Project Initiation" sheetId="6" r:id="rId7"/>
    <sheet name="Project Management" sheetId="7" r:id="rId8"/>
    <sheet name="Monitoring &amp; Control" sheetId="14" r:id="rId9"/>
    <sheet name="Requirements" sheetId="8" r:id="rId10"/>
    <sheet name="Design" sheetId="9" r:id="rId11"/>
    <sheet name="Testing" sheetId="11" r:id="rId12"/>
    <sheet name="Delivery" sheetId="13" r:id="rId13"/>
    <sheet name="Project Closure" sheetId="12" r:id="rId14"/>
    <sheet name="ISO90012008" sheetId="17" r:id="rId15"/>
    <sheet name="Usage Guidelines" sheetId="24" r:id="rId16"/>
  </sheets>
  <externalReferences>
    <externalReference r:id="rId17"/>
    <externalReference r:id="rId18"/>
  </externalReferences>
  <definedNames>
    <definedName name="_xlnm._FilterDatabase" localSheetId="12" hidden="1">Delivery!$A$2:$T$5</definedName>
    <definedName name="_xlnm._FilterDatabase" localSheetId="10" hidden="1">Design!$A$2:$T$70</definedName>
    <definedName name="_xlnm._FilterDatabase" localSheetId="8" hidden="1">'Monitoring &amp; Control'!$A$2:$T$47</definedName>
    <definedName name="_xlnm._FilterDatabase" localSheetId="3" hidden="1">'Process Area wise'!$B$45:$C$110</definedName>
    <definedName name="_xlnm._FilterDatabase" localSheetId="13" hidden="1">'Project Closure'!$A$2:$T$18</definedName>
    <definedName name="_xlnm._FilterDatabase" localSheetId="6" hidden="1">'Project Initiation'!$A$2:$U$11</definedName>
    <definedName name="_xlnm._FilterDatabase" localSheetId="7" hidden="1">'Project Management'!$A$2:$S$79</definedName>
    <definedName name="_xlnm._FilterDatabase" localSheetId="9" hidden="1">Requirements!$A$2:$T$17</definedName>
    <definedName name="_xlnm._FilterDatabase" localSheetId="11" hidden="1">Testing!$A$2:$T$38</definedName>
    <definedName name="Project_Phase">[1]Data!$D$24:$D$30</definedName>
    <definedName name="Project_Type">[1]Data!$B$27:$B$35</definedName>
    <definedName name="Risk_of_NC">[1]Data!$B$49:$B$51</definedName>
  </definedNames>
  <calcPr calcId="152511"/>
</workbook>
</file>

<file path=xl/calcChain.xml><?xml version="1.0" encoding="utf-8"?>
<calcChain xmlns="http://schemas.openxmlformats.org/spreadsheetml/2006/main">
  <c r="D20" i="14" l="1"/>
  <c r="A12" i="23"/>
  <c r="A10" i="23"/>
  <c r="V68" i="19"/>
  <c r="U68" i="19"/>
  <c r="T68" i="19"/>
  <c r="G108" i="15"/>
  <c r="R68" i="19"/>
  <c r="V12" i="23"/>
  <c r="Q68" i="19"/>
  <c r="P68" i="19"/>
  <c r="N68" i="19"/>
  <c r="M68" i="19"/>
  <c r="R12" i="23"/>
  <c r="L68" i="19"/>
  <c r="J68" i="19"/>
  <c r="P12" i="23" s="1"/>
  <c r="I68" i="19"/>
  <c r="O12" i="23" s="1"/>
  <c r="H68" i="19"/>
  <c r="F68" i="19"/>
  <c r="L12" i="23"/>
  <c r="E68" i="19"/>
  <c r="K12" i="23"/>
  <c r="D68" i="19"/>
  <c r="J12" i="23"/>
  <c r="A108" i="15"/>
  <c r="F4" i="18"/>
  <c r="F5" i="18"/>
  <c r="F6" i="18"/>
  <c r="F7" i="18"/>
  <c r="F8" i="18"/>
  <c r="F9" i="18"/>
  <c r="F10" i="18"/>
  <c r="F11" i="18"/>
  <c r="F12" i="18"/>
  <c r="F13" i="18"/>
  <c r="F14" i="18"/>
  <c r="F15" i="18"/>
  <c r="F16" i="18"/>
  <c r="F17" i="18"/>
  <c r="F18" i="18"/>
  <c r="F19" i="18"/>
  <c r="F20" i="18"/>
  <c r="F21" i="18"/>
  <c r="Q139" i="17"/>
  <c r="P139" i="17"/>
  <c r="O139" i="17"/>
  <c r="N139" i="17"/>
  <c r="Q138" i="17"/>
  <c r="P138" i="17"/>
  <c r="O138" i="17"/>
  <c r="N138" i="17"/>
  <c r="Q137" i="17"/>
  <c r="P137" i="17"/>
  <c r="O137" i="17"/>
  <c r="N137" i="17"/>
  <c r="Q136" i="17"/>
  <c r="P136" i="17"/>
  <c r="O136" i="17"/>
  <c r="N136" i="17"/>
  <c r="Q135" i="17"/>
  <c r="P135" i="17"/>
  <c r="O135" i="17"/>
  <c r="N135" i="17"/>
  <c r="Q134" i="17"/>
  <c r="P134" i="17"/>
  <c r="O134" i="17"/>
  <c r="N134" i="17"/>
  <c r="Q133" i="17"/>
  <c r="P133" i="17"/>
  <c r="O133" i="17"/>
  <c r="N133" i="17"/>
  <c r="Q132" i="17"/>
  <c r="P132" i="17"/>
  <c r="O132" i="17"/>
  <c r="N132" i="17"/>
  <c r="Q131" i="17"/>
  <c r="P131" i="17"/>
  <c r="O131" i="17"/>
  <c r="N131" i="17"/>
  <c r="Q130" i="17"/>
  <c r="P130" i="17"/>
  <c r="O130" i="17"/>
  <c r="N130" i="17"/>
  <c r="Q129" i="17"/>
  <c r="P129" i="17"/>
  <c r="O129" i="17"/>
  <c r="N129" i="17"/>
  <c r="Q128" i="17"/>
  <c r="P128" i="17"/>
  <c r="O128" i="17"/>
  <c r="N128" i="17"/>
  <c r="Q127" i="17"/>
  <c r="P127" i="17"/>
  <c r="O127" i="17"/>
  <c r="N127" i="17"/>
  <c r="Q126" i="17"/>
  <c r="P126" i="17"/>
  <c r="O126" i="17"/>
  <c r="N126" i="17"/>
  <c r="Q125" i="17"/>
  <c r="P125" i="17"/>
  <c r="O125" i="17"/>
  <c r="N125" i="17"/>
  <c r="Q124" i="17"/>
  <c r="P124" i="17"/>
  <c r="O124" i="17"/>
  <c r="N124" i="17"/>
  <c r="Q123" i="17"/>
  <c r="P123" i="17"/>
  <c r="O123" i="17"/>
  <c r="N123" i="17"/>
  <c r="Q122" i="17"/>
  <c r="P122" i="17"/>
  <c r="O122" i="17"/>
  <c r="N122" i="17"/>
  <c r="Q121" i="17"/>
  <c r="P121" i="17"/>
  <c r="O121" i="17"/>
  <c r="N121" i="17"/>
  <c r="Q120" i="17"/>
  <c r="P120" i="17"/>
  <c r="O120" i="17"/>
  <c r="N120" i="17"/>
  <c r="Q119" i="17"/>
  <c r="P119" i="17"/>
  <c r="O119" i="17"/>
  <c r="N119" i="17"/>
  <c r="Q118" i="17"/>
  <c r="P118" i="17"/>
  <c r="O118" i="17"/>
  <c r="N118" i="17"/>
  <c r="Q117" i="17"/>
  <c r="P117" i="17"/>
  <c r="O117" i="17"/>
  <c r="N117" i="17"/>
  <c r="Q116" i="17"/>
  <c r="P116" i="17"/>
  <c r="O116" i="17"/>
  <c r="N116" i="17"/>
  <c r="Q115" i="17"/>
  <c r="P115" i="17"/>
  <c r="O115" i="17"/>
  <c r="N115" i="17"/>
  <c r="Q114" i="17"/>
  <c r="P114" i="17"/>
  <c r="O114" i="17"/>
  <c r="N114" i="17"/>
  <c r="Q113" i="17"/>
  <c r="P113" i="17"/>
  <c r="O113" i="17"/>
  <c r="N113" i="17"/>
  <c r="Q112" i="17"/>
  <c r="P112" i="17"/>
  <c r="O112" i="17"/>
  <c r="N112" i="17"/>
  <c r="Q111" i="17"/>
  <c r="P111" i="17"/>
  <c r="O111" i="17"/>
  <c r="N111" i="17"/>
  <c r="Q110" i="17"/>
  <c r="P110" i="17"/>
  <c r="O110" i="17"/>
  <c r="N110" i="17"/>
  <c r="Q109" i="17"/>
  <c r="Q140" i="17"/>
  <c r="P109" i="17"/>
  <c r="P140" i="17"/>
  <c r="O109" i="17"/>
  <c r="O140" i="17"/>
  <c r="N109" i="17"/>
  <c r="N140" i="17"/>
  <c r="Q104" i="17"/>
  <c r="P104" i="17"/>
  <c r="O104" i="17"/>
  <c r="N104" i="17"/>
  <c r="Q103" i="17"/>
  <c r="P103" i="17"/>
  <c r="O103" i="17"/>
  <c r="N103" i="17"/>
  <c r="Q102" i="17"/>
  <c r="P102" i="17"/>
  <c r="O102" i="17"/>
  <c r="N102" i="17"/>
  <c r="Q101" i="17"/>
  <c r="P101" i="17"/>
  <c r="O101" i="17"/>
  <c r="N101" i="17"/>
  <c r="Q100" i="17"/>
  <c r="P100" i="17"/>
  <c r="O100" i="17"/>
  <c r="N100" i="17"/>
  <c r="Q99" i="17"/>
  <c r="P99" i="17"/>
  <c r="O99" i="17"/>
  <c r="N99" i="17"/>
  <c r="Q98" i="17"/>
  <c r="P98" i="17"/>
  <c r="O98" i="17"/>
  <c r="N98" i="17"/>
  <c r="Q97" i="17"/>
  <c r="P97" i="17"/>
  <c r="O97" i="17"/>
  <c r="N97" i="17"/>
  <c r="Q96" i="17"/>
  <c r="P96" i="17"/>
  <c r="O96" i="17"/>
  <c r="N96" i="17"/>
  <c r="Q95" i="17"/>
  <c r="P95" i="17"/>
  <c r="O95" i="17"/>
  <c r="N95" i="17"/>
  <c r="Q94" i="17"/>
  <c r="P94" i="17"/>
  <c r="O94" i="17"/>
  <c r="N94" i="17"/>
  <c r="Q93" i="17"/>
  <c r="P93" i="17"/>
  <c r="O93" i="17"/>
  <c r="N93" i="17"/>
  <c r="Q92" i="17"/>
  <c r="P92" i="17"/>
  <c r="O92" i="17"/>
  <c r="N92" i="17"/>
  <c r="Q91" i="17"/>
  <c r="P91" i="17"/>
  <c r="O91" i="17"/>
  <c r="N91" i="17"/>
  <c r="Q90" i="17"/>
  <c r="P90" i="17"/>
  <c r="O90" i="17"/>
  <c r="N90" i="17"/>
  <c r="Q89" i="17"/>
  <c r="P89" i="17"/>
  <c r="O89" i="17"/>
  <c r="N89" i="17"/>
  <c r="Q88" i="17"/>
  <c r="P88" i="17"/>
  <c r="O88" i="17"/>
  <c r="N88" i="17"/>
  <c r="Q87" i="17"/>
  <c r="P87" i="17"/>
  <c r="O87" i="17"/>
  <c r="N87" i="17"/>
  <c r="Q86" i="17"/>
  <c r="P86" i="17"/>
  <c r="O86" i="17"/>
  <c r="N86" i="17"/>
  <c r="Q85" i="17"/>
  <c r="P85" i="17"/>
  <c r="O85" i="17"/>
  <c r="N85" i="17"/>
  <c r="Q84" i="17"/>
  <c r="P84" i="17"/>
  <c r="O84" i="17"/>
  <c r="N84" i="17"/>
  <c r="Q83" i="17"/>
  <c r="P83" i="17"/>
  <c r="O83" i="17"/>
  <c r="N83" i="17"/>
  <c r="Q82" i="17"/>
  <c r="P82" i="17"/>
  <c r="O82" i="17"/>
  <c r="N82" i="17"/>
  <c r="Q81" i="17"/>
  <c r="P81" i="17"/>
  <c r="O81" i="17"/>
  <c r="N81" i="17"/>
  <c r="Q80" i="17"/>
  <c r="P80" i="17"/>
  <c r="O80" i="17"/>
  <c r="N80" i="17"/>
  <c r="Q79" i="17"/>
  <c r="P79" i="17"/>
  <c r="O79" i="17"/>
  <c r="N79" i="17"/>
  <c r="Q78" i="17"/>
  <c r="P78" i="17"/>
  <c r="O78" i="17"/>
  <c r="N78" i="17"/>
  <c r="Q77" i="17"/>
  <c r="P77" i="17"/>
  <c r="O77" i="17"/>
  <c r="N77" i="17"/>
  <c r="Q76" i="17"/>
  <c r="P76" i="17"/>
  <c r="O76" i="17"/>
  <c r="N76" i="17"/>
  <c r="Q75" i="17"/>
  <c r="P75" i="17"/>
  <c r="O75" i="17"/>
  <c r="N75" i="17"/>
  <c r="Q74" i="17"/>
  <c r="Q105" i="17" s="1"/>
  <c r="P74" i="17"/>
  <c r="O74" i="17"/>
  <c r="O105" i="17"/>
  <c r="N74" i="17"/>
  <c r="N105" i="17" s="1"/>
  <c r="Q69" i="17"/>
  <c r="P69" i="17"/>
  <c r="O69" i="17"/>
  <c r="N69" i="17"/>
  <c r="Q68" i="17"/>
  <c r="P68" i="17"/>
  <c r="O68" i="17"/>
  <c r="N68" i="17"/>
  <c r="Q67" i="17"/>
  <c r="P67" i="17"/>
  <c r="O67" i="17"/>
  <c r="N67" i="17"/>
  <c r="Q66" i="17"/>
  <c r="P66" i="17"/>
  <c r="O66" i="17"/>
  <c r="N66" i="17"/>
  <c r="Q65" i="17"/>
  <c r="P65" i="17"/>
  <c r="O65" i="17"/>
  <c r="N65" i="17"/>
  <c r="Q64" i="17"/>
  <c r="P64" i="17"/>
  <c r="O64" i="17"/>
  <c r="N64" i="17"/>
  <c r="Q63" i="17"/>
  <c r="P63" i="17"/>
  <c r="O63" i="17"/>
  <c r="N63" i="17"/>
  <c r="Q62" i="17"/>
  <c r="P62" i="17"/>
  <c r="O62" i="17"/>
  <c r="N62" i="17"/>
  <c r="Q61" i="17"/>
  <c r="P61" i="17"/>
  <c r="O61" i="17"/>
  <c r="N61" i="17"/>
  <c r="Q60" i="17"/>
  <c r="P60" i="17"/>
  <c r="O60" i="17"/>
  <c r="N60" i="17"/>
  <c r="Q59" i="17"/>
  <c r="P59" i="17"/>
  <c r="O59" i="17"/>
  <c r="N59" i="17"/>
  <c r="Q58" i="17"/>
  <c r="P58" i="17"/>
  <c r="O58" i="17"/>
  <c r="N58" i="17"/>
  <c r="Q57" i="17"/>
  <c r="P57" i="17"/>
  <c r="O57" i="17"/>
  <c r="N57" i="17"/>
  <c r="Q56" i="17"/>
  <c r="P56" i="17"/>
  <c r="O56" i="17"/>
  <c r="N56" i="17"/>
  <c r="Q55" i="17"/>
  <c r="P55" i="17"/>
  <c r="O55" i="17"/>
  <c r="N55" i="17"/>
  <c r="Q54" i="17"/>
  <c r="P54" i="17"/>
  <c r="O54" i="17"/>
  <c r="N54" i="17"/>
  <c r="Q53" i="17"/>
  <c r="P53" i="17"/>
  <c r="O53" i="17"/>
  <c r="N53" i="17"/>
  <c r="Q52" i="17"/>
  <c r="P52" i="17"/>
  <c r="O52" i="17"/>
  <c r="N52" i="17"/>
  <c r="Q51" i="17"/>
  <c r="P51" i="17"/>
  <c r="O51" i="17"/>
  <c r="N51" i="17"/>
  <c r="Q50" i="17"/>
  <c r="P50" i="17"/>
  <c r="O50" i="17"/>
  <c r="N50" i="17"/>
  <c r="Q49" i="17"/>
  <c r="P49" i="17"/>
  <c r="O49" i="17"/>
  <c r="N49" i="17"/>
  <c r="Q48" i="17"/>
  <c r="P48" i="17"/>
  <c r="O48" i="17"/>
  <c r="N48" i="17"/>
  <c r="Q47" i="17"/>
  <c r="P47" i="17"/>
  <c r="O47" i="17"/>
  <c r="N47" i="17"/>
  <c r="Q46" i="17"/>
  <c r="P46" i="17"/>
  <c r="O46" i="17"/>
  <c r="N46" i="17"/>
  <c r="Q45" i="17"/>
  <c r="P45" i="17"/>
  <c r="O45" i="17"/>
  <c r="N45" i="17"/>
  <c r="Q44" i="17"/>
  <c r="P44" i="17"/>
  <c r="O44" i="17"/>
  <c r="N44" i="17"/>
  <c r="Q43" i="17"/>
  <c r="P43" i="17"/>
  <c r="O43" i="17"/>
  <c r="N43" i="17"/>
  <c r="Q42" i="17"/>
  <c r="P42" i="17"/>
  <c r="O42" i="17"/>
  <c r="N42" i="17"/>
  <c r="Q41" i="17"/>
  <c r="P41" i="17"/>
  <c r="O41" i="17"/>
  <c r="N41" i="17"/>
  <c r="Q40" i="17"/>
  <c r="P40" i="17"/>
  <c r="O40" i="17"/>
  <c r="N40" i="17"/>
  <c r="Q39" i="17"/>
  <c r="Q70" i="17"/>
  <c r="P39" i="17"/>
  <c r="O39" i="17"/>
  <c r="O70" i="17"/>
  <c r="N39" i="17"/>
  <c r="N70" i="17" s="1"/>
  <c r="Q34" i="17"/>
  <c r="P34" i="17"/>
  <c r="O34" i="17"/>
  <c r="N34" i="17"/>
  <c r="Q33" i="17"/>
  <c r="P33" i="17"/>
  <c r="O33" i="17"/>
  <c r="N33" i="17"/>
  <c r="Q32" i="17"/>
  <c r="P32" i="17"/>
  <c r="O32" i="17"/>
  <c r="N32" i="17"/>
  <c r="Q31" i="17"/>
  <c r="P31" i="17"/>
  <c r="O31" i="17"/>
  <c r="N31" i="17"/>
  <c r="Q30" i="17"/>
  <c r="P30" i="17"/>
  <c r="O30" i="17"/>
  <c r="N30" i="17"/>
  <c r="Q29" i="17"/>
  <c r="P29" i="17"/>
  <c r="O29" i="17"/>
  <c r="N29" i="17"/>
  <c r="Q28" i="17"/>
  <c r="P28" i="17"/>
  <c r="O28" i="17"/>
  <c r="N28" i="17"/>
  <c r="Q27" i="17"/>
  <c r="P27" i="17"/>
  <c r="O27" i="17"/>
  <c r="N27" i="17"/>
  <c r="Q26" i="17"/>
  <c r="P26" i="17"/>
  <c r="O26" i="17"/>
  <c r="N26" i="17"/>
  <c r="Q25" i="17"/>
  <c r="P25" i="17"/>
  <c r="O25" i="17"/>
  <c r="N25" i="17"/>
  <c r="Q24" i="17"/>
  <c r="P24" i="17"/>
  <c r="O24" i="17"/>
  <c r="N24" i="17"/>
  <c r="Q23" i="17"/>
  <c r="P23" i="17"/>
  <c r="O23" i="17"/>
  <c r="N23" i="17"/>
  <c r="Q22" i="17"/>
  <c r="P22" i="17"/>
  <c r="O22" i="17"/>
  <c r="N22" i="17"/>
  <c r="Q21" i="17"/>
  <c r="P21" i="17"/>
  <c r="O21" i="17"/>
  <c r="N21" i="17"/>
  <c r="Q20" i="17"/>
  <c r="P20" i="17"/>
  <c r="O20" i="17"/>
  <c r="N20" i="17"/>
  <c r="Q19" i="17"/>
  <c r="P19" i="17"/>
  <c r="O19" i="17"/>
  <c r="N19" i="17"/>
  <c r="Q18" i="17"/>
  <c r="P18" i="17"/>
  <c r="O18" i="17"/>
  <c r="N18" i="17"/>
  <c r="Q17" i="17"/>
  <c r="P17" i="17"/>
  <c r="O17" i="17"/>
  <c r="N17" i="17"/>
  <c r="Q16" i="17"/>
  <c r="P16" i="17"/>
  <c r="O16" i="17"/>
  <c r="N16" i="17"/>
  <c r="Q15" i="17"/>
  <c r="P15" i="17"/>
  <c r="O15" i="17"/>
  <c r="N15" i="17"/>
  <c r="Q14" i="17"/>
  <c r="P14" i="17"/>
  <c r="O14" i="17"/>
  <c r="N14" i="17"/>
  <c r="Q13" i="17"/>
  <c r="P13" i="17"/>
  <c r="O13" i="17"/>
  <c r="N13" i="17"/>
  <c r="Q12" i="17"/>
  <c r="P12" i="17"/>
  <c r="O12" i="17"/>
  <c r="N12" i="17"/>
  <c r="Q11" i="17"/>
  <c r="P11" i="17"/>
  <c r="O11" i="17"/>
  <c r="N11" i="17"/>
  <c r="Q10" i="17"/>
  <c r="P10" i="17"/>
  <c r="O10" i="17"/>
  <c r="N10" i="17"/>
  <c r="Q9" i="17"/>
  <c r="P9" i="17"/>
  <c r="O9" i="17"/>
  <c r="N9" i="17"/>
  <c r="Q8" i="17"/>
  <c r="P8" i="17"/>
  <c r="O8" i="17"/>
  <c r="N8" i="17"/>
  <c r="Q7" i="17"/>
  <c r="P7" i="17"/>
  <c r="O7" i="17"/>
  <c r="N7" i="17"/>
  <c r="Q6" i="17"/>
  <c r="P6" i="17"/>
  <c r="O6" i="17"/>
  <c r="N6" i="17"/>
  <c r="Q5" i="17"/>
  <c r="P5" i="17"/>
  <c r="O5" i="17"/>
  <c r="N5" i="17"/>
  <c r="Q4" i="17"/>
  <c r="P4" i="17"/>
  <c r="P35" i="17"/>
  <c r="O4" i="17"/>
  <c r="N4" i="17"/>
  <c r="H139" i="17"/>
  <c r="G139" i="17"/>
  <c r="F139" i="17"/>
  <c r="E139" i="17"/>
  <c r="H138" i="17"/>
  <c r="G138" i="17"/>
  <c r="F138" i="17"/>
  <c r="E138" i="17"/>
  <c r="H137" i="17"/>
  <c r="G137" i="17"/>
  <c r="F137" i="17"/>
  <c r="E137" i="17"/>
  <c r="H136" i="17"/>
  <c r="G136" i="17"/>
  <c r="F136" i="17"/>
  <c r="E136" i="17"/>
  <c r="H135" i="17"/>
  <c r="G135" i="17"/>
  <c r="F135" i="17"/>
  <c r="E135" i="17"/>
  <c r="H134" i="17"/>
  <c r="G134" i="17"/>
  <c r="F134" i="17"/>
  <c r="E134" i="17"/>
  <c r="H133" i="17"/>
  <c r="G133" i="17"/>
  <c r="F133" i="17"/>
  <c r="E133" i="17"/>
  <c r="H132" i="17"/>
  <c r="G132" i="17"/>
  <c r="F132" i="17"/>
  <c r="E132" i="17"/>
  <c r="H131" i="17"/>
  <c r="G131" i="17"/>
  <c r="F131" i="17"/>
  <c r="E131" i="17"/>
  <c r="H130" i="17"/>
  <c r="G130" i="17"/>
  <c r="F130" i="17"/>
  <c r="E130" i="17"/>
  <c r="H129" i="17"/>
  <c r="G129" i="17"/>
  <c r="F129" i="17"/>
  <c r="E129" i="17"/>
  <c r="H128" i="17"/>
  <c r="G128" i="17"/>
  <c r="F128" i="17"/>
  <c r="E128" i="17"/>
  <c r="H127" i="17"/>
  <c r="G127" i="17"/>
  <c r="F127" i="17"/>
  <c r="E127" i="17"/>
  <c r="H126" i="17"/>
  <c r="G126" i="17"/>
  <c r="F126" i="17"/>
  <c r="E126" i="17"/>
  <c r="H125" i="17"/>
  <c r="G125" i="17"/>
  <c r="F125" i="17"/>
  <c r="E125" i="17"/>
  <c r="H124" i="17"/>
  <c r="G124" i="17"/>
  <c r="F124" i="17"/>
  <c r="E124" i="17"/>
  <c r="H123" i="17"/>
  <c r="G123" i="17"/>
  <c r="F123" i="17"/>
  <c r="E123" i="17"/>
  <c r="H122" i="17"/>
  <c r="G122" i="17"/>
  <c r="F122" i="17"/>
  <c r="E122" i="17"/>
  <c r="H121" i="17"/>
  <c r="G121" i="17"/>
  <c r="F121" i="17"/>
  <c r="E121" i="17"/>
  <c r="H120" i="17"/>
  <c r="G120" i="17"/>
  <c r="F120" i="17"/>
  <c r="E120" i="17"/>
  <c r="H119" i="17"/>
  <c r="G119" i="17"/>
  <c r="F119" i="17"/>
  <c r="E119" i="17"/>
  <c r="H118" i="17"/>
  <c r="G118" i="17"/>
  <c r="F118" i="17"/>
  <c r="E118" i="17"/>
  <c r="H117" i="17"/>
  <c r="G117" i="17"/>
  <c r="F117" i="17"/>
  <c r="E117" i="17"/>
  <c r="H116" i="17"/>
  <c r="G116" i="17"/>
  <c r="F116" i="17"/>
  <c r="E116" i="17"/>
  <c r="H115" i="17"/>
  <c r="G115" i="17"/>
  <c r="F115" i="17"/>
  <c r="E115" i="17"/>
  <c r="H114" i="17"/>
  <c r="G114" i="17"/>
  <c r="F114" i="17"/>
  <c r="E114" i="17"/>
  <c r="H113" i="17"/>
  <c r="G113" i="17"/>
  <c r="F113" i="17"/>
  <c r="E113" i="17"/>
  <c r="H112" i="17"/>
  <c r="G112" i="17"/>
  <c r="F112" i="17"/>
  <c r="E112" i="17"/>
  <c r="H111" i="17"/>
  <c r="G111" i="17"/>
  <c r="F111" i="17"/>
  <c r="E111" i="17"/>
  <c r="H110" i="17"/>
  <c r="G110" i="17"/>
  <c r="F110" i="17"/>
  <c r="E110" i="17"/>
  <c r="H109" i="17"/>
  <c r="H140" i="17"/>
  <c r="G109" i="17"/>
  <c r="G140" i="17"/>
  <c r="F109" i="17"/>
  <c r="E109" i="17"/>
  <c r="E140" i="17" s="1"/>
  <c r="H104" i="17"/>
  <c r="G104" i="17"/>
  <c r="F104" i="17"/>
  <c r="E104" i="17"/>
  <c r="H103" i="17"/>
  <c r="G103" i="17"/>
  <c r="F103" i="17"/>
  <c r="E103" i="17"/>
  <c r="H102" i="17"/>
  <c r="G102" i="17"/>
  <c r="F102" i="17"/>
  <c r="E102" i="17"/>
  <c r="H101" i="17"/>
  <c r="G101" i="17"/>
  <c r="F101" i="17"/>
  <c r="E101" i="17"/>
  <c r="H100" i="17"/>
  <c r="G100" i="17"/>
  <c r="F100" i="17"/>
  <c r="E100" i="17"/>
  <c r="H99" i="17"/>
  <c r="G99" i="17"/>
  <c r="F99" i="17"/>
  <c r="E99" i="17"/>
  <c r="H98" i="17"/>
  <c r="G98" i="17"/>
  <c r="F98" i="17"/>
  <c r="E98" i="17"/>
  <c r="H97" i="17"/>
  <c r="G97" i="17"/>
  <c r="F97" i="17"/>
  <c r="E97" i="17"/>
  <c r="H96" i="17"/>
  <c r="G96" i="17"/>
  <c r="F96" i="17"/>
  <c r="E96" i="17"/>
  <c r="H95" i="17"/>
  <c r="G95" i="17"/>
  <c r="F95" i="17"/>
  <c r="E95" i="17"/>
  <c r="H94" i="17"/>
  <c r="G94" i="17"/>
  <c r="F94" i="17"/>
  <c r="E94" i="17"/>
  <c r="H93" i="17"/>
  <c r="G93" i="17"/>
  <c r="F93" i="17"/>
  <c r="E93" i="17"/>
  <c r="H92" i="17"/>
  <c r="G92" i="17"/>
  <c r="F92" i="17"/>
  <c r="E92" i="17"/>
  <c r="H91" i="17"/>
  <c r="G91" i="17"/>
  <c r="F91" i="17"/>
  <c r="E91" i="17"/>
  <c r="H90" i="17"/>
  <c r="G90" i="17"/>
  <c r="F90" i="17"/>
  <c r="E90" i="17"/>
  <c r="H89" i="17"/>
  <c r="G89" i="17"/>
  <c r="F89" i="17"/>
  <c r="E89" i="17"/>
  <c r="H88" i="17"/>
  <c r="G88" i="17"/>
  <c r="F88" i="17"/>
  <c r="E88" i="17"/>
  <c r="H87" i="17"/>
  <c r="G87" i="17"/>
  <c r="F87" i="17"/>
  <c r="E87" i="17"/>
  <c r="H86" i="17"/>
  <c r="G86" i="17"/>
  <c r="F86" i="17"/>
  <c r="E86" i="17"/>
  <c r="H85" i="17"/>
  <c r="G85" i="17"/>
  <c r="F85" i="17"/>
  <c r="E85" i="17"/>
  <c r="H84" i="17"/>
  <c r="G84" i="17"/>
  <c r="F84" i="17"/>
  <c r="E84" i="17"/>
  <c r="H83" i="17"/>
  <c r="G83" i="17"/>
  <c r="F83" i="17"/>
  <c r="E83" i="17"/>
  <c r="H82" i="17"/>
  <c r="G82" i="17"/>
  <c r="F82" i="17"/>
  <c r="E82" i="17"/>
  <c r="H81" i="17"/>
  <c r="G81" i="17"/>
  <c r="F81" i="17"/>
  <c r="E81" i="17"/>
  <c r="H80" i="17"/>
  <c r="G80" i="17"/>
  <c r="F80" i="17"/>
  <c r="E80" i="17"/>
  <c r="H79" i="17"/>
  <c r="G79" i="17"/>
  <c r="F79" i="17"/>
  <c r="E79" i="17"/>
  <c r="H78" i="17"/>
  <c r="G78" i="17"/>
  <c r="F78" i="17"/>
  <c r="E78" i="17"/>
  <c r="H77" i="17"/>
  <c r="G77" i="17"/>
  <c r="F77" i="17"/>
  <c r="E77" i="17"/>
  <c r="H76" i="17"/>
  <c r="G76" i="17"/>
  <c r="F76" i="17"/>
  <c r="E76" i="17"/>
  <c r="H75" i="17"/>
  <c r="G75" i="17"/>
  <c r="F75" i="17"/>
  <c r="E75" i="17"/>
  <c r="H74" i="17"/>
  <c r="H105" i="17"/>
  <c r="G74" i="17"/>
  <c r="G105" i="17"/>
  <c r="F74" i="17"/>
  <c r="E74" i="17"/>
  <c r="H69" i="17"/>
  <c r="G69" i="17"/>
  <c r="F69" i="17"/>
  <c r="E69" i="17"/>
  <c r="H68" i="17"/>
  <c r="G68" i="17"/>
  <c r="F68" i="17"/>
  <c r="E68" i="17"/>
  <c r="H67" i="17"/>
  <c r="G67" i="17"/>
  <c r="F67" i="17"/>
  <c r="E67" i="17"/>
  <c r="H66" i="17"/>
  <c r="G66" i="17"/>
  <c r="F66" i="17"/>
  <c r="E66" i="17"/>
  <c r="H65" i="17"/>
  <c r="G65" i="17"/>
  <c r="F65" i="17"/>
  <c r="E65" i="17"/>
  <c r="H64" i="17"/>
  <c r="G64" i="17"/>
  <c r="F64" i="17"/>
  <c r="E64" i="17"/>
  <c r="H63" i="17"/>
  <c r="G63" i="17"/>
  <c r="F63" i="17"/>
  <c r="E63" i="17"/>
  <c r="H62" i="17"/>
  <c r="G62" i="17"/>
  <c r="F62" i="17"/>
  <c r="E62" i="17"/>
  <c r="H61" i="17"/>
  <c r="G61" i="17"/>
  <c r="F61" i="17"/>
  <c r="E61" i="17"/>
  <c r="H60" i="17"/>
  <c r="G60" i="17"/>
  <c r="F60" i="17"/>
  <c r="E60" i="17"/>
  <c r="H59" i="17"/>
  <c r="G59" i="17"/>
  <c r="F59" i="17"/>
  <c r="E59" i="17"/>
  <c r="H58" i="17"/>
  <c r="G58" i="17"/>
  <c r="F58" i="17"/>
  <c r="E58" i="17"/>
  <c r="H57" i="17"/>
  <c r="G57" i="17"/>
  <c r="F57" i="17"/>
  <c r="E57" i="17"/>
  <c r="H56" i="17"/>
  <c r="G56" i="17"/>
  <c r="F56" i="17"/>
  <c r="E56" i="17"/>
  <c r="H55" i="17"/>
  <c r="G55" i="17"/>
  <c r="F55" i="17"/>
  <c r="E55" i="17"/>
  <c r="H54" i="17"/>
  <c r="G54" i="17"/>
  <c r="F54" i="17"/>
  <c r="E54" i="17"/>
  <c r="H53" i="17"/>
  <c r="G53" i="17"/>
  <c r="F53" i="17"/>
  <c r="E53" i="17"/>
  <c r="H52" i="17"/>
  <c r="G52" i="17"/>
  <c r="F52" i="17"/>
  <c r="E52" i="17"/>
  <c r="H51" i="17"/>
  <c r="G51" i="17"/>
  <c r="F51" i="17"/>
  <c r="E51" i="17"/>
  <c r="H50" i="17"/>
  <c r="G50" i="17"/>
  <c r="F50" i="17"/>
  <c r="E50" i="17"/>
  <c r="H49" i="17"/>
  <c r="G49" i="17"/>
  <c r="F49" i="17"/>
  <c r="E49" i="17"/>
  <c r="H48" i="17"/>
  <c r="G48" i="17"/>
  <c r="F48" i="17"/>
  <c r="E48" i="17"/>
  <c r="H47" i="17"/>
  <c r="G47" i="17"/>
  <c r="F47" i="17"/>
  <c r="E47" i="17"/>
  <c r="H46" i="17"/>
  <c r="G46" i="17"/>
  <c r="F46" i="17"/>
  <c r="E46" i="17"/>
  <c r="H45" i="17"/>
  <c r="G45" i="17"/>
  <c r="F45" i="17"/>
  <c r="E45" i="17"/>
  <c r="H44" i="17"/>
  <c r="G44" i="17"/>
  <c r="F44" i="17"/>
  <c r="E44" i="17"/>
  <c r="H43" i="17"/>
  <c r="G43" i="17"/>
  <c r="F43" i="17"/>
  <c r="E43" i="17"/>
  <c r="H42" i="17"/>
  <c r="G42" i="17"/>
  <c r="F42" i="17"/>
  <c r="E42" i="17"/>
  <c r="H41" i="17"/>
  <c r="G41" i="17"/>
  <c r="F41" i="17"/>
  <c r="E41" i="17"/>
  <c r="H40" i="17"/>
  <c r="G40" i="17"/>
  <c r="F40" i="17"/>
  <c r="E40" i="17"/>
  <c r="H39" i="17"/>
  <c r="H70" i="17" s="1"/>
  <c r="G39" i="17"/>
  <c r="G70" i="17" s="1"/>
  <c r="F39" i="17"/>
  <c r="E39" i="17"/>
  <c r="H34" i="17"/>
  <c r="G34" i="17"/>
  <c r="F34" i="17"/>
  <c r="E34" i="17"/>
  <c r="H33" i="17"/>
  <c r="G33" i="17"/>
  <c r="F33" i="17"/>
  <c r="E33" i="17"/>
  <c r="H32" i="17"/>
  <c r="G32" i="17"/>
  <c r="F32" i="17"/>
  <c r="E32" i="17"/>
  <c r="H31" i="17"/>
  <c r="G31" i="17"/>
  <c r="F31" i="17"/>
  <c r="E31" i="17"/>
  <c r="H30" i="17"/>
  <c r="G30" i="17"/>
  <c r="F30" i="17"/>
  <c r="E30" i="17"/>
  <c r="H29" i="17"/>
  <c r="G29" i="17"/>
  <c r="F29" i="17"/>
  <c r="E29" i="17"/>
  <c r="H28" i="17"/>
  <c r="G28" i="17"/>
  <c r="F28" i="17"/>
  <c r="E28" i="17"/>
  <c r="H27" i="17"/>
  <c r="G27" i="17"/>
  <c r="F27" i="17"/>
  <c r="E27" i="17"/>
  <c r="H26" i="17"/>
  <c r="G26" i="17"/>
  <c r="F26" i="17"/>
  <c r="E26" i="17"/>
  <c r="H25" i="17"/>
  <c r="G25" i="17"/>
  <c r="F25" i="17"/>
  <c r="E25" i="17"/>
  <c r="H24" i="17"/>
  <c r="G24" i="17"/>
  <c r="F24" i="17"/>
  <c r="E24" i="17"/>
  <c r="H23" i="17"/>
  <c r="G23" i="17"/>
  <c r="F23" i="17"/>
  <c r="E23" i="17"/>
  <c r="H22" i="17"/>
  <c r="G22" i="17"/>
  <c r="F22" i="17"/>
  <c r="E22" i="17"/>
  <c r="H21" i="17"/>
  <c r="G21" i="17"/>
  <c r="F21" i="17"/>
  <c r="E21" i="17"/>
  <c r="H20" i="17"/>
  <c r="G20" i="17"/>
  <c r="F20" i="17"/>
  <c r="E20" i="17"/>
  <c r="H19" i="17"/>
  <c r="G19" i="17"/>
  <c r="F19" i="17"/>
  <c r="E19" i="17"/>
  <c r="H18" i="17"/>
  <c r="G18" i="17"/>
  <c r="F18" i="17"/>
  <c r="E18" i="17"/>
  <c r="H17" i="17"/>
  <c r="G17" i="17"/>
  <c r="F17" i="17"/>
  <c r="E17" i="17"/>
  <c r="H16" i="17"/>
  <c r="G16" i="17"/>
  <c r="F16" i="17"/>
  <c r="E16" i="17"/>
  <c r="H15" i="17"/>
  <c r="G15" i="17"/>
  <c r="F15" i="17"/>
  <c r="E15" i="17"/>
  <c r="H14" i="17"/>
  <c r="G14" i="17"/>
  <c r="F14" i="17"/>
  <c r="E14" i="17"/>
  <c r="H13" i="17"/>
  <c r="G13" i="17"/>
  <c r="F13" i="17"/>
  <c r="E13" i="17"/>
  <c r="H12" i="17"/>
  <c r="G12" i="17"/>
  <c r="F12" i="17"/>
  <c r="E12" i="17"/>
  <c r="H11" i="17"/>
  <c r="G11" i="17"/>
  <c r="F11" i="17"/>
  <c r="E11" i="17"/>
  <c r="H10" i="17"/>
  <c r="G10" i="17"/>
  <c r="F10" i="17"/>
  <c r="E10" i="17"/>
  <c r="H9" i="17"/>
  <c r="G9" i="17"/>
  <c r="F9" i="17"/>
  <c r="E9" i="17"/>
  <c r="H8" i="17"/>
  <c r="G8" i="17"/>
  <c r="F8" i="17"/>
  <c r="E8" i="17"/>
  <c r="H7" i="17"/>
  <c r="G7" i="17"/>
  <c r="F7" i="17"/>
  <c r="E7" i="17"/>
  <c r="H6" i="17"/>
  <c r="G6" i="17"/>
  <c r="F6" i="17"/>
  <c r="E6" i="17"/>
  <c r="H5" i="17"/>
  <c r="G5" i="17"/>
  <c r="G35" i="17"/>
  <c r="F5" i="17"/>
  <c r="E5" i="17"/>
  <c r="H4" i="17"/>
  <c r="H35" i="17"/>
  <c r="G4" i="17"/>
  <c r="F4" i="17"/>
  <c r="F35" i="17" s="1"/>
  <c r="E4" i="17"/>
  <c r="M139" i="17"/>
  <c r="M138" i="17"/>
  <c r="M137" i="17"/>
  <c r="M136" i="17"/>
  <c r="M135" i="17"/>
  <c r="M134" i="17"/>
  <c r="M133" i="17"/>
  <c r="M132" i="17"/>
  <c r="M131" i="17"/>
  <c r="M130" i="17"/>
  <c r="M129" i="17"/>
  <c r="M128" i="17"/>
  <c r="M127" i="17"/>
  <c r="M126" i="17"/>
  <c r="M125" i="17"/>
  <c r="M124" i="17"/>
  <c r="M123" i="17"/>
  <c r="M122" i="17"/>
  <c r="M121" i="17"/>
  <c r="M120" i="17"/>
  <c r="M119" i="17"/>
  <c r="M118" i="17"/>
  <c r="M117" i="17"/>
  <c r="M116" i="17"/>
  <c r="M115" i="17"/>
  <c r="M114" i="17"/>
  <c r="M113" i="17"/>
  <c r="M112" i="17"/>
  <c r="M111" i="17"/>
  <c r="M110" i="17"/>
  <c r="M109" i="17"/>
  <c r="M104" i="17"/>
  <c r="M103" i="17"/>
  <c r="M102" i="17"/>
  <c r="M101" i="17"/>
  <c r="M100" i="17"/>
  <c r="M99" i="17"/>
  <c r="M98" i="17"/>
  <c r="M97" i="17"/>
  <c r="M96" i="17"/>
  <c r="M95" i="17"/>
  <c r="M94" i="17"/>
  <c r="M93" i="17"/>
  <c r="M92" i="17"/>
  <c r="M91" i="17"/>
  <c r="M90" i="17"/>
  <c r="M89" i="17"/>
  <c r="M88" i="17"/>
  <c r="M87" i="17"/>
  <c r="M86" i="17"/>
  <c r="M85" i="17"/>
  <c r="M84" i="17"/>
  <c r="M83" i="17"/>
  <c r="M82" i="17"/>
  <c r="M81" i="17"/>
  <c r="M80" i="17"/>
  <c r="M79" i="17"/>
  <c r="M78" i="17"/>
  <c r="M77" i="17"/>
  <c r="M76" i="17"/>
  <c r="M75" i="17"/>
  <c r="M74" i="17"/>
  <c r="M69" i="17"/>
  <c r="M68" i="17"/>
  <c r="M67" i="17"/>
  <c r="M66" i="17"/>
  <c r="M65" i="17"/>
  <c r="M64" i="17"/>
  <c r="M63" i="17"/>
  <c r="M62" i="17"/>
  <c r="M61" i="17"/>
  <c r="M60" i="17"/>
  <c r="M59" i="17"/>
  <c r="M58" i="17"/>
  <c r="M57" i="17"/>
  <c r="M56" i="17"/>
  <c r="M55" i="17"/>
  <c r="M54" i="17"/>
  <c r="M53" i="17"/>
  <c r="M52" i="17"/>
  <c r="M51" i="17"/>
  <c r="M50" i="17"/>
  <c r="M49" i="17"/>
  <c r="M48" i="17"/>
  <c r="M47" i="17"/>
  <c r="M46" i="17"/>
  <c r="M45" i="17"/>
  <c r="M44" i="17"/>
  <c r="M43" i="17"/>
  <c r="M42" i="17"/>
  <c r="M41" i="17"/>
  <c r="M40" i="17"/>
  <c r="M39" i="17"/>
  <c r="M34" i="17"/>
  <c r="M33" i="17"/>
  <c r="M32" i="17"/>
  <c r="M31" i="17"/>
  <c r="M30" i="17"/>
  <c r="M29" i="17"/>
  <c r="M28" i="17"/>
  <c r="M27" i="17"/>
  <c r="M26" i="17"/>
  <c r="M25" i="17"/>
  <c r="M24" i="17"/>
  <c r="M23" i="17"/>
  <c r="M22" i="17"/>
  <c r="M21" i="17"/>
  <c r="M20" i="17"/>
  <c r="M19" i="17"/>
  <c r="M18" i="17"/>
  <c r="M17" i="17"/>
  <c r="M16" i="17"/>
  <c r="M15" i="17"/>
  <c r="M14" i="17"/>
  <c r="M13" i="17"/>
  <c r="M12" i="17"/>
  <c r="M11" i="17"/>
  <c r="M10" i="17"/>
  <c r="M9" i="17"/>
  <c r="M8" i="17"/>
  <c r="M7" i="17"/>
  <c r="M6" i="17"/>
  <c r="M5" i="17"/>
  <c r="M4" i="17"/>
  <c r="D139" i="17"/>
  <c r="D138" i="17"/>
  <c r="D137" i="17"/>
  <c r="D136" i="17"/>
  <c r="D135" i="17"/>
  <c r="D134" i="17"/>
  <c r="D133" i="17"/>
  <c r="D132" i="17"/>
  <c r="D131" i="17"/>
  <c r="D130" i="17"/>
  <c r="D129" i="17"/>
  <c r="D128" i="17"/>
  <c r="D127" i="17"/>
  <c r="D126" i="17"/>
  <c r="D125" i="17"/>
  <c r="D124" i="17"/>
  <c r="D123" i="17"/>
  <c r="D122" i="17"/>
  <c r="D121" i="17"/>
  <c r="D120" i="17"/>
  <c r="D119" i="17"/>
  <c r="D118" i="17"/>
  <c r="D117" i="17"/>
  <c r="D116" i="17"/>
  <c r="D115" i="17"/>
  <c r="D114" i="17"/>
  <c r="D113" i="17"/>
  <c r="D112" i="17"/>
  <c r="D111" i="17"/>
  <c r="D140" i="17"/>
  <c r="D110" i="17"/>
  <c r="D109" i="17"/>
  <c r="D104" i="17"/>
  <c r="D103" i="17"/>
  <c r="D102" i="17"/>
  <c r="D101" i="17"/>
  <c r="D100" i="17"/>
  <c r="D99" i="17"/>
  <c r="D98" i="17"/>
  <c r="D97" i="17"/>
  <c r="D96" i="17"/>
  <c r="D95" i="17"/>
  <c r="D94" i="17"/>
  <c r="D93" i="17"/>
  <c r="D92" i="17"/>
  <c r="D91" i="17"/>
  <c r="D90" i="17"/>
  <c r="D89" i="17"/>
  <c r="D88" i="17"/>
  <c r="D87" i="17"/>
  <c r="D86" i="17"/>
  <c r="D85" i="17"/>
  <c r="D84" i="17"/>
  <c r="D83" i="17"/>
  <c r="D82" i="17"/>
  <c r="D81" i="17"/>
  <c r="D80" i="17"/>
  <c r="D79" i="17"/>
  <c r="D78" i="17"/>
  <c r="D77" i="17"/>
  <c r="D76" i="17"/>
  <c r="D75" i="17"/>
  <c r="D74" i="17"/>
  <c r="D69" i="17"/>
  <c r="D68" i="17"/>
  <c r="D67" i="17"/>
  <c r="D66" i="17"/>
  <c r="D65" i="17"/>
  <c r="D64" i="17"/>
  <c r="D63" i="17"/>
  <c r="D62" i="17"/>
  <c r="D61" i="17"/>
  <c r="D60" i="17"/>
  <c r="D59" i="17"/>
  <c r="D58" i="17"/>
  <c r="D57" i="17"/>
  <c r="D56" i="17"/>
  <c r="D55" i="17"/>
  <c r="D54" i="17"/>
  <c r="D53" i="17"/>
  <c r="D52" i="17"/>
  <c r="D51" i="17"/>
  <c r="D50" i="17"/>
  <c r="D49" i="17"/>
  <c r="D48" i="17"/>
  <c r="D47" i="17"/>
  <c r="D46" i="17"/>
  <c r="D45" i="17"/>
  <c r="D44" i="17"/>
  <c r="D43" i="17"/>
  <c r="D42" i="17"/>
  <c r="D41" i="17"/>
  <c r="D40" i="17"/>
  <c r="D39" i="17"/>
  <c r="D34" i="17"/>
  <c r="D33" i="17"/>
  <c r="D32" i="17"/>
  <c r="D31" i="17"/>
  <c r="D30" i="17"/>
  <c r="D29" i="17"/>
  <c r="D28" i="17"/>
  <c r="D27" i="17"/>
  <c r="D26" i="17"/>
  <c r="D25" i="17"/>
  <c r="D24" i="17"/>
  <c r="D23" i="17"/>
  <c r="D22" i="17"/>
  <c r="D21" i="17"/>
  <c r="D20" i="17"/>
  <c r="D19" i="17"/>
  <c r="D18" i="17"/>
  <c r="D17" i="17"/>
  <c r="D16" i="17"/>
  <c r="D15" i="17"/>
  <c r="D14" i="17"/>
  <c r="D13" i="17"/>
  <c r="D12" i="17"/>
  <c r="D11" i="17"/>
  <c r="D10" i="17"/>
  <c r="D9" i="17"/>
  <c r="D8" i="17"/>
  <c r="D7" i="17"/>
  <c r="D6" i="17"/>
  <c r="D5" i="17"/>
  <c r="D4" i="17"/>
  <c r="L139" i="17"/>
  <c r="L138" i="17"/>
  <c r="L137" i="17"/>
  <c r="L136" i="17"/>
  <c r="L135" i="17"/>
  <c r="L134" i="17"/>
  <c r="L133" i="17"/>
  <c r="L132" i="17"/>
  <c r="L131" i="17"/>
  <c r="L130" i="17"/>
  <c r="L129" i="17"/>
  <c r="L128" i="17"/>
  <c r="L127" i="17"/>
  <c r="L126" i="17"/>
  <c r="L125" i="17"/>
  <c r="L124" i="17"/>
  <c r="L123" i="17"/>
  <c r="L122" i="17"/>
  <c r="L121" i="17"/>
  <c r="L120" i="17"/>
  <c r="L119" i="17"/>
  <c r="L118" i="17"/>
  <c r="L117" i="17"/>
  <c r="L116" i="17"/>
  <c r="L115" i="17"/>
  <c r="L114" i="17"/>
  <c r="L113" i="17"/>
  <c r="L112" i="17"/>
  <c r="L111" i="17"/>
  <c r="L110" i="17"/>
  <c r="L109" i="17"/>
  <c r="L140" i="17"/>
  <c r="C139" i="17"/>
  <c r="C138" i="17"/>
  <c r="C137" i="17"/>
  <c r="C136" i="17"/>
  <c r="C135" i="17"/>
  <c r="C134" i="17"/>
  <c r="C133" i="17"/>
  <c r="C132" i="17"/>
  <c r="C131" i="17"/>
  <c r="C130" i="17"/>
  <c r="C129" i="17"/>
  <c r="C128" i="17"/>
  <c r="C127" i="17"/>
  <c r="C126" i="17"/>
  <c r="C125" i="17"/>
  <c r="C124" i="17"/>
  <c r="C123" i="17"/>
  <c r="C122" i="17"/>
  <c r="C121" i="17"/>
  <c r="C120" i="17"/>
  <c r="C119" i="17"/>
  <c r="C118" i="17"/>
  <c r="C117" i="17"/>
  <c r="C116" i="17"/>
  <c r="C115" i="17"/>
  <c r="C114" i="17"/>
  <c r="C113" i="17"/>
  <c r="C112" i="17"/>
  <c r="C111" i="17"/>
  <c r="C110" i="17"/>
  <c r="C109" i="17"/>
  <c r="L104" i="17"/>
  <c r="L103" i="17"/>
  <c r="L102" i="17"/>
  <c r="L101" i="17"/>
  <c r="L100" i="17"/>
  <c r="L99" i="17"/>
  <c r="L98" i="17"/>
  <c r="L97" i="17"/>
  <c r="L96" i="17"/>
  <c r="L95" i="17"/>
  <c r="L94" i="17"/>
  <c r="L93" i="17"/>
  <c r="L92" i="17"/>
  <c r="L91" i="17"/>
  <c r="L90" i="17"/>
  <c r="L89" i="17"/>
  <c r="L88" i="17"/>
  <c r="L87" i="17"/>
  <c r="L86" i="17"/>
  <c r="L85" i="17"/>
  <c r="L84" i="17"/>
  <c r="L83" i="17"/>
  <c r="L82" i="17"/>
  <c r="L81" i="17"/>
  <c r="L80" i="17"/>
  <c r="L79" i="17"/>
  <c r="L78" i="17"/>
  <c r="L77" i="17"/>
  <c r="L76" i="17"/>
  <c r="L75" i="17"/>
  <c r="L74" i="17"/>
  <c r="L105" i="17" s="1"/>
  <c r="C104" i="17"/>
  <c r="C103" i="17"/>
  <c r="C102" i="17"/>
  <c r="C101" i="17"/>
  <c r="C100" i="17"/>
  <c r="C99" i="17"/>
  <c r="C98" i="17"/>
  <c r="C97" i="17"/>
  <c r="C96" i="17"/>
  <c r="C95" i="17"/>
  <c r="C94" i="17"/>
  <c r="C93" i="17"/>
  <c r="C92" i="17"/>
  <c r="C91" i="17"/>
  <c r="C90" i="17"/>
  <c r="C89" i="17"/>
  <c r="C88" i="17"/>
  <c r="C87" i="17"/>
  <c r="C86" i="17"/>
  <c r="C85" i="17"/>
  <c r="C84" i="17"/>
  <c r="C83" i="17"/>
  <c r="C82" i="17"/>
  <c r="C81" i="17"/>
  <c r="C80" i="17"/>
  <c r="C79" i="17"/>
  <c r="C78" i="17"/>
  <c r="C77" i="17"/>
  <c r="C76" i="17"/>
  <c r="C75" i="17"/>
  <c r="C74" i="17"/>
  <c r="H5" i="19"/>
  <c r="L5" i="19"/>
  <c r="L65" i="17"/>
  <c r="L69" i="17"/>
  <c r="L68" i="17"/>
  <c r="L67" i="17"/>
  <c r="L66" i="17"/>
  <c r="L64" i="17"/>
  <c r="L63" i="17"/>
  <c r="L62" i="17"/>
  <c r="L61" i="17"/>
  <c r="L60" i="17"/>
  <c r="L59" i="17"/>
  <c r="L58" i="17"/>
  <c r="L57" i="17"/>
  <c r="L56" i="17"/>
  <c r="L55" i="17"/>
  <c r="L54" i="17"/>
  <c r="L53" i="17"/>
  <c r="L52" i="17"/>
  <c r="L51" i="17"/>
  <c r="L50" i="17"/>
  <c r="L49" i="17"/>
  <c r="L48" i="17"/>
  <c r="L47" i="17"/>
  <c r="L46" i="17"/>
  <c r="L45" i="17"/>
  <c r="L44" i="17"/>
  <c r="L43" i="17"/>
  <c r="L42" i="17"/>
  <c r="L41" i="17"/>
  <c r="L40" i="17"/>
  <c r="L39" i="17"/>
  <c r="K69" i="17"/>
  <c r="K68" i="17"/>
  <c r="K67" i="17"/>
  <c r="K66" i="17"/>
  <c r="K65" i="17"/>
  <c r="K64" i="17"/>
  <c r="K63" i="17"/>
  <c r="K62" i="17"/>
  <c r="K61" i="17"/>
  <c r="K60" i="17"/>
  <c r="K59" i="17"/>
  <c r="K58" i="17"/>
  <c r="K57" i="17"/>
  <c r="K56" i="17"/>
  <c r="K55" i="17"/>
  <c r="K54" i="17"/>
  <c r="K53" i="17"/>
  <c r="K52" i="17"/>
  <c r="K51" i="17"/>
  <c r="K50" i="17"/>
  <c r="K49" i="17"/>
  <c r="K48" i="17"/>
  <c r="K47" i="17"/>
  <c r="K46" i="17"/>
  <c r="K45" i="17"/>
  <c r="K44" i="17"/>
  <c r="K43" i="17"/>
  <c r="K42" i="17"/>
  <c r="K41" i="17"/>
  <c r="K40" i="17"/>
  <c r="K39" i="17"/>
  <c r="K70" i="17"/>
  <c r="B69" i="17"/>
  <c r="B68" i="17"/>
  <c r="B67" i="17"/>
  <c r="B66" i="17"/>
  <c r="B65" i="17"/>
  <c r="B64" i="17"/>
  <c r="B63" i="17"/>
  <c r="B62" i="17"/>
  <c r="B61" i="17"/>
  <c r="B60" i="17"/>
  <c r="B59" i="17"/>
  <c r="B58" i="17"/>
  <c r="B57" i="17"/>
  <c r="B56" i="17"/>
  <c r="B55" i="17"/>
  <c r="B54" i="17"/>
  <c r="B53" i="17"/>
  <c r="B52" i="17"/>
  <c r="B51" i="17"/>
  <c r="B50" i="17"/>
  <c r="B49" i="17"/>
  <c r="B48" i="17"/>
  <c r="B47" i="17"/>
  <c r="B46" i="17"/>
  <c r="B45" i="17"/>
  <c r="B44" i="17"/>
  <c r="B43" i="17"/>
  <c r="B42" i="17"/>
  <c r="B41" i="17"/>
  <c r="B40" i="17"/>
  <c r="B39" i="17"/>
  <c r="C69" i="17"/>
  <c r="C68" i="17"/>
  <c r="C67" i="17"/>
  <c r="C66" i="17"/>
  <c r="C65" i="17"/>
  <c r="C64" i="17"/>
  <c r="C63" i="17"/>
  <c r="C62" i="17"/>
  <c r="C61" i="17"/>
  <c r="C60" i="17"/>
  <c r="C59" i="17"/>
  <c r="C58" i="17"/>
  <c r="C57" i="17"/>
  <c r="C56" i="17"/>
  <c r="C55" i="17"/>
  <c r="C54" i="17"/>
  <c r="C53" i="17"/>
  <c r="C52" i="17"/>
  <c r="C51" i="17"/>
  <c r="C50" i="17"/>
  <c r="C49" i="17"/>
  <c r="C48" i="17"/>
  <c r="C47" i="17"/>
  <c r="C46" i="17"/>
  <c r="C45" i="17"/>
  <c r="C44" i="17"/>
  <c r="C43" i="17"/>
  <c r="C42" i="17"/>
  <c r="C41" i="17"/>
  <c r="C40" i="17"/>
  <c r="C39" i="17"/>
  <c r="B4" i="17"/>
  <c r="C4" i="17"/>
  <c r="K4" i="17"/>
  <c r="L4" i="17"/>
  <c r="B5" i="17"/>
  <c r="C5" i="17"/>
  <c r="K5" i="17"/>
  <c r="L5" i="17"/>
  <c r="B6" i="17"/>
  <c r="C6" i="17"/>
  <c r="K6" i="17"/>
  <c r="L6" i="17"/>
  <c r="B7" i="17"/>
  <c r="C7" i="17"/>
  <c r="K7" i="17"/>
  <c r="L7" i="17"/>
  <c r="B8" i="17"/>
  <c r="C8" i="17"/>
  <c r="K8" i="17"/>
  <c r="L8" i="17"/>
  <c r="B9" i="17"/>
  <c r="C9" i="17"/>
  <c r="K9" i="17"/>
  <c r="L9" i="17"/>
  <c r="B10" i="17"/>
  <c r="C10" i="17"/>
  <c r="K10" i="17"/>
  <c r="L10" i="17"/>
  <c r="B11" i="17"/>
  <c r="C11" i="17"/>
  <c r="K11" i="17"/>
  <c r="L11" i="17"/>
  <c r="B12" i="17"/>
  <c r="C12" i="17"/>
  <c r="K12" i="17"/>
  <c r="L12" i="17"/>
  <c r="B13" i="17"/>
  <c r="C13" i="17"/>
  <c r="K13" i="17"/>
  <c r="L13" i="17"/>
  <c r="B14" i="17"/>
  <c r="C14" i="17"/>
  <c r="K14" i="17"/>
  <c r="L14" i="17"/>
  <c r="B15" i="17"/>
  <c r="C15" i="17"/>
  <c r="K15" i="17"/>
  <c r="L15" i="17"/>
  <c r="B16" i="17"/>
  <c r="C16" i="17"/>
  <c r="K16" i="17"/>
  <c r="L16" i="17"/>
  <c r="B17" i="17"/>
  <c r="C17" i="17"/>
  <c r="K17" i="17"/>
  <c r="L17" i="17"/>
  <c r="B18" i="17"/>
  <c r="C18" i="17"/>
  <c r="K18" i="17"/>
  <c r="L18" i="17"/>
  <c r="B19" i="17"/>
  <c r="C19" i="17"/>
  <c r="K19" i="17"/>
  <c r="L19" i="17"/>
  <c r="B20" i="17"/>
  <c r="C20" i="17"/>
  <c r="K20" i="17"/>
  <c r="L20" i="17"/>
  <c r="B21" i="17"/>
  <c r="C21" i="17"/>
  <c r="K21" i="17"/>
  <c r="L21" i="17"/>
  <c r="B22" i="17"/>
  <c r="C22" i="17"/>
  <c r="K22" i="17"/>
  <c r="L22" i="17"/>
  <c r="B23" i="17"/>
  <c r="C23" i="17"/>
  <c r="K23" i="17"/>
  <c r="L23" i="17"/>
  <c r="B24" i="17"/>
  <c r="C24" i="17"/>
  <c r="K24" i="17"/>
  <c r="L24" i="17"/>
  <c r="B25" i="17"/>
  <c r="C25" i="17"/>
  <c r="K25" i="17"/>
  <c r="L25" i="17"/>
  <c r="B26" i="17"/>
  <c r="C26" i="17"/>
  <c r="K26" i="17"/>
  <c r="L26" i="17"/>
  <c r="B27" i="17"/>
  <c r="C27" i="17"/>
  <c r="K27" i="17"/>
  <c r="L27" i="17"/>
  <c r="B28" i="17"/>
  <c r="C28" i="17"/>
  <c r="K28" i="17"/>
  <c r="L28" i="17"/>
  <c r="B29" i="17"/>
  <c r="C29" i="17"/>
  <c r="K29" i="17"/>
  <c r="L29" i="17"/>
  <c r="B30" i="17"/>
  <c r="C30" i="17"/>
  <c r="K30" i="17"/>
  <c r="L30" i="17"/>
  <c r="B31" i="17"/>
  <c r="C31" i="17"/>
  <c r="K31" i="17"/>
  <c r="L31" i="17"/>
  <c r="B32" i="17"/>
  <c r="C32" i="17"/>
  <c r="K32" i="17"/>
  <c r="L32" i="17"/>
  <c r="B33" i="17"/>
  <c r="C33" i="17"/>
  <c r="K33" i="17"/>
  <c r="L33" i="17"/>
  <c r="B34" i="17"/>
  <c r="C34" i="17"/>
  <c r="K34" i="17"/>
  <c r="L34" i="17"/>
  <c r="B35" i="17"/>
  <c r="B74" i="17"/>
  <c r="K74" i="17"/>
  <c r="B75" i="17"/>
  <c r="K75" i="17"/>
  <c r="B76" i="17"/>
  <c r="K76" i="17"/>
  <c r="B77" i="17"/>
  <c r="K77" i="17"/>
  <c r="K105" i="17" s="1"/>
  <c r="B78" i="17"/>
  <c r="K78" i="17"/>
  <c r="B79" i="17"/>
  <c r="K79" i="17"/>
  <c r="B80" i="17"/>
  <c r="K80" i="17"/>
  <c r="B81" i="17"/>
  <c r="K81" i="17"/>
  <c r="B82" i="17"/>
  <c r="K82" i="17"/>
  <c r="B83" i="17"/>
  <c r="K83" i="17"/>
  <c r="B84" i="17"/>
  <c r="K84" i="17"/>
  <c r="B85" i="17"/>
  <c r="K85" i="17"/>
  <c r="B86" i="17"/>
  <c r="K86" i="17"/>
  <c r="B87" i="17"/>
  <c r="K87" i="17"/>
  <c r="B88" i="17"/>
  <c r="K88" i="17"/>
  <c r="B89" i="17"/>
  <c r="K89" i="17"/>
  <c r="B90" i="17"/>
  <c r="K90" i="17"/>
  <c r="B91" i="17"/>
  <c r="K91" i="17"/>
  <c r="B92" i="17"/>
  <c r="K92" i="17"/>
  <c r="B93" i="17"/>
  <c r="K93" i="17"/>
  <c r="B94" i="17"/>
  <c r="K94" i="17"/>
  <c r="B95" i="17"/>
  <c r="K95" i="17"/>
  <c r="B96" i="17"/>
  <c r="K96" i="17"/>
  <c r="B97" i="17"/>
  <c r="K97" i="17"/>
  <c r="B98" i="17"/>
  <c r="K98" i="17"/>
  <c r="B99" i="17"/>
  <c r="K99" i="17"/>
  <c r="B100" i="17"/>
  <c r="K100" i="17"/>
  <c r="B101" i="17"/>
  <c r="K101" i="17"/>
  <c r="B102" i="17"/>
  <c r="K102" i="17"/>
  <c r="B103" i="17"/>
  <c r="K103" i="17"/>
  <c r="B104" i="17"/>
  <c r="K104" i="17"/>
  <c r="B109" i="17"/>
  <c r="K109" i="17"/>
  <c r="K140" i="17"/>
  <c r="B110" i="17"/>
  <c r="K110" i="17"/>
  <c r="B111" i="17"/>
  <c r="K111" i="17"/>
  <c r="B112" i="17"/>
  <c r="K112" i="17"/>
  <c r="B113" i="17"/>
  <c r="K113" i="17"/>
  <c r="B114" i="17"/>
  <c r="K114" i="17"/>
  <c r="B115" i="17"/>
  <c r="K115" i="17"/>
  <c r="B116" i="17"/>
  <c r="K116" i="17"/>
  <c r="B117" i="17"/>
  <c r="K117" i="17"/>
  <c r="B118" i="17"/>
  <c r="K118" i="17"/>
  <c r="B119" i="17"/>
  <c r="K119" i="17"/>
  <c r="B120" i="17"/>
  <c r="K120" i="17"/>
  <c r="B121" i="17"/>
  <c r="K121" i="17"/>
  <c r="B122" i="17"/>
  <c r="K122" i="17"/>
  <c r="B123" i="17"/>
  <c r="K123" i="17"/>
  <c r="B124" i="17"/>
  <c r="K124" i="17"/>
  <c r="B125" i="17"/>
  <c r="K125" i="17"/>
  <c r="B126" i="17"/>
  <c r="K126" i="17"/>
  <c r="B127" i="17"/>
  <c r="K127" i="17"/>
  <c r="B128" i="17"/>
  <c r="K128" i="17"/>
  <c r="B129" i="17"/>
  <c r="K129" i="17"/>
  <c r="B130" i="17"/>
  <c r="K130" i="17"/>
  <c r="B131" i="17"/>
  <c r="K131" i="17"/>
  <c r="B132" i="17"/>
  <c r="K132" i="17"/>
  <c r="B133" i="17"/>
  <c r="K133" i="17"/>
  <c r="B134" i="17"/>
  <c r="K134" i="17"/>
  <c r="B135" i="17"/>
  <c r="K135" i="17"/>
  <c r="B136" i="17"/>
  <c r="K136" i="17"/>
  <c r="B137" i="17"/>
  <c r="K137" i="17"/>
  <c r="B138" i="17"/>
  <c r="K138" i="17"/>
  <c r="B139" i="17"/>
  <c r="K139" i="17"/>
  <c r="D4" i="12"/>
  <c r="D5" i="12"/>
  <c r="D6" i="12"/>
  <c r="D7" i="12"/>
  <c r="D8" i="12"/>
  <c r="D9" i="12"/>
  <c r="D10" i="12"/>
  <c r="D11" i="12"/>
  <c r="D12" i="12"/>
  <c r="D13" i="12"/>
  <c r="D14" i="12"/>
  <c r="D15" i="12"/>
  <c r="D16" i="12"/>
  <c r="D17" i="12"/>
  <c r="D18" i="12"/>
  <c r="D4" i="13"/>
  <c r="C68" i="19"/>
  <c r="K35" i="15"/>
  <c r="D5" i="13"/>
  <c r="D4" i="11"/>
  <c r="D5" i="11"/>
  <c r="D6" i="11"/>
  <c r="G59" i="19"/>
  <c r="L25" i="15" s="1"/>
  <c r="D8" i="11"/>
  <c r="D9" i="11"/>
  <c r="D10" i="11"/>
  <c r="D11" i="11"/>
  <c r="D13" i="11"/>
  <c r="D14" i="11"/>
  <c r="K61" i="19"/>
  <c r="D15" i="11"/>
  <c r="D17" i="11"/>
  <c r="D18" i="11"/>
  <c r="D19" i="11"/>
  <c r="D20" i="11"/>
  <c r="D22" i="11"/>
  <c r="D23" i="11"/>
  <c r="D24" i="11"/>
  <c r="G63" i="19"/>
  <c r="D26" i="11"/>
  <c r="D27" i="11"/>
  <c r="D28" i="11"/>
  <c r="D29" i="11"/>
  <c r="D31" i="11"/>
  <c r="D32" i="11"/>
  <c r="K65" i="19"/>
  <c r="D33" i="11"/>
  <c r="D35" i="11"/>
  <c r="D36" i="11"/>
  <c r="D37" i="11"/>
  <c r="D38" i="11"/>
  <c r="D4" i="9"/>
  <c r="C48" i="19"/>
  <c r="K10" i="15"/>
  <c r="D5" i="9"/>
  <c r="D6" i="9"/>
  <c r="G48" i="19"/>
  <c r="D8" i="9"/>
  <c r="D9" i="9"/>
  <c r="D10" i="9"/>
  <c r="D11" i="9"/>
  <c r="D12" i="9"/>
  <c r="D14" i="9"/>
  <c r="D15" i="9"/>
  <c r="D16" i="9"/>
  <c r="D17" i="9"/>
  <c r="D18" i="9"/>
  <c r="D19" i="9"/>
  <c r="D21" i="9"/>
  <c r="D22" i="9"/>
  <c r="D23" i="9"/>
  <c r="D24" i="9"/>
  <c r="D25" i="9"/>
  <c r="D26" i="9"/>
  <c r="D27" i="9"/>
  <c r="D29" i="9"/>
  <c r="D30" i="9"/>
  <c r="D31" i="9"/>
  <c r="D32" i="9"/>
  <c r="D33" i="9"/>
  <c r="D34" i="9"/>
  <c r="D35" i="9"/>
  <c r="D37" i="9"/>
  <c r="D38" i="9"/>
  <c r="D39" i="9"/>
  <c r="D40" i="9"/>
  <c r="D41" i="9"/>
  <c r="D42" i="9"/>
  <c r="D43" i="9"/>
  <c r="D45" i="9"/>
  <c r="D46" i="9"/>
  <c r="D47" i="9"/>
  <c r="D48" i="9"/>
  <c r="D49" i="9"/>
  <c r="D50" i="9"/>
  <c r="D51" i="9"/>
  <c r="D53" i="9"/>
  <c r="D54" i="9"/>
  <c r="D55" i="9"/>
  <c r="D56" i="9"/>
  <c r="D57" i="9"/>
  <c r="D58" i="9"/>
  <c r="D59" i="9"/>
  <c r="D61" i="9"/>
  <c r="D62" i="9"/>
  <c r="C56" i="19"/>
  <c r="D63" i="9"/>
  <c r="D65" i="9"/>
  <c r="D66" i="9"/>
  <c r="D67" i="9"/>
  <c r="D68" i="9"/>
  <c r="D69" i="9"/>
  <c r="D70" i="9"/>
  <c r="D4" i="8"/>
  <c r="D5" i="8"/>
  <c r="D6" i="8"/>
  <c r="G44" i="19"/>
  <c r="D7" i="8"/>
  <c r="D9" i="8"/>
  <c r="D10" i="8"/>
  <c r="D11" i="8"/>
  <c r="D12" i="8"/>
  <c r="C45" i="19"/>
  <c r="D13" i="8"/>
  <c r="D14" i="8"/>
  <c r="D15" i="8"/>
  <c r="D17" i="8"/>
  <c r="C46" i="19"/>
  <c r="D4" i="14"/>
  <c r="D5" i="14"/>
  <c r="D6" i="14"/>
  <c r="D8" i="14"/>
  <c r="K31" i="19"/>
  <c r="D10" i="14"/>
  <c r="D11" i="14"/>
  <c r="D12" i="14"/>
  <c r="D14" i="14"/>
  <c r="D15" i="14"/>
  <c r="D16" i="14"/>
  <c r="D17" i="14"/>
  <c r="D18" i="14"/>
  <c r="D19" i="14"/>
  <c r="D21" i="14"/>
  <c r="D23" i="14"/>
  <c r="C34" i="19"/>
  <c r="D24" i="14"/>
  <c r="D25" i="14"/>
  <c r="D26" i="14"/>
  <c r="D28" i="14"/>
  <c r="C35" i="19"/>
  <c r="D30" i="14"/>
  <c r="K36" i="19"/>
  <c r="D32" i="14"/>
  <c r="C37" i="19"/>
  <c r="D34" i="14"/>
  <c r="C38" i="19"/>
  <c r="D36" i="14"/>
  <c r="C39" i="19"/>
  <c r="D38" i="14"/>
  <c r="C40" i="19"/>
  <c r="D39" i="14"/>
  <c r="D41" i="14"/>
  <c r="C41" i="19"/>
  <c r="D43" i="14"/>
  <c r="D44" i="14"/>
  <c r="D45" i="14"/>
  <c r="D46" i="14"/>
  <c r="D47" i="14"/>
  <c r="D4" i="7"/>
  <c r="D5" i="7"/>
  <c r="D7" i="7"/>
  <c r="D8" i="7"/>
  <c r="D9" i="7"/>
  <c r="D10" i="7"/>
  <c r="D11" i="7"/>
  <c r="D13" i="7"/>
  <c r="D14" i="7"/>
  <c r="D15" i="7"/>
  <c r="D16" i="7"/>
  <c r="D17" i="7"/>
  <c r="D18" i="7"/>
  <c r="D20" i="7"/>
  <c r="D21" i="7"/>
  <c r="D22" i="7"/>
  <c r="D23" i="7"/>
  <c r="D25" i="7"/>
  <c r="D26" i="7"/>
  <c r="D27" i="7"/>
  <c r="H75" i="19" s="1"/>
  <c r="D29" i="7"/>
  <c r="D30" i="7"/>
  <c r="D31" i="7"/>
  <c r="D33" i="7"/>
  <c r="D34" i="7"/>
  <c r="D35" i="7"/>
  <c r="D36" i="7"/>
  <c r="D37" i="7"/>
  <c r="D38" i="7"/>
  <c r="D39" i="7"/>
  <c r="D40" i="7"/>
  <c r="D41" i="7"/>
  <c r="D43" i="7"/>
  <c r="K16" i="19"/>
  <c r="E15" i="15" s="1"/>
  <c r="D45" i="7"/>
  <c r="D46" i="7"/>
  <c r="D48" i="7"/>
  <c r="C18" i="19"/>
  <c r="D50" i="7"/>
  <c r="D51" i="7"/>
  <c r="D52" i="7"/>
  <c r="D54" i="7"/>
  <c r="D55" i="7"/>
  <c r="D56" i="7"/>
  <c r="D58" i="7"/>
  <c r="D59" i="7"/>
  <c r="D60" i="7"/>
  <c r="D62" i="7"/>
  <c r="C22" i="19" s="1"/>
  <c r="D64" i="7"/>
  <c r="C23" i="19" s="1"/>
  <c r="K23" i="19"/>
  <c r="E22" i="15" s="1"/>
  <c r="D66" i="7"/>
  <c r="D67" i="7"/>
  <c r="D69" i="7"/>
  <c r="C25" i="19" s="1"/>
  <c r="D71" i="7"/>
  <c r="D72" i="7"/>
  <c r="C26" i="19" s="1"/>
  <c r="C25" i="15" s="1"/>
  <c r="D74" i="7"/>
  <c r="C27" i="19" s="1"/>
  <c r="C26" i="15" s="1"/>
  <c r="K27" i="19"/>
  <c r="E26" i="15" s="1"/>
  <c r="D76" i="7"/>
  <c r="D77" i="7"/>
  <c r="D78" i="7"/>
  <c r="H84" i="19" s="1"/>
  <c r="D79" i="7"/>
  <c r="D4" i="6"/>
  <c r="C5" i="19"/>
  <c r="D5" i="6"/>
  <c r="D7" i="6"/>
  <c r="D8" i="6"/>
  <c r="D9" i="6"/>
  <c r="D11" i="6"/>
  <c r="C7" i="19"/>
  <c r="B5" i="19"/>
  <c r="D5" i="19"/>
  <c r="E5" i="19"/>
  <c r="F5" i="19"/>
  <c r="C4" i="15"/>
  <c r="I5" i="19"/>
  <c r="J5" i="19"/>
  <c r="M5" i="19"/>
  <c r="N5" i="19"/>
  <c r="P5" i="19"/>
  <c r="Q5" i="19"/>
  <c r="U5" i="23"/>
  <c r="R5" i="19"/>
  <c r="T5" i="19"/>
  <c r="U5" i="19"/>
  <c r="V5" i="19"/>
  <c r="G45" i="15"/>
  <c r="B6" i="19"/>
  <c r="D6" i="19"/>
  <c r="E6" i="19"/>
  <c r="C46" i="15"/>
  <c r="F6" i="19"/>
  <c r="H6" i="19"/>
  <c r="I6" i="19"/>
  <c r="O5" i="23" s="1"/>
  <c r="J6" i="19"/>
  <c r="L6" i="19"/>
  <c r="Q5" i="23" s="1"/>
  <c r="M6" i="19"/>
  <c r="N6" i="19"/>
  <c r="P6" i="19"/>
  <c r="Q6" i="19"/>
  <c r="R6" i="19"/>
  <c r="T6" i="19"/>
  <c r="U6" i="19"/>
  <c r="X5" i="23"/>
  <c r="V6" i="19"/>
  <c r="B7" i="19"/>
  <c r="D7" i="19"/>
  <c r="E7" i="19"/>
  <c r="F7" i="19"/>
  <c r="C6" i="15" s="1"/>
  <c r="C5" i="23" s="1"/>
  <c r="H7" i="19"/>
  <c r="I7" i="19"/>
  <c r="J7" i="19"/>
  <c r="D47" i="15" s="1"/>
  <c r="L7" i="19"/>
  <c r="M7" i="19"/>
  <c r="E47" i="15"/>
  <c r="N7" i="19"/>
  <c r="P7" i="19"/>
  <c r="Q7" i="19"/>
  <c r="F47" i="15"/>
  <c r="R7" i="19"/>
  <c r="T7" i="19"/>
  <c r="G47" i="15"/>
  <c r="U7" i="19"/>
  <c r="V7" i="19"/>
  <c r="B9" i="19"/>
  <c r="D9" i="19"/>
  <c r="C49" i="15" s="1"/>
  <c r="E9" i="19"/>
  <c r="F9" i="19"/>
  <c r="H9" i="19"/>
  <c r="I9" i="19"/>
  <c r="D49" i="15" s="1"/>
  <c r="J9" i="19"/>
  <c r="L9" i="19"/>
  <c r="M9" i="19"/>
  <c r="N9" i="19"/>
  <c r="P9" i="19"/>
  <c r="Q9" i="19"/>
  <c r="R9" i="19"/>
  <c r="T9" i="19"/>
  <c r="U9" i="19"/>
  <c r="V9" i="19"/>
  <c r="B10" i="19"/>
  <c r="D10" i="19"/>
  <c r="E10" i="19"/>
  <c r="F10" i="19"/>
  <c r="H10" i="19"/>
  <c r="I10" i="19"/>
  <c r="J10" i="19"/>
  <c r="L10" i="19"/>
  <c r="M10" i="19"/>
  <c r="N10" i="19"/>
  <c r="P10" i="19"/>
  <c r="Q10" i="19"/>
  <c r="R10" i="19"/>
  <c r="T10" i="19"/>
  <c r="U10" i="19"/>
  <c r="V10" i="19"/>
  <c r="B11" i="19"/>
  <c r="D11" i="19"/>
  <c r="E11" i="19"/>
  <c r="F11" i="19"/>
  <c r="H11" i="19"/>
  <c r="I11" i="19"/>
  <c r="J11" i="19"/>
  <c r="L11" i="19"/>
  <c r="M11" i="19"/>
  <c r="N11" i="19"/>
  <c r="P11" i="19"/>
  <c r="Q11" i="19"/>
  <c r="R11" i="19"/>
  <c r="F51" i="15" s="1"/>
  <c r="T11" i="19"/>
  <c r="U11" i="19"/>
  <c r="V11" i="19"/>
  <c r="B12" i="19"/>
  <c r="D12" i="19"/>
  <c r="E12" i="19"/>
  <c r="F12" i="19"/>
  <c r="H12" i="19"/>
  <c r="I12" i="19"/>
  <c r="J12" i="19"/>
  <c r="L12" i="19"/>
  <c r="M12" i="19"/>
  <c r="N12" i="19"/>
  <c r="P12" i="19"/>
  <c r="Q12" i="19"/>
  <c r="R12" i="19"/>
  <c r="T12" i="19"/>
  <c r="U12" i="19"/>
  <c r="V12" i="19"/>
  <c r="B13" i="19"/>
  <c r="D13" i="19"/>
  <c r="E13" i="19"/>
  <c r="C53" i="15" s="1"/>
  <c r="F13" i="19"/>
  <c r="H13" i="19"/>
  <c r="I13" i="19"/>
  <c r="J13" i="19"/>
  <c r="L13" i="19"/>
  <c r="M13" i="19"/>
  <c r="N13" i="19"/>
  <c r="P13" i="19"/>
  <c r="Q13" i="19"/>
  <c r="F53" i="15"/>
  <c r="R13" i="19"/>
  <c r="T13" i="19"/>
  <c r="U13" i="19"/>
  <c r="V13" i="19"/>
  <c r="B14" i="19"/>
  <c r="D14" i="19"/>
  <c r="E14" i="19"/>
  <c r="F14" i="19"/>
  <c r="H14" i="19"/>
  <c r="I14" i="19"/>
  <c r="J14" i="19"/>
  <c r="L14" i="19"/>
  <c r="M14" i="19"/>
  <c r="N14" i="19"/>
  <c r="P14" i="19"/>
  <c r="Q14" i="19"/>
  <c r="R14" i="19"/>
  <c r="T14" i="19"/>
  <c r="U14" i="19"/>
  <c r="G54" i="15"/>
  <c r="V14" i="19"/>
  <c r="B15" i="19"/>
  <c r="D15" i="19"/>
  <c r="E15" i="19"/>
  <c r="F15" i="19"/>
  <c r="H15" i="19"/>
  <c r="I15" i="19"/>
  <c r="J15" i="19"/>
  <c r="L15" i="19"/>
  <c r="M15" i="19"/>
  <c r="N15" i="19"/>
  <c r="P15" i="19"/>
  <c r="Q15" i="19"/>
  <c r="R15" i="19"/>
  <c r="T15" i="19"/>
  <c r="U15" i="19"/>
  <c r="V15" i="19"/>
  <c r="B16" i="19"/>
  <c r="D16" i="19"/>
  <c r="E16" i="19"/>
  <c r="F16" i="19"/>
  <c r="H16" i="19"/>
  <c r="I16" i="19"/>
  <c r="J16" i="19"/>
  <c r="L16" i="19"/>
  <c r="M16" i="19"/>
  <c r="N16" i="19"/>
  <c r="P16" i="19"/>
  <c r="F56" i="15" s="1"/>
  <c r="Q16" i="19"/>
  <c r="R16" i="19"/>
  <c r="T16" i="19"/>
  <c r="U16" i="19"/>
  <c r="V16" i="19"/>
  <c r="B17" i="19"/>
  <c r="D17" i="19"/>
  <c r="E17" i="19"/>
  <c r="F17" i="19"/>
  <c r="H17" i="19"/>
  <c r="I17" i="19"/>
  <c r="J17" i="19"/>
  <c r="L17" i="19"/>
  <c r="M17" i="19"/>
  <c r="N17" i="19"/>
  <c r="E57" i="15" s="1"/>
  <c r="P17" i="19"/>
  <c r="Q17" i="19"/>
  <c r="R17" i="19"/>
  <c r="T17" i="19"/>
  <c r="U17" i="19"/>
  <c r="V17" i="19"/>
  <c r="B18" i="19"/>
  <c r="D18" i="19"/>
  <c r="E18" i="19"/>
  <c r="F18" i="19"/>
  <c r="H18" i="19"/>
  <c r="I18" i="19"/>
  <c r="D58" i="15" s="1"/>
  <c r="J18" i="19"/>
  <c r="L18" i="19"/>
  <c r="M18" i="19"/>
  <c r="E58" i="15"/>
  <c r="N18" i="19"/>
  <c r="P18" i="19"/>
  <c r="Q18" i="19"/>
  <c r="R18" i="19"/>
  <c r="T18" i="19"/>
  <c r="U18" i="19"/>
  <c r="V18" i="19"/>
  <c r="B19" i="19"/>
  <c r="D19" i="19"/>
  <c r="E19" i="19"/>
  <c r="F19" i="19"/>
  <c r="H19" i="19"/>
  <c r="I19" i="19"/>
  <c r="J19" i="19"/>
  <c r="L19" i="19"/>
  <c r="M19" i="19"/>
  <c r="N19" i="19"/>
  <c r="P19" i="19"/>
  <c r="Q19" i="19"/>
  <c r="R19" i="19"/>
  <c r="T19" i="19"/>
  <c r="U19" i="19"/>
  <c r="V19" i="19"/>
  <c r="B20" i="19"/>
  <c r="D20" i="19"/>
  <c r="E20" i="19"/>
  <c r="F20" i="19"/>
  <c r="H20" i="19"/>
  <c r="I20" i="19"/>
  <c r="J20" i="19"/>
  <c r="L20" i="19"/>
  <c r="M20" i="19"/>
  <c r="N20" i="19"/>
  <c r="P20" i="19"/>
  <c r="Q20" i="19"/>
  <c r="R20" i="19"/>
  <c r="T20" i="19"/>
  <c r="U20" i="19"/>
  <c r="V20" i="19"/>
  <c r="G60" i="15"/>
  <c r="B21" i="19"/>
  <c r="D21" i="19"/>
  <c r="E21" i="19"/>
  <c r="C61" i="15" s="1"/>
  <c r="F21" i="19"/>
  <c r="H21" i="19"/>
  <c r="I21" i="19"/>
  <c r="J21" i="19"/>
  <c r="L21" i="19"/>
  <c r="M21" i="19"/>
  <c r="N21" i="19"/>
  <c r="P21" i="19"/>
  <c r="Q21" i="19"/>
  <c r="R21" i="19"/>
  <c r="T21" i="19"/>
  <c r="U21" i="19"/>
  <c r="V21" i="19"/>
  <c r="B22" i="19"/>
  <c r="D22" i="19"/>
  <c r="E22" i="19"/>
  <c r="F22" i="19"/>
  <c r="G22" i="19"/>
  <c r="H22" i="19"/>
  <c r="I22" i="19"/>
  <c r="J22" i="19"/>
  <c r="L22" i="19"/>
  <c r="M22" i="19"/>
  <c r="N22" i="19"/>
  <c r="P22" i="19"/>
  <c r="Q22" i="19"/>
  <c r="R22" i="19"/>
  <c r="T22" i="19"/>
  <c r="U22" i="19"/>
  <c r="V22" i="19"/>
  <c r="B23" i="19"/>
  <c r="D23" i="19"/>
  <c r="E23" i="19"/>
  <c r="F23" i="19"/>
  <c r="H23" i="19"/>
  <c r="I23" i="19"/>
  <c r="J23" i="19"/>
  <c r="L23" i="19"/>
  <c r="M23" i="19"/>
  <c r="N23" i="19"/>
  <c r="P23" i="19"/>
  <c r="Q23" i="19"/>
  <c r="R23" i="19"/>
  <c r="T23" i="19"/>
  <c r="U23" i="19"/>
  <c r="V23" i="19"/>
  <c r="B24" i="19"/>
  <c r="D24" i="19"/>
  <c r="E24" i="19"/>
  <c r="F24" i="19"/>
  <c r="H24" i="19"/>
  <c r="I24" i="19"/>
  <c r="J24" i="19"/>
  <c r="L24" i="19"/>
  <c r="M24" i="19"/>
  <c r="N24" i="19"/>
  <c r="P24" i="19"/>
  <c r="Q24" i="19"/>
  <c r="R24" i="19"/>
  <c r="T24" i="19"/>
  <c r="U24" i="19"/>
  <c r="V24" i="19"/>
  <c r="B25" i="19"/>
  <c r="D25" i="19"/>
  <c r="E25" i="19"/>
  <c r="C65" i="15" s="1"/>
  <c r="F25" i="19"/>
  <c r="H25" i="19"/>
  <c r="I25" i="19"/>
  <c r="J25" i="19"/>
  <c r="L25" i="19"/>
  <c r="M25" i="19"/>
  <c r="N25" i="19"/>
  <c r="P25" i="19"/>
  <c r="Q25" i="19"/>
  <c r="R25" i="19"/>
  <c r="T25" i="19"/>
  <c r="U25" i="19"/>
  <c r="V25" i="19"/>
  <c r="B26" i="19"/>
  <c r="D26" i="19"/>
  <c r="E26" i="19"/>
  <c r="F26" i="19"/>
  <c r="H26" i="19"/>
  <c r="I26" i="19"/>
  <c r="J26" i="19"/>
  <c r="L26" i="19"/>
  <c r="M26" i="19"/>
  <c r="N26" i="19"/>
  <c r="E66" i="15" s="1"/>
  <c r="P26" i="19"/>
  <c r="Q26" i="19"/>
  <c r="R26" i="19"/>
  <c r="T26" i="19"/>
  <c r="U26" i="19"/>
  <c r="V26" i="19"/>
  <c r="B27" i="19"/>
  <c r="D27" i="19"/>
  <c r="E27" i="19"/>
  <c r="F27" i="19"/>
  <c r="H27" i="19"/>
  <c r="I27" i="19"/>
  <c r="J27" i="19"/>
  <c r="L27" i="19"/>
  <c r="M27" i="19"/>
  <c r="N27" i="19"/>
  <c r="P27" i="19"/>
  <c r="Q27" i="19"/>
  <c r="R27" i="19"/>
  <c r="T27" i="19"/>
  <c r="U27" i="19"/>
  <c r="V27" i="19"/>
  <c r="B28" i="19"/>
  <c r="D28" i="19"/>
  <c r="E28" i="19"/>
  <c r="F28" i="19"/>
  <c r="H28" i="19"/>
  <c r="I28" i="19"/>
  <c r="J28" i="19"/>
  <c r="L28" i="19"/>
  <c r="M28" i="19"/>
  <c r="E68" i="15"/>
  <c r="N28" i="19"/>
  <c r="P28" i="19"/>
  <c r="Q28" i="19"/>
  <c r="R28" i="19"/>
  <c r="T28" i="19"/>
  <c r="U28" i="19"/>
  <c r="V28" i="19"/>
  <c r="B30" i="19"/>
  <c r="D30" i="19"/>
  <c r="E30" i="19"/>
  <c r="F30" i="19"/>
  <c r="H30" i="19"/>
  <c r="I30" i="19"/>
  <c r="J30" i="19"/>
  <c r="L30" i="19"/>
  <c r="M30" i="19"/>
  <c r="N30" i="19"/>
  <c r="P30" i="19"/>
  <c r="Q30" i="19"/>
  <c r="R30" i="19"/>
  <c r="T30" i="19"/>
  <c r="U30" i="19"/>
  <c r="V30" i="19"/>
  <c r="B31" i="19"/>
  <c r="D31" i="19"/>
  <c r="C71" i="15" s="1"/>
  <c r="E31" i="19"/>
  <c r="F31" i="19"/>
  <c r="H31" i="19"/>
  <c r="I31" i="19"/>
  <c r="J31" i="19"/>
  <c r="L31" i="19"/>
  <c r="E71" i="15" s="1"/>
  <c r="M31" i="19"/>
  <c r="N31" i="19"/>
  <c r="P31" i="19"/>
  <c r="F71" i="15" s="1"/>
  <c r="Q31" i="19"/>
  <c r="R31" i="19"/>
  <c r="T31" i="19"/>
  <c r="G71" i="15" s="1"/>
  <c r="U31" i="19"/>
  <c r="V31" i="19"/>
  <c r="B32" i="19"/>
  <c r="D32" i="19"/>
  <c r="E32" i="19"/>
  <c r="F32" i="19"/>
  <c r="H32" i="19"/>
  <c r="I32" i="19"/>
  <c r="J32" i="19"/>
  <c r="L32" i="19"/>
  <c r="E72" i="15" s="1"/>
  <c r="M32" i="19"/>
  <c r="N32" i="19"/>
  <c r="P32" i="19"/>
  <c r="Q32" i="19"/>
  <c r="R32" i="19"/>
  <c r="T32" i="19"/>
  <c r="G72" i="15" s="1"/>
  <c r="U32" i="19"/>
  <c r="V32" i="19"/>
  <c r="B33" i="19"/>
  <c r="D33" i="19"/>
  <c r="C73" i="15"/>
  <c r="E33" i="19"/>
  <c r="F33" i="19"/>
  <c r="H33" i="19"/>
  <c r="I33" i="19"/>
  <c r="J33" i="19"/>
  <c r="L33" i="19"/>
  <c r="E73" i="15" s="1"/>
  <c r="M33" i="19"/>
  <c r="N33" i="19"/>
  <c r="P33" i="19"/>
  <c r="Q33" i="19"/>
  <c r="F73" i="15" s="1"/>
  <c r="R33" i="19"/>
  <c r="T33" i="19"/>
  <c r="G73" i="15" s="1"/>
  <c r="U33" i="19"/>
  <c r="V33" i="19"/>
  <c r="B34" i="19"/>
  <c r="D34" i="19"/>
  <c r="E34" i="19"/>
  <c r="F34" i="19"/>
  <c r="H34" i="19"/>
  <c r="I34" i="19"/>
  <c r="J34" i="19"/>
  <c r="L34" i="19"/>
  <c r="M34" i="19"/>
  <c r="N34" i="19"/>
  <c r="P34" i="19"/>
  <c r="T7" i="23" s="1"/>
  <c r="Q34" i="19"/>
  <c r="R34" i="19"/>
  <c r="V7" i="23" s="1"/>
  <c r="T34" i="19"/>
  <c r="U34" i="19"/>
  <c r="V34" i="19"/>
  <c r="B35" i="19"/>
  <c r="D35" i="19"/>
  <c r="E35" i="19"/>
  <c r="F35" i="19"/>
  <c r="G35" i="19"/>
  <c r="H35" i="19"/>
  <c r="I35" i="19"/>
  <c r="J35" i="19"/>
  <c r="K35" i="19"/>
  <c r="L35" i="19"/>
  <c r="M35" i="19"/>
  <c r="E75" i="15" s="1"/>
  <c r="N35" i="19"/>
  <c r="O35" i="19"/>
  <c r="F34" i="15" s="1"/>
  <c r="P35" i="19"/>
  <c r="Q35" i="19"/>
  <c r="R35" i="19"/>
  <c r="S35" i="19"/>
  <c r="T35" i="19"/>
  <c r="U35" i="19"/>
  <c r="V35" i="19"/>
  <c r="G34" i="15" s="1"/>
  <c r="B36" i="19"/>
  <c r="D36" i="19"/>
  <c r="E36" i="19"/>
  <c r="F36" i="19"/>
  <c r="H36" i="19"/>
  <c r="I36" i="19"/>
  <c r="J36" i="19"/>
  <c r="L36" i="19"/>
  <c r="E35" i="15" s="1"/>
  <c r="M36" i="19"/>
  <c r="N36" i="19"/>
  <c r="P36" i="19"/>
  <c r="Q36" i="19"/>
  <c r="F76" i="15" s="1"/>
  <c r="R36" i="19"/>
  <c r="T36" i="19"/>
  <c r="G76" i="15" s="1"/>
  <c r="U36" i="19"/>
  <c r="V36" i="19"/>
  <c r="B37" i="19"/>
  <c r="D37" i="19"/>
  <c r="E37" i="19"/>
  <c r="C77" i="15" s="1"/>
  <c r="F37" i="19"/>
  <c r="H37" i="19"/>
  <c r="D77" i="15" s="1"/>
  <c r="I37" i="19"/>
  <c r="J37" i="19"/>
  <c r="L37" i="19"/>
  <c r="M37" i="19"/>
  <c r="N37" i="19"/>
  <c r="O37" i="19"/>
  <c r="P37" i="19"/>
  <c r="Q37" i="19"/>
  <c r="F77" i="15" s="1"/>
  <c r="R37" i="19"/>
  <c r="S37" i="19"/>
  <c r="G36" i="15" s="1"/>
  <c r="T37" i="19"/>
  <c r="U37" i="19"/>
  <c r="V37" i="19"/>
  <c r="B38" i="19"/>
  <c r="D38" i="19"/>
  <c r="E38" i="19"/>
  <c r="F38" i="19"/>
  <c r="H38" i="19"/>
  <c r="I38" i="19"/>
  <c r="J38" i="19"/>
  <c r="L38" i="19"/>
  <c r="E78" i="15" s="1"/>
  <c r="M38" i="19"/>
  <c r="N38" i="19"/>
  <c r="P38" i="19"/>
  <c r="Q38" i="19"/>
  <c r="R38" i="19"/>
  <c r="T38" i="19"/>
  <c r="U38" i="19"/>
  <c r="V38" i="19"/>
  <c r="G78" i="15"/>
  <c r="B39" i="19"/>
  <c r="D39" i="19"/>
  <c r="C79" i="15" s="1"/>
  <c r="E39" i="19"/>
  <c r="F39" i="19"/>
  <c r="G39" i="19"/>
  <c r="H39" i="19"/>
  <c r="I39" i="19"/>
  <c r="D38" i="15" s="1"/>
  <c r="J39" i="19"/>
  <c r="K39" i="19"/>
  <c r="E38" i="15" s="1"/>
  <c r="L39" i="19"/>
  <c r="E79" i="15" s="1"/>
  <c r="M39" i="19"/>
  <c r="N39" i="19"/>
  <c r="O39" i="19"/>
  <c r="P39" i="19"/>
  <c r="Q39" i="19"/>
  <c r="F38" i="15" s="1"/>
  <c r="R39" i="19"/>
  <c r="S39" i="19"/>
  <c r="G38" i="15" s="1"/>
  <c r="T39" i="19"/>
  <c r="G79" i="15" s="1"/>
  <c r="U39" i="19"/>
  <c r="V39" i="19"/>
  <c r="B40" i="19"/>
  <c r="D40" i="19"/>
  <c r="E40" i="19"/>
  <c r="F40" i="19"/>
  <c r="H40" i="19"/>
  <c r="I40" i="19"/>
  <c r="J40" i="19"/>
  <c r="L40" i="19"/>
  <c r="E80" i="15" s="1"/>
  <c r="M40" i="19"/>
  <c r="N40" i="19"/>
  <c r="P40" i="19"/>
  <c r="F80" i="15" s="1"/>
  <c r="Q40" i="19"/>
  <c r="R40" i="19"/>
  <c r="T40" i="19"/>
  <c r="G80" i="15" s="1"/>
  <c r="U40" i="19"/>
  <c r="V40" i="19"/>
  <c r="B41" i="19"/>
  <c r="D41" i="19"/>
  <c r="E41" i="19"/>
  <c r="C81" i="15" s="1"/>
  <c r="F41" i="19"/>
  <c r="H41" i="19"/>
  <c r="I41" i="19"/>
  <c r="D81" i="15" s="1"/>
  <c r="J41" i="19"/>
  <c r="L41" i="19"/>
  <c r="E81" i="15" s="1"/>
  <c r="M41" i="19"/>
  <c r="N41" i="19"/>
  <c r="P41" i="19"/>
  <c r="Q41" i="19"/>
  <c r="F81" i="15" s="1"/>
  <c r="R41" i="19"/>
  <c r="T41" i="19"/>
  <c r="U41" i="19"/>
  <c r="V41" i="19"/>
  <c r="B42" i="19"/>
  <c r="D42" i="19"/>
  <c r="E42" i="19"/>
  <c r="F42" i="19"/>
  <c r="H42" i="19"/>
  <c r="I42" i="19"/>
  <c r="J42" i="19"/>
  <c r="L42" i="19"/>
  <c r="M42" i="19"/>
  <c r="N42" i="19"/>
  <c r="P42" i="19"/>
  <c r="F82" i="15" s="1"/>
  <c r="Q42" i="19"/>
  <c r="R42" i="19"/>
  <c r="T42" i="19"/>
  <c r="U42" i="19"/>
  <c r="G82" i="15" s="1"/>
  <c r="V42" i="19"/>
  <c r="B44" i="19"/>
  <c r="D44" i="19"/>
  <c r="E44" i="19"/>
  <c r="F44" i="19"/>
  <c r="H44" i="19"/>
  <c r="I44" i="19"/>
  <c r="J44" i="19"/>
  <c r="L44" i="19"/>
  <c r="E84" i="15"/>
  <c r="M44" i="19"/>
  <c r="N44" i="19"/>
  <c r="P44" i="19"/>
  <c r="Q44" i="19"/>
  <c r="R44" i="19"/>
  <c r="T44" i="19"/>
  <c r="U44" i="19"/>
  <c r="V44" i="19"/>
  <c r="Y8" i="23"/>
  <c r="B45" i="19"/>
  <c r="D45" i="19"/>
  <c r="C85" i="15"/>
  <c r="E45" i="19"/>
  <c r="F45" i="19"/>
  <c r="H45" i="19"/>
  <c r="N8" i="23" s="1"/>
  <c r="I45" i="19"/>
  <c r="J45" i="19"/>
  <c r="L45" i="19"/>
  <c r="M45" i="19"/>
  <c r="N45" i="19"/>
  <c r="P45" i="19"/>
  <c r="Q45" i="19"/>
  <c r="R45" i="19"/>
  <c r="T45" i="19"/>
  <c r="U45" i="19"/>
  <c r="V45" i="19"/>
  <c r="G85" i="15"/>
  <c r="B46" i="19"/>
  <c r="D46" i="19"/>
  <c r="K6" i="15"/>
  <c r="C8" i="23"/>
  <c r="E46" i="19"/>
  <c r="F46" i="19"/>
  <c r="L8" i="23"/>
  <c r="H46" i="19"/>
  <c r="D86" i="15" s="1"/>
  <c r="I46" i="19"/>
  <c r="J46" i="19"/>
  <c r="L46" i="19"/>
  <c r="E86" i="15"/>
  <c r="M46" i="19"/>
  <c r="N46" i="19"/>
  <c r="P46" i="19"/>
  <c r="Q46" i="19"/>
  <c r="F86" i="15"/>
  <c r="R46" i="19"/>
  <c r="T46" i="19"/>
  <c r="U46" i="19"/>
  <c r="V46" i="19"/>
  <c r="B48" i="19"/>
  <c r="D48" i="19"/>
  <c r="E48" i="19"/>
  <c r="F48" i="19"/>
  <c r="H48" i="19"/>
  <c r="I48" i="19"/>
  <c r="J48" i="19"/>
  <c r="L48" i="19"/>
  <c r="M48" i="19"/>
  <c r="N48" i="19"/>
  <c r="E88" i="15" s="1"/>
  <c r="P48" i="19"/>
  <c r="Q48" i="19"/>
  <c r="R48" i="19"/>
  <c r="T48" i="19"/>
  <c r="U48" i="19"/>
  <c r="V48" i="19"/>
  <c r="B49" i="19"/>
  <c r="D49" i="19"/>
  <c r="E49" i="19"/>
  <c r="F49" i="19"/>
  <c r="H49" i="19"/>
  <c r="I49" i="19"/>
  <c r="J49" i="19"/>
  <c r="D89" i="15"/>
  <c r="L49" i="19"/>
  <c r="M49" i="19"/>
  <c r="N49" i="19"/>
  <c r="P49" i="19"/>
  <c r="F89" i="15" s="1"/>
  <c r="Q49" i="19"/>
  <c r="R49" i="19"/>
  <c r="T49" i="19"/>
  <c r="G89" i="15" s="1"/>
  <c r="U49" i="19"/>
  <c r="V49" i="19"/>
  <c r="B50" i="19"/>
  <c r="D50" i="19"/>
  <c r="J9" i="23" s="1"/>
  <c r="E50" i="19"/>
  <c r="C90" i="15" s="1"/>
  <c r="F50" i="19"/>
  <c r="H50" i="19"/>
  <c r="I50" i="19"/>
  <c r="J50" i="19"/>
  <c r="L50" i="19"/>
  <c r="M50" i="19"/>
  <c r="N50" i="19"/>
  <c r="P50" i="19"/>
  <c r="Q50" i="19"/>
  <c r="R50" i="19"/>
  <c r="T50" i="19"/>
  <c r="G90" i="15" s="1"/>
  <c r="U50" i="19"/>
  <c r="V50" i="19"/>
  <c r="B51" i="19"/>
  <c r="D51" i="19"/>
  <c r="E51" i="19"/>
  <c r="F51" i="19"/>
  <c r="H51" i="19"/>
  <c r="I51" i="19"/>
  <c r="J51" i="19"/>
  <c r="L51" i="19"/>
  <c r="M51" i="19"/>
  <c r="E91" i="15" s="1"/>
  <c r="N51" i="19"/>
  <c r="P51" i="19"/>
  <c r="Q51" i="19"/>
  <c r="F91" i="15"/>
  <c r="R51" i="19"/>
  <c r="T51" i="19"/>
  <c r="G91" i="15" s="1"/>
  <c r="U51" i="19"/>
  <c r="X9" i="23" s="1"/>
  <c r="V51" i="19"/>
  <c r="B52" i="19"/>
  <c r="D52" i="19"/>
  <c r="C92" i="15"/>
  <c r="E52" i="19"/>
  <c r="F52" i="19"/>
  <c r="H52" i="19"/>
  <c r="I52" i="19"/>
  <c r="D92" i="15" s="1"/>
  <c r="J52" i="19"/>
  <c r="L52" i="19"/>
  <c r="M52" i="19"/>
  <c r="E92" i="15"/>
  <c r="N52" i="19"/>
  <c r="P52" i="19"/>
  <c r="F92" i="15" s="1"/>
  <c r="Q52" i="19"/>
  <c r="R52" i="19"/>
  <c r="V9" i="23" s="1"/>
  <c r="T52" i="19"/>
  <c r="G92" i="15" s="1"/>
  <c r="U52" i="19"/>
  <c r="V52" i="19"/>
  <c r="B53" i="19"/>
  <c r="D53" i="19"/>
  <c r="E53" i="19"/>
  <c r="F53" i="19"/>
  <c r="H53" i="19"/>
  <c r="I53" i="19"/>
  <c r="J53" i="19"/>
  <c r="L53" i="19"/>
  <c r="M53" i="19"/>
  <c r="N53" i="19"/>
  <c r="S9" i="23" s="1"/>
  <c r="P53" i="19"/>
  <c r="Q53" i="19"/>
  <c r="U9" i="23" s="1"/>
  <c r="R53" i="19"/>
  <c r="T53" i="19"/>
  <c r="G93" i="15" s="1"/>
  <c r="U53" i="19"/>
  <c r="V53" i="19"/>
  <c r="B54" i="19"/>
  <c r="D54" i="19"/>
  <c r="C94" i="15"/>
  <c r="E54" i="19"/>
  <c r="F54" i="19"/>
  <c r="H54" i="19"/>
  <c r="D94" i="15" s="1"/>
  <c r="I54" i="19"/>
  <c r="J54" i="19"/>
  <c r="L54" i="19"/>
  <c r="M54" i="19"/>
  <c r="R9" i="23" s="1"/>
  <c r="N54" i="19"/>
  <c r="P54" i="19"/>
  <c r="Q54" i="19"/>
  <c r="R54" i="19"/>
  <c r="T54" i="19"/>
  <c r="U54" i="19"/>
  <c r="G94" i="15" s="1"/>
  <c r="V54" i="19"/>
  <c r="B55" i="19"/>
  <c r="D55" i="19"/>
  <c r="E55" i="19"/>
  <c r="F55" i="19"/>
  <c r="H55" i="19"/>
  <c r="D95" i="15" s="1"/>
  <c r="I55" i="19"/>
  <c r="J55" i="19"/>
  <c r="L55" i="19"/>
  <c r="E95" i="15" s="1"/>
  <c r="M55" i="19"/>
  <c r="N55" i="19"/>
  <c r="P55" i="19"/>
  <c r="F95" i="15" s="1"/>
  <c r="Q55" i="19"/>
  <c r="R55" i="19"/>
  <c r="T55" i="19"/>
  <c r="U55" i="19"/>
  <c r="X10" i="23" s="1"/>
  <c r="V55" i="19"/>
  <c r="B56" i="19"/>
  <c r="D56" i="19"/>
  <c r="E56" i="19"/>
  <c r="K10" i="23"/>
  <c r="F56" i="19"/>
  <c r="H56" i="19"/>
  <c r="N10" i="23" s="1"/>
  <c r="I56" i="19"/>
  <c r="J56" i="19"/>
  <c r="K56" i="19"/>
  <c r="L56" i="19"/>
  <c r="M56" i="19"/>
  <c r="M22" i="15" s="1"/>
  <c r="N56" i="19"/>
  <c r="P56" i="19"/>
  <c r="F96" i="15" s="1"/>
  <c r="Q56" i="19"/>
  <c r="U10" i="23" s="1"/>
  <c r="R56" i="19"/>
  <c r="T56" i="19"/>
  <c r="G96" i="15" s="1"/>
  <c r="U56" i="19"/>
  <c r="V56" i="19"/>
  <c r="B57" i="19"/>
  <c r="D57" i="19"/>
  <c r="C97" i="15"/>
  <c r="E57" i="19"/>
  <c r="F57" i="19"/>
  <c r="H57" i="19"/>
  <c r="I57" i="19"/>
  <c r="O10" i="23" s="1"/>
  <c r="J57" i="19"/>
  <c r="L57" i="19"/>
  <c r="M57" i="19"/>
  <c r="E97" i="15" s="1"/>
  <c r="N57" i="19"/>
  <c r="P57" i="19"/>
  <c r="Q57" i="19"/>
  <c r="R57" i="19"/>
  <c r="T57" i="19"/>
  <c r="U57" i="19"/>
  <c r="V57" i="19"/>
  <c r="Y10" i="23" s="1"/>
  <c r="B59" i="19"/>
  <c r="D59" i="19"/>
  <c r="E59" i="19"/>
  <c r="F59" i="19"/>
  <c r="H59" i="19"/>
  <c r="I59" i="19"/>
  <c r="J59" i="19"/>
  <c r="P11" i="23" s="1"/>
  <c r="L59" i="19"/>
  <c r="M59" i="19"/>
  <c r="R11" i="23" s="1"/>
  <c r="N59" i="19"/>
  <c r="P59" i="19"/>
  <c r="Q59" i="19"/>
  <c r="R59" i="19"/>
  <c r="V11" i="23" s="1"/>
  <c r="T59" i="19"/>
  <c r="W11" i="23" s="1"/>
  <c r="U59" i="19"/>
  <c r="V59" i="19"/>
  <c r="B60" i="19"/>
  <c r="D60" i="19"/>
  <c r="C100" i="15"/>
  <c r="E60" i="19"/>
  <c r="F60" i="19"/>
  <c r="H60" i="19"/>
  <c r="I60" i="19"/>
  <c r="J60" i="19"/>
  <c r="K60" i="19"/>
  <c r="M26" i="15" s="1"/>
  <c r="L60" i="19"/>
  <c r="E100" i="15" s="1"/>
  <c r="M60" i="19"/>
  <c r="N60" i="19"/>
  <c r="S11" i="23" s="1"/>
  <c r="P60" i="19"/>
  <c r="Q60" i="19"/>
  <c r="U11" i="23" s="1"/>
  <c r="R60" i="19"/>
  <c r="T60" i="19"/>
  <c r="G100" i="15" s="1"/>
  <c r="U60" i="19"/>
  <c r="V60" i="19"/>
  <c r="Y11" i="23" s="1"/>
  <c r="B61" i="19"/>
  <c r="D61" i="19"/>
  <c r="E61" i="19"/>
  <c r="F61" i="19"/>
  <c r="C101" i="15"/>
  <c r="H61" i="19"/>
  <c r="D101" i="15" s="1"/>
  <c r="I61" i="19"/>
  <c r="J61" i="19"/>
  <c r="L61" i="19"/>
  <c r="E101" i="15" s="1"/>
  <c r="M61" i="19"/>
  <c r="N61" i="19"/>
  <c r="P61" i="19"/>
  <c r="Q61" i="19"/>
  <c r="R61" i="19"/>
  <c r="F101" i="15" s="1"/>
  <c r="T61" i="19"/>
  <c r="U61" i="19"/>
  <c r="V61" i="19"/>
  <c r="B62" i="19"/>
  <c r="D62" i="19"/>
  <c r="J11" i="23"/>
  <c r="E62" i="19"/>
  <c r="K11" i="23"/>
  <c r="F62" i="19"/>
  <c r="L11" i="23"/>
  <c r="H62" i="19"/>
  <c r="I62" i="19"/>
  <c r="J62" i="19"/>
  <c r="K62" i="19"/>
  <c r="M28" i="15" s="1"/>
  <c r="L62" i="19"/>
  <c r="M62" i="19"/>
  <c r="E102" i="15" s="1"/>
  <c r="N62" i="19"/>
  <c r="P62" i="19"/>
  <c r="F102" i="15" s="1"/>
  <c r="Q62" i="19"/>
  <c r="R62" i="19"/>
  <c r="T62" i="19"/>
  <c r="U62" i="19"/>
  <c r="V62" i="19"/>
  <c r="B63" i="19"/>
  <c r="D63" i="19"/>
  <c r="E63" i="19"/>
  <c r="F63" i="19"/>
  <c r="H63" i="19"/>
  <c r="D103" i="15" s="1"/>
  <c r="I63" i="19"/>
  <c r="J63" i="19"/>
  <c r="L63" i="19"/>
  <c r="E103" i="15" s="1"/>
  <c r="M63" i="19"/>
  <c r="N63" i="19"/>
  <c r="P63" i="19"/>
  <c r="Q63" i="19"/>
  <c r="F103" i="15" s="1"/>
  <c r="R63" i="19"/>
  <c r="T63" i="19"/>
  <c r="U63" i="19"/>
  <c r="G103" i="15" s="1"/>
  <c r="V63" i="19"/>
  <c r="B64" i="19"/>
  <c r="D64" i="19"/>
  <c r="E64" i="19"/>
  <c r="F64" i="19"/>
  <c r="C104" i="15"/>
  <c r="H64" i="19"/>
  <c r="I64" i="19"/>
  <c r="J64" i="19"/>
  <c r="K64" i="19"/>
  <c r="M30" i="15" s="1"/>
  <c r="L64" i="19"/>
  <c r="E104" i="15" s="1"/>
  <c r="M64" i="19"/>
  <c r="N64" i="19"/>
  <c r="P64" i="19"/>
  <c r="F104" i="15" s="1"/>
  <c r="Q64" i="19"/>
  <c r="R64" i="19"/>
  <c r="T64" i="19"/>
  <c r="G104" i="15" s="1"/>
  <c r="U64" i="19"/>
  <c r="V64" i="19"/>
  <c r="B65" i="19"/>
  <c r="D65" i="19"/>
  <c r="C105" i="15"/>
  <c r="E65" i="19"/>
  <c r="F65" i="19"/>
  <c r="H65" i="19"/>
  <c r="I65" i="19"/>
  <c r="J65" i="19"/>
  <c r="L65" i="19"/>
  <c r="M31" i="15" s="1"/>
  <c r="M65" i="19"/>
  <c r="E105" i="15"/>
  <c r="N65" i="19"/>
  <c r="P65" i="19"/>
  <c r="F105" i="15" s="1"/>
  <c r="Q65" i="19"/>
  <c r="R65" i="19"/>
  <c r="T65" i="19"/>
  <c r="G105" i="15" s="1"/>
  <c r="U65" i="19"/>
  <c r="X11" i="23"/>
  <c r="V65" i="19"/>
  <c r="B66" i="19"/>
  <c r="D66" i="19"/>
  <c r="C106" i="15"/>
  <c r="E66" i="19"/>
  <c r="F66" i="19"/>
  <c r="H66" i="19"/>
  <c r="I66" i="19"/>
  <c r="J66" i="19"/>
  <c r="D106" i="15" s="1"/>
  <c r="K66" i="19"/>
  <c r="L66" i="19"/>
  <c r="M66" i="19"/>
  <c r="N66" i="19"/>
  <c r="E106" i="15" s="1"/>
  <c r="P66" i="19"/>
  <c r="Q66" i="19"/>
  <c r="R66" i="19"/>
  <c r="F106" i="15" s="1"/>
  <c r="T66" i="19"/>
  <c r="U66" i="19"/>
  <c r="V66" i="19"/>
  <c r="G106" i="15" s="1"/>
  <c r="B68" i="19"/>
  <c r="D70" i="19"/>
  <c r="E70" i="19"/>
  <c r="K13" i="23"/>
  <c r="F70" i="19"/>
  <c r="L13" i="23"/>
  <c r="H70" i="19"/>
  <c r="N13" i="23"/>
  <c r="I70" i="19"/>
  <c r="O13" i="23"/>
  <c r="J70" i="19"/>
  <c r="P13" i="23"/>
  <c r="L70" i="19"/>
  <c r="Q13" i="23"/>
  <c r="M70" i="19"/>
  <c r="R13" i="23"/>
  <c r="N70" i="19"/>
  <c r="P70" i="19"/>
  <c r="Q70" i="19"/>
  <c r="U13" i="23"/>
  <c r="R70" i="19"/>
  <c r="V13" i="23"/>
  <c r="T70" i="19"/>
  <c r="W13" i="23"/>
  <c r="U70" i="19"/>
  <c r="V70" i="19"/>
  <c r="Y13" i="23"/>
  <c r="L75" i="19"/>
  <c r="P75" i="19"/>
  <c r="S75" i="19"/>
  <c r="T75" i="19"/>
  <c r="H76" i="19"/>
  <c r="L76" i="19"/>
  <c r="P76" i="19"/>
  <c r="T76" i="19"/>
  <c r="H77" i="19"/>
  <c r="L77" i="19"/>
  <c r="P77" i="19"/>
  <c r="T77" i="19"/>
  <c r="C78" i="19"/>
  <c r="C20" i="23" s="1"/>
  <c r="D78" i="19"/>
  <c r="G78" i="19"/>
  <c r="D20" i="23" s="1"/>
  <c r="H78" i="19"/>
  <c r="K78" i="19"/>
  <c r="E20" i="23" s="1"/>
  <c r="L78" i="19"/>
  <c r="O78" i="19"/>
  <c r="F20" i="23" s="1"/>
  <c r="P78" i="19"/>
  <c r="S78" i="19"/>
  <c r="G20" i="23" s="1"/>
  <c r="T78" i="19"/>
  <c r="H82" i="19"/>
  <c r="L82" i="19"/>
  <c r="P82" i="19"/>
  <c r="T82" i="19"/>
  <c r="H83" i="19"/>
  <c r="L83" i="19"/>
  <c r="P83" i="19"/>
  <c r="T83" i="19"/>
  <c r="G84" i="19"/>
  <c r="K84" i="19"/>
  <c r="L84" i="19"/>
  <c r="O84" i="19"/>
  <c r="P84" i="19"/>
  <c r="S84" i="19"/>
  <c r="T84" i="19"/>
  <c r="C85" i="19"/>
  <c r="G85" i="19"/>
  <c r="H85" i="19"/>
  <c r="K85" i="19"/>
  <c r="L85" i="19"/>
  <c r="O85" i="19"/>
  <c r="P85" i="19"/>
  <c r="S85" i="19"/>
  <c r="T85" i="19"/>
  <c r="B4" i="15"/>
  <c r="J4" i="15"/>
  <c r="B5" i="15"/>
  <c r="J5" i="15"/>
  <c r="B6" i="15"/>
  <c r="J6" i="15"/>
  <c r="B8" i="15"/>
  <c r="B9" i="15"/>
  <c r="B10" i="15"/>
  <c r="J10" i="15"/>
  <c r="B11" i="15"/>
  <c r="B12" i="15"/>
  <c r="J12" i="15"/>
  <c r="B13" i="15"/>
  <c r="J13" i="15"/>
  <c r="B14" i="15"/>
  <c r="J14" i="15"/>
  <c r="B15" i="15"/>
  <c r="J15" i="15"/>
  <c r="B16" i="15"/>
  <c r="J16" i="15"/>
  <c r="B17" i="15"/>
  <c r="J17" i="15"/>
  <c r="B18" i="15"/>
  <c r="J18" i="15"/>
  <c r="B19" i="15"/>
  <c r="B20" i="15"/>
  <c r="B21" i="15"/>
  <c r="B22" i="15"/>
  <c r="J22" i="15"/>
  <c r="B23" i="15"/>
  <c r="J23" i="15"/>
  <c r="B24" i="15"/>
  <c r="B25" i="15"/>
  <c r="J25" i="15"/>
  <c r="B26" i="15"/>
  <c r="J26" i="15"/>
  <c r="B27" i="15"/>
  <c r="J27" i="15"/>
  <c r="J28" i="15"/>
  <c r="B29" i="15"/>
  <c r="J29" i="15"/>
  <c r="B30" i="15"/>
  <c r="J30" i="15"/>
  <c r="B31" i="15"/>
  <c r="J31" i="15"/>
  <c r="B32" i="15"/>
  <c r="J32" i="15"/>
  <c r="B33" i="15"/>
  <c r="B34" i="15"/>
  <c r="B35" i="15"/>
  <c r="J35" i="15"/>
  <c r="B36" i="15"/>
  <c r="B37" i="15"/>
  <c r="B38" i="15"/>
  <c r="B39" i="15"/>
  <c r="B40" i="15"/>
  <c r="B41" i="15"/>
  <c r="C44" i="15"/>
  <c r="A84" i="15"/>
  <c r="A88" i="15"/>
  <c r="A99" i="15"/>
  <c r="A110" i="15"/>
  <c r="A5" i="23"/>
  <c r="A6" i="23"/>
  <c r="A7" i="23"/>
  <c r="A8" i="23"/>
  <c r="A9" i="23"/>
  <c r="A11" i="23"/>
  <c r="A13" i="23"/>
  <c r="O6" i="19"/>
  <c r="F5" i="15"/>
  <c r="G6" i="19"/>
  <c r="S77" i="19"/>
  <c r="O77" i="19"/>
  <c r="K77" i="19"/>
  <c r="G77" i="19"/>
  <c r="K68" i="19"/>
  <c r="K63" i="19"/>
  <c r="M29" i="15"/>
  <c r="S48" i="19"/>
  <c r="O48" i="19"/>
  <c r="N10" i="15"/>
  <c r="K48" i="19"/>
  <c r="K46" i="19"/>
  <c r="M6" i="15"/>
  <c r="G46" i="19"/>
  <c r="L6" i="15"/>
  <c r="S45" i="19"/>
  <c r="O5" i="15"/>
  <c r="O45" i="19"/>
  <c r="N5" i="15"/>
  <c r="K45" i="19"/>
  <c r="M5" i="15"/>
  <c r="S44" i="19"/>
  <c r="O44" i="19"/>
  <c r="N4" i="15"/>
  <c r="K44" i="19"/>
  <c r="G41" i="19"/>
  <c r="D40" i="15" s="1"/>
  <c r="G38" i="19"/>
  <c r="K15" i="19"/>
  <c r="E14" i="15"/>
  <c r="K11" i="19"/>
  <c r="E10" i="15"/>
  <c r="O42" i="19"/>
  <c r="F41" i="15" s="1"/>
  <c r="S33" i="19"/>
  <c r="G32" i="15" s="1"/>
  <c r="S57" i="19"/>
  <c r="O23" i="15" s="1"/>
  <c r="S56" i="19"/>
  <c r="O22" i="15"/>
  <c r="O55" i="19"/>
  <c r="N18" i="15"/>
  <c r="O54" i="19"/>
  <c r="N17" i="15"/>
  <c r="O53" i="19"/>
  <c r="N16" i="15"/>
  <c r="O52" i="19"/>
  <c r="N15" i="15"/>
  <c r="O51" i="19"/>
  <c r="N14" i="15"/>
  <c r="O50" i="19"/>
  <c r="N13" i="15"/>
  <c r="O49" i="19"/>
  <c r="N12" i="15"/>
  <c r="S66" i="19"/>
  <c r="O32" i="15" s="1"/>
  <c r="S65" i="19"/>
  <c r="O31" i="15" s="1"/>
  <c r="S64" i="19"/>
  <c r="O30" i="15" s="1"/>
  <c r="S62" i="19"/>
  <c r="O28" i="15" s="1"/>
  <c r="S61" i="19"/>
  <c r="O27" i="15" s="1"/>
  <c r="S60" i="19"/>
  <c r="O26" i="15" s="1"/>
  <c r="G70" i="19"/>
  <c r="L38" i="15"/>
  <c r="S76" i="19"/>
  <c r="G18" i="23" s="1"/>
  <c r="O76" i="19"/>
  <c r="F18" i="23" s="1"/>
  <c r="K76" i="19"/>
  <c r="E18" i="23" s="1"/>
  <c r="G76" i="19"/>
  <c r="S70" i="19"/>
  <c r="O70" i="19"/>
  <c r="F13" i="23"/>
  <c r="K70" i="19"/>
  <c r="E13" i="23"/>
  <c r="S68" i="19"/>
  <c r="S63" i="19"/>
  <c r="O29" i="15"/>
  <c r="S59" i="19"/>
  <c r="O25" i="15"/>
  <c r="O59" i="19"/>
  <c r="N25" i="15"/>
  <c r="O41" i="19"/>
  <c r="F40" i="15" s="1"/>
  <c r="O40" i="19"/>
  <c r="F39" i="15" s="1"/>
  <c r="O38" i="19"/>
  <c r="F37" i="15" s="1"/>
  <c r="O36" i="19"/>
  <c r="F35" i="15" s="1"/>
  <c r="S31" i="19"/>
  <c r="G30" i="15" s="1"/>
  <c r="K26" i="19"/>
  <c r="E25" i="15"/>
  <c r="K21" i="19"/>
  <c r="E20" i="15"/>
  <c r="K19" i="19"/>
  <c r="E18" i="15"/>
  <c r="K14" i="19"/>
  <c r="E13" i="15"/>
  <c r="K12" i="19"/>
  <c r="E11" i="15"/>
  <c r="K10" i="19"/>
  <c r="E9" i="15"/>
  <c r="K42" i="19"/>
  <c r="E41" i="15" s="1"/>
  <c r="K34" i="19"/>
  <c r="E33" i="15" s="1"/>
  <c r="K33" i="19"/>
  <c r="E32" i="15" s="1"/>
  <c r="G57" i="19"/>
  <c r="L23" i="15" s="1"/>
  <c r="G56" i="19"/>
  <c r="K55" i="19"/>
  <c r="M18" i="15"/>
  <c r="K54" i="19"/>
  <c r="M17" i="15"/>
  <c r="K53" i="19"/>
  <c r="M16" i="15"/>
  <c r="K52" i="19"/>
  <c r="K51" i="19"/>
  <c r="M14" i="15" s="1"/>
  <c r="K50" i="19"/>
  <c r="M13" i="15" s="1"/>
  <c r="K49" i="19"/>
  <c r="M12" i="15" s="1"/>
  <c r="G66" i="19"/>
  <c r="L32" i="15"/>
  <c r="G65" i="19"/>
  <c r="L31" i="15"/>
  <c r="G64" i="19"/>
  <c r="L30" i="15"/>
  <c r="D85" i="19"/>
  <c r="G62" i="19"/>
  <c r="G61" i="19"/>
  <c r="L27" i="15"/>
  <c r="G60" i="19"/>
  <c r="L26" i="15"/>
  <c r="K6" i="19"/>
  <c r="E5" i="15" s="1"/>
  <c r="D84" i="19"/>
  <c r="O68" i="19"/>
  <c r="F12" i="23"/>
  <c r="N35" i="15"/>
  <c r="G68" i="19"/>
  <c r="L35" i="15" s="1"/>
  <c r="D12" i="23" s="1"/>
  <c r="O66" i="19"/>
  <c r="N32" i="15" s="1"/>
  <c r="O65" i="19"/>
  <c r="N31" i="15" s="1"/>
  <c r="O64" i="19"/>
  <c r="N30" i="15" s="1"/>
  <c r="O63" i="19"/>
  <c r="N29" i="15" s="1"/>
  <c r="O62" i="19"/>
  <c r="N28" i="15" s="1"/>
  <c r="O61" i="19"/>
  <c r="N27" i="15" s="1"/>
  <c r="F11" i="23" s="1"/>
  <c r="O60" i="19"/>
  <c r="N26" i="15"/>
  <c r="K59" i="19"/>
  <c r="M25" i="15"/>
  <c r="O57" i="19"/>
  <c r="N23" i="15" s="1"/>
  <c r="O56" i="19"/>
  <c r="N22" i="15" s="1"/>
  <c r="S55" i="19"/>
  <c r="O18" i="15" s="1"/>
  <c r="G10" i="23" s="1"/>
  <c r="S54" i="19"/>
  <c r="O17" i="15" s="1"/>
  <c r="S53" i="19"/>
  <c r="O16" i="15" s="1"/>
  <c r="S52" i="19"/>
  <c r="O15" i="15" s="1"/>
  <c r="S51" i="19"/>
  <c r="O14" i="15" s="1"/>
  <c r="S50" i="19"/>
  <c r="O13" i="15" s="1"/>
  <c r="S49" i="19"/>
  <c r="O12" i="15" s="1"/>
  <c r="G9" i="23" s="1"/>
  <c r="S46" i="19"/>
  <c r="O6" i="15"/>
  <c r="O46" i="19"/>
  <c r="N6" i="15"/>
  <c r="S42" i="19"/>
  <c r="G41" i="15" s="1"/>
  <c r="S41" i="19"/>
  <c r="G40" i="15" s="1"/>
  <c r="K41" i="19"/>
  <c r="E40" i="15" s="1"/>
  <c r="S40" i="19"/>
  <c r="G39" i="15" s="1"/>
  <c r="K40" i="19"/>
  <c r="E39" i="15" s="1"/>
  <c r="S38" i="19"/>
  <c r="G37" i="15" s="1"/>
  <c r="K38" i="19"/>
  <c r="E37" i="15" s="1"/>
  <c r="S36" i="19"/>
  <c r="G35" i="15" s="1"/>
  <c r="G7" i="19"/>
  <c r="D6" i="15"/>
  <c r="K7" i="19"/>
  <c r="E6" i="15"/>
  <c r="O7" i="19"/>
  <c r="F6" i="15"/>
  <c r="S7" i="19"/>
  <c r="G6" i="15"/>
  <c r="G5" i="19"/>
  <c r="O5" i="19"/>
  <c r="S5" i="19"/>
  <c r="G4" i="15"/>
  <c r="G28" i="19"/>
  <c r="O28" i="19"/>
  <c r="F27" i="15" s="1"/>
  <c r="G27" i="19"/>
  <c r="O27" i="19"/>
  <c r="F26" i="15" s="1"/>
  <c r="G26" i="19"/>
  <c r="O26" i="19"/>
  <c r="F25" i="15" s="1"/>
  <c r="G24" i="19"/>
  <c r="O24" i="19"/>
  <c r="F23" i="15" s="1"/>
  <c r="G23" i="19"/>
  <c r="O23" i="19"/>
  <c r="F22" i="15"/>
  <c r="G21" i="19"/>
  <c r="O21" i="19"/>
  <c r="F20" i="15" s="1"/>
  <c r="G20" i="19"/>
  <c r="O20" i="19"/>
  <c r="F19" i="15" s="1"/>
  <c r="G19" i="19"/>
  <c r="D18" i="15" s="1"/>
  <c r="O19" i="19"/>
  <c r="F18" i="15" s="1"/>
  <c r="G17" i="19"/>
  <c r="D16" i="15" s="1"/>
  <c r="O17" i="19"/>
  <c r="F16" i="15" s="1"/>
  <c r="G16" i="19"/>
  <c r="D15" i="15" s="1"/>
  <c r="O16" i="19"/>
  <c r="F15" i="15" s="1"/>
  <c r="C16" i="19"/>
  <c r="C15" i="15" s="1"/>
  <c r="G15" i="19"/>
  <c r="O15" i="19"/>
  <c r="F14" i="15" s="1"/>
  <c r="G14" i="19"/>
  <c r="O14" i="19"/>
  <c r="C14" i="19"/>
  <c r="C13" i="15" s="1"/>
  <c r="G13" i="19"/>
  <c r="D12" i="15" s="1"/>
  <c r="O13" i="19"/>
  <c r="F12" i="15"/>
  <c r="G12" i="19"/>
  <c r="D11" i="15"/>
  <c r="O12" i="19"/>
  <c r="F11" i="15"/>
  <c r="G11" i="19"/>
  <c r="O11" i="19"/>
  <c r="F10" i="15" s="1"/>
  <c r="G10" i="19"/>
  <c r="O10" i="19"/>
  <c r="F9" i="15" s="1"/>
  <c r="C9" i="19"/>
  <c r="C8" i="15" s="1"/>
  <c r="G9" i="19"/>
  <c r="K9" i="19"/>
  <c r="E8" i="15" s="1"/>
  <c r="O9" i="19"/>
  <c r="F8" i="15" s="1"/>
  <c r="S9" i="19"/>
  <c r="C36" i="19"/>
  <c r="G36" i="19"/>
  <c r="G34" i="19"/>
  <c r="O34" i="19"/>
  <c r="F33" i="15" s="1"/>
  <c r="G33" i="19"/>
  <c r="O33" i="19"/>
  <c r="F32" i="15" s="1"/>
  <c r="C33" i="19"/>
  <c r="C32" i="15"/>
  <c r="G31" i="19"/>
  <c r="D30" i="15" s="1"/>
  <c r="O31" i="19"/>
  <c r="F30" i="15"/>
  <c r="C31" i="19"/>
  <c r="C30" i="15" s="1"/>
  <c r="G30" i="19"/>
  <c r="K30" i="19"/>
  <c r="O30" i="19"/>
  <c r="F29" i="15" s="1"/>
  <c r="S30" i="19"/>
  <c r="G29" i="15" s="1"/>
  <c r="C54" i="19"/>
  <c r="K17" i="15"/>
  <c r="C53" i="19"/>
  <c r="C52" i="19"/>
  <c r="K15" i="15"/>
  <c r="C49" i="19"/>
  <c r="K12" i="15"/>
  <c r="C65" i="19"/>
  <c r="K31" i="15"/>
  <c r="C64" i="19"/>
  <c r="K30" i="15"/>
  <c r="C61" i="19"/>
  <c r="C60" i="19"/>
  <c r="K26" i="15"/>
  <c r="S28" i="19"/>
  <c r="G27" i="15" s="1"/>
  <c r="S27" i="19"/>
  <c r="G26" i="15" s="1"/>
  <c r="S26" i="19"/>
  <c r="G25" i="15" s="1"/>
  <c r="S24" i="19"/>
  <c r="G23" i="15" s="1"/>
  <c r="S23" i="19"/>
  <c r="G22" i="15" s="1"/>
  <c r="S21" i="19"/>
  <c r="G20" i="15" s="1"/>
  <c r="S20" i="19"/>
  <c r="G19" i="15" s="1"/>
  <c r="S19" i="19"/>
  <c r="G18" i="15" s="1"/>
  <c r="S17" i="19"/>
  <c r="G16" i="15" s="1"/>
  <c r="S16" i="19"/>
  <c r="G15" i="15" s="1"/>
  <c r="S15" i="19"/>
  <c r="G14" i="15" s="1"/>
  <c r="S14" i="19"/>
  <c r="G13" i="15" s="1"/>
  <c r="S13" i="19"/>
  <c r="G12" i="15" s="1"/>
  <c r="S12" i="19"/>
  <c r="G11" i="15" s="1"/>
  <c r="S11" i="19"/>
  <c r="G10" i="15" s="1"/>
  <c r="S10" i="19"/>
  <c r="G9" i="15" s="1"/>
  <c r="K5" i="19"/>
  <c r="E4" i="15"/>
  <c r="C24" i="19"/>
  <c r="C42" i="19"/>
  <c r="C32" i="19"/>
  <c r="C30" i="19"/>
  <c r="C57" i="19"/>
  <c r="K23" i="15"/>
  <c r="C55" i="19"/>
  <c r="K18" i="15"/>
  <c r="C51" i="19"/>
  <c r="K14" i="15"/>
  <c r="C50" i="19"/>
  <c r="C66" i="19"/>
  <c r="K32" i="15"/>
  <c r="C63" i="19"/>
  <c r="K29" i="15"/>
  <c r="C62" i="19"/>
  <c r="C59" i="19"/>
  <c r="C70" i="19"/>
  <c r="K38" i="15"/>
  <c r="O22" i="19"/>
  <c r="F21" i="15" s="1"/>
  <c r="K22" i="19"/>
  <c r="E21" i="15" s="1"/>
  <c r="S22" i="19"/>
  <c r="G21" i="15" s="1"/>
  <c r="D77" i="19"/>
  <c r="D75" i="19"/>
  <c r="K20" i="19"/>
  <c r="E19" i="15" s="1"/>
  <c r="K28" i="19"/>
  <c r="E27" i="15" s="1"/>
  <c r="S34" i="19"/>
  <c r="G45" i="19"/>
  <c r="K57" i="19"/>
  <c r="M23" i="15"/>
  <c r="G55" i="19"/>
  <c r="L18" i="15"/>
  <c r="G54" i="19"/>
  <c r="L17" i="15"/>
  <c r="G53" i="19"/>
  <c r="G52" i="19"/>
  <c r="L15" i="15" s="1"/>
  <c r="G51" i="19"/>
  <c r="L14" i="15" s="1"/>
  <c r="G50" i="19"/>
  <c r="L13" i="15" s="1"/>
  <c r="G49" i="19"/>
  <c r="L12" i="15" s="1"/>
  <c r="K37" i="19"/>
  <c r="E36" i="15" s="1"/>
  <c r="G37" i="19"/>
  <c r="D36" i="15" s="1"/>
  <c r="S25" i="19"/>
  <c r="G24" i="15" s="1"/>
  <c r="O25" i="19"/>
  <c r="F24" i="15" s="1"/>
  <c r="K25" i="19"/>
  <c r="E24" i="15" s="1"/>
  <c r="G25" i="19"/>
  <c r="S18" i="19"/>
  <c r="G17" i="15" s="1"/>
  <c r="O18" i="19"/>
  <c r="F17" i="15" s="1"/>
  <c r="K18" i="19"/>
  <c r="E17" i="15" s="1"/>
  <c r="G18" i="19"/>
  <c r="G75" i="19"/>
  <c r="K24" i="19"/>
  <c r="E23" i="15" s="1"/>
  <c r="K17" i="19"/>
  <c r="E16" i="15" s="1"/>
  <c r="K13" i="19"/>
  <c r="E12" i="15" s="1"/>
  <c r="G42" i="19"/>
  <c r="S6" i="19"/>
  <c r="G5" i="15"/>
  <c r="S82" i="19"/>
  <c r="G24" i="23"/>
  <c r="O82" i="19"/>
  <c r="K82" i="19"/>
  <c r="E24" i="23" s="1"/>
  <c r="G82" i="19"/>
  <c r="O75" i="19"/>
  <c r="F17" i="23" s="1"/>
  <c r="K75" i="19"/>
  <c r="G40" i="19"/>
  <c r="D39" i="15" s="1"/>
  <c r="G101" i="15"/>
  <c r="D105" i="15"/>
  <c r="E108" i="15"/>
  <c r="C6" i="19"/>
  <c r="Y12" i="23"/>
  <c r="W12" i="23"/>
  <c r="U12" i="23"/>
  <c r="S12" i="23"/>
  <c r="Q12" i="23"/>
  <c r="C103" i="15"/>
  <c r="W5" i="23"/>
  <c r="T13" i="23"/>
  <c r="F110" i="15"/>
  <c r="X12" i="23"/>
  <c r="N12" i="23"/>
  <c r="R5" i="23"/>
  <c r="F140" i="17"/>
  <c r="G102" i="15"/>
  <c r="C77" i="19"/>
  <c r="C19" i="23" s="1"/>
  <c r="D76" i="19"/>
  <c r="N38" i="15"/>
  <c r="D13" i="23"/>
  <c r="D104" i="15"/>
  <c r="V5" i="23"/>
  <c r="G5" i="23"/>
  <c r="O4" i="15"/>
  <c r="G8" i="23"/>
  <c r="O10" i="15"/>
  <c r="M38" i="15"/>
  <c r="K25" i="15"/>
  <c r="C13" i="23"/>
  <c r="Q11" i="23"/>
  <c r="D108" i="15"/>
  <c r="G13" i="23"/>
  <c r="O38" i="15"/>
  <c r="E12" i="23"/>
  <c r="M35" i="15"/>
  <c r="R10" i="23"/>
  <c r="F46" i="15"/>
  <c r="Y5" i="23"/>
  <c r="M4" i="15"/>
  <c r="M10" i="15"/>
  <c r="D100" i="15"/>
  <c r="W8" i="23"/>
  <c r="S5" i="23"/>
  <c r="D110" i="15"/>
  <c r="B140" i="17"/>
  <c r="E77" i="15"/>
  <c r="F75" i="15"/>
  <c r="T12" i="23"/>
  <c r="F108" i="15"/>
  <c r="K27" i="15"/>
  <c r="P70" i="17"/>
  <c r="M15" i="15"/>
  <c r="U6" i="23"/>
  <c r="M140" i="17"/>
  <c r="P105" i="17"/>
  <c r="F5" i="23"/>
  <c r="F4" i="15"/>
  <c r="S13" i="23"/>
  <c r="E110" i="15"/>
  <c r="J13" i="23"/>
  <c r="C110" i="15"/>
  <c r="E99" i="15"/>
  <c r="E76" i="15"/>
  <c r="T11" i="23"/>
  <c r="C99" i="15"/>
  <c r="G46" i="15"/>
  <c r="F99" i="15"/>
  <c r="F45" i="15"/>
  <c r="T5" i="23"/>
  <c r="G12" i="23"/>
  <c r="O35" i="15"/>
  <c r="X13" i="23"/>
  <c r="G110" i="15"/>
  <c r="G66" i="15"/>
  <c r="E46" i="15"/>
  <c r="D99" i="15"/>
  <c r="V10" i="23"/>
  <c r="F94" i="15"/>
  <c r="E93" i="15"/>
  <c r="C91" i="15"/>
  <c r="F90" i="15"/>
  <c r="E90" i="15"/>
  <c r="E89" i="15"/>
  <c r="G88" i="15"/>
  <c r="F105" i="17"/>
  <c r="F97" i="15"/>
  <c r="E96" i="15"/>
  <c r="F93" i="15"/>
  <c r="Y9" i="23"/>
  <c r="S10" i="23"/>
  <c r="T9" i="23"/>
  <c r="E94" i="15"/>
  <c r="D91" i="15"/>
  <c r="B105" i="17"/>
  <c r="Q9" i="23"/>
  <c r="F9" i="23"/>
  <c r="T10" i="23"/>
  <c r="F88" i="15"/>
  <c r="C95" i="15"/>
  <c r="L10" i="23"/>
  <c r="U8" i="23"/>
  <c r="G86" i="15"/>
  <c r="F85" i="15"/>
  <c r="X8" i="23"/>
  <c r="F84" i="15"/>
  <c r="P8" i="23"/>
  <c r="C83" i="19"/>
  <c r="C44" i="19"/>
  <c r="S8" i="23"/>
  <c r="C76" i="19"/>
  <c r="V8" i="23"/>
  <c r="R8" i="23"/>
  <c r="Q8" i="23"/>
  <c r="T8" i="23"/>
  <c r="E85" i="15"/>
  <c r="E8" i="23"/>
  <c r="F8" i="23"/>
  <c r="G84" i="15"/>
  <c r="G81" i="15"/>
  <c r="D79" i="15"/>
  <c r="F78" i="15"/>
  <c r="E82" i="15"/>
  <c r="G77" i="15"/>
  <c r="D75" i="15"/>
  <c r="F70" i="15"/>
  <c r="B70" i="17"/>
  <c r="F79" i="15"/>
  <c r="R7" i="23"/>
  <c r="K83" i="19"/>
  <c r="D83" i="19"/>
  <c r="S83" i="19"/>
  <c r="E70" i="15"/>
  <c r="O32" i="19"/>
  <c r="K32" i="19"/>
  <c r="E31" i="15" s="1"/>
  <c r="G32" i="19"/>
  <c r="S32" i="19"/>
  <c r="G31" i="15"/>
  <c r="O83" i="19"/>
  <c r="Q35" i="17"/>
  <c r="F66" i="15"/>
  <c r="G61" i="15"/>
  <c r="F65" i="15"/>
  <c r="F54" i="15"/>
  <c r="C84" i="19"/>
  <c r="G63" i="15"/>
  <c r="E62" i="15"/>
  <c r="G59" i="15"/>
  <c r="E59" i="15"/>
  <c r="E54" i="15"/>
  <c r="E53" i="15"/>
  <c r="G51" i="15"/>
  <c r="S6" i="23"/>
  <c r="E49" i="15"/>
  <c r="G68" i="15"/>
  <c r="E65" i="15"/>
  <c r="F62" i="15"/>
  <c r="F59" i="15"/>
  <c r="G56" i="15"/>
  <c r="C21" i="19"/>
  <c r="C20" i="15" s="1"/>
  <c r="C75" i="19"/>
  <c r="C19" i="19"/>
  <c r="C18" i="15" s="1"/>
  <c r="C17" i="19"/>
  <c r="C16" i="15" s="1"/>
  <c r="C12" i="19"/>
  <c r="C11" i="19"/>
  <c r="E50" i="15"/>
  <c r="Q6" i="23"/>
  <c r="Y6" i="23"/>
  <c r="C15" i="19"/>
  <c r="C14" i="15" s="1"/>
  <c r="D82" i="19"/>
  <c r="C82" i="19"/>
  <c r="G65" i="15"/>
  <c r="E63" i="15"/>
  <c r="F61" i="15"/>
  <c r="G53" i="15"/>
  <c r="X6" i="23"/>
  <c r="T6" i="23"/>
  <c r="C10" i="19"/>
  <c r="F13" i="15"/>
  <c r="F6" i="23"/>
  <c r="F63" i="15"/>
  <c r="E55" i="15"/>
  <c r="G52" i="15"/>
  <c r="G50" i="15"/>
  <c r="G49" i="15"/>
  <c r="W6" i="23"/>
  <c r="C20" i="19"/>
  <c r="C19" i="15" s="1"/>
  <c r="F55" i="15"/>
  <c r="R6" i="23"/>
  <c r="E51" i="15"/>
  <c r="V6" i="23"/>
  <c r="C28" i="19"/>
  <c r="E6" i="23"/>
  <c r="C13" i="19"/>
  <c r="F50" i="15"/>
  <c r="C39" i="15"/>
  <c r="F31" i="15"/>
  <c r="F72" i="15"/>
  <c r="L9" i="23"/>
  <c r="C89" i="15"/>
  <c r="C88" i="15"/>
  <c r="C66" i="15"/>
  <c r="C12" i="23"/>
  <c r="C140" i="17"/>
  <c r="C108" i="15"/>
  <c r="M105" i="17"/>
  <c r="K28" i="15"/>
  <c r="C11" i="23"/>
  <c r="C102" i="15"/>
  <c r="K22" i="15"/>
  <c r="C10" i="23"/>
  <c r="J10" i="23"/>
  <c r="C96" i="15"/>
  <c r="D105" i="17"/>
  <c r="K16" i="15"/>
  <c r="C93" i="15"/>
  <c r="K9" i="23"/>
  <c r="K5" i="15"/>
  <c r="K8" i="23"/>
  <c r="C84" i="15"/>
  <c r="K4" i="15"/>
  <c r="C34" i="15"/>
  <c r="C75" i="15"/>
  <c r="C67" i="15"/>
  <c r="C64" i="15"/>
  <c r="C23" i="15"/>
  <c r="C63" i="15"/>
  <c r="C17" i="15"/>
  <c r="C57" i="15"/>
  <c r="C54" i="15"/>
  <c r="C52" i="15"/>
  <c r="C5" i="15"/>
  <c r="J5" i="23"/>
  <c r="K5" i="23"/>
  <c r="D35" i="17"/>
  <c r="C45" i="15"/>
  <c r="C59" i="15"/>
  <c r="C86" i="15"/>
  <c r="L70" i="17"/>
  <c r="J8" i="23"/>
  <c r="M70" i="17"/>
  <c r="K13" i="15" l="1"/>
  <c r="C9" i="23" s="1"/>
  <c r="C105" i="17"/>
  <c r="C82" i="15"/>
  <c r="C41" i="15"/>
  <c r="C40" i="15"/>
  <c r="C80" i="15"/>
  <c r="C38" i="15"/>
  <c r="C37" i="15"/>
  <c r="C78" i="15"/>
  <c r="C36" i="15"/>
  <c r="C17" i="23"/>
  <c r="C35" i="15"/>
  <c r="C76" i="15"/>
  <c r="G74" i="15"/>
  <c r="C74" i="15"/>
  <c r="Y7" i="23"/>
  <c r="W7" i="23"/>
  <c r="P4" i="16" s="1"/>
  <c r="Q7" i="23"/>
  <c r="G25" i="23"/>
  <c r="E25" i="23"/>
  <c r="F74" i="15"/>
  <c r="F111" i="15" s="1"/>
  <c r="G33" i="15"/>
  <c r="D33" i="15"/>
  <c r="E74" i="15"/>
  <c r="S7" i="23"/>
  <c r="X7" i="23"/>
  <c r="F70" i="17"/>
  <c r="C33" i="15"/>
  <c r="K7" i="23"/>
  <c r="C72" i="15"/>
  <c r="C31" i="15"/>
  <c r="L7" i="23"/>
  <c r="C70" i="17"/>
  <c r="D70" i="17"/>
  <c r="C70" i="15"/>
  <c r="C29" i="15"/>
  <c r="C7" i="23" s="1"/>
  <c r="J7" i="23"/>
  <c r="C68" i="15"/>
  <c r="C27" i="15"/>
  <c r="C58" i="15"/>
  <c r="C18" i="23"/>
  <c r="C55" i="15"/>
  <c r="C26" i="23"/>
  <c r="C12" i="15"/>
  <c r="C27" i="23"/>
  <c r="C11" i="15"/>
  <c r="C10" i="15"/>
  <c r="C51" i="15"/>
  <c r="L6" i="23"/>
  <c r="J6" i="23"/>
  <c r="L35" i="17"/>
  <c r="M35" i="17"/>
  <c r="C25" i="23"/>
  <c r="C50" i="15"/>
  <c r="C9" i="15"/>
  <c r="C24" i="23"/>
  <c r="C35" i="17"/>
  <c r="L5" i="23"/>
  <c r="C47" i="15"/>
  <c r="G11" i="23"/>
  <c r="M32" i="15"/>
  <c r="O11" i="23"/>
  <c r="L29" i="15"/>
  <c r="M27" i="15"/>
  <c r="E11" i="23" s="1"/>
  <c r="F100" i="15"/>
  <c r="G99" i="15"/>
  <c r="E17" i="23"/>
  <c r="F19" i="23"/>
  <c r="G27" i="23"/>
  <c r="F27" i="23"/>
  <c r="E27" i="23"/>
  <c r="E9" i="23"/>
  <c r="E10" i="23"/>
  <c r="G97" i="15"/>
  <c r="P10" i="23"/>
  <c r="L10" i="15"/>
  <c r="O6" i="16"/>
  <c r="G95" i="15"/>
  <c r="Q10" i="23"/>
  <c r="W9" i="23"/>
  <c r="W10" i="23"/>
  <c r="D97" i="15"/>
  <c r="F10" i="23"/>
  <c r="F24" i="23"/>
  <c r="L16" i="15"/>
  <c r="P9" i="23"/>
  <c r="L5" i="15"/>
  <c r="D85" i="15"/>
  <c r="G7" i="23"/>
  <c r="O4" i="16"/>
  <c r="F36" i="15"/>
  <c r="F7" i="23" s="1"/>
  <c r="I5" i="16" s="1"/>
  <c r="G75" i="15"/>
  <c r="U7" i="23"/>
  <c r="E30" i="15"/>
  <c r="E34" i="15"/>
  <c r="P5" i="16"/>
  <c r="P6" i="16"/>
  <c r="F25" i="23"/>
  <c r="G70" i="15"/>
  <c r="O5" i="16"/>
  <c r="E29" i="15"/>
  <c r="D35" i="15"/>
  <c r="D37" i="15"/>
  <c r="E19" i="23"/>
  <c r="G19" i="23"/>
  <c r="G26" i="23"/>
  <c r="F26" i="23"/>
  <c r="E26" i="23"/>
  <c r="G17" i="23"/>
  <c r="D34" i="15"/>
  <c r="D13" i="15"/>
  <c r="D23" i="15"/>
  <c r="D54" i="15"/>
  <c r="D5" i="15"/>
  <c r="G6" i="23"/>
  <c r="F68" i="15"/>
  <c r="G67" i="15"/>
  <c r="E67" i="15"/>
  <c r="E61" i="15"/>
  <c r="F58" i="15"/>
  <c r="F49" i="15"/>
  <c r="C24" i="15"/>
  <c r="C22" i="15"/>
  <c r="G8" i="15"/>
  <c r="D24" i="15"/>
  <c r="D19" i="15"/>
  <c r="D26" i="15"/>
  <c r="F67" i="15"/>
  <c r="G64" i="15"/>
  <c r="F64" i="15"/>
  <c r="E64" i="15"/>
  <c r="G62" i="15"/>
  <c r="C62" i="15"/>
  <c r="F60" i="15"/>
  <c r="E60" i="15"/>
  <c r="C60" i="15"/>
  <c r="G58" i="15"/>
  <c r="G57" i="15"/>
  <c r="F57" i="15"/>
  <c r="D57" i="15"/>
  <c r="K6" i="23"/>
  <c r="E56" i="15"/>
  <c r="C56" i="15"/>
  <c r="G55" i="15"/>
  <c r="F52" i="15"/>
  <c r="E52" i="15"/>
  <c r="G83" i="19"/>
  <c r="D25" i="23" s="1"/>
  <c r="K35" i="17"/>
  <c r="O35" i="17"/>
  <c r="D19" i="23"/>
  <c r="G111" i="15"/>
  <c r="C21" i="15"/>
  <c r="N6" i="16"/>
  <c r="N5" i="16"/>
  <c r="D63" i="15"/>
  <c r="D62" i="15"/>
  <c r="D56" i="15"/>
  <c r="N4" i="16"/>
  <c r="D59" i="15"/>
  <c r="D74" i="15"/>
  <c r="D32" i="15"/>
  <c r="D73" i="15"/>
  <c r="L28" i="15"/>
  <c r="D11" i="23" s="1"/>
  <c r="D102" i="15"/>
  <c r="N11" i="23"/>
  <c r="L22" i="15"/>
  <c r="D96" i="15"/>
  <c r="D10" i="23"/>
  <c r="O9" i="23"/>
  <c r="D9" i="23"/>
  <c r="D18" i="23"/>
  <c r="D93" i="15"/>
  <c r="D90" i="15"/>
  <c r="N9" i="23"/>
  <c r="D88" i="15"/>
  <c r="E105" i="17"/>
  <c r="O8" i="23"/>
  <c r="D84" i="15"/>
  <c r="L4" i="15"/>
  <c r="D8" i="23"/>
  <c r="D41" i="15"/>
  <c r="D82" i="15"/>
  <c r="D80" i="15"/>
  <c r="D78" i="15"/>
  <c r="D76" i="15"/>
  <c r="D31" i="15"/>
  <c r="D72" i="15"/>
  <c r="D71" i="15"/>
  <c r="P7" i="23"/>
  <c r="N7" i="23"/>
  <c r="O7" i="23"/>
  <c r="D29" i="15"/>
  <c r="D70" i="15"/>
  <c r="E70" i="17"/>
  <c r="D68" i="15"/>
  <c r="D27" i="15"/>
  <c r="D67" i="15"/>
  <c r="D25" i="15"/>
  <c r="D66" i="15"/>
  <c r="D65" i="15"/>
  <c r="D64" i="15"/>
  <c r="D22" i="15"/>
  <c r="D21" i="15"/>
  <c r="D61" i="15"/>
  <c r="D20" i="15"/>
  <c r="D60" i="15"/>
  <c r="D17" i="15"/>
  <c r="D14" i="15"/>
  <c r="D55" i="15"/>
  <c r="D53" i="15"/>
  <c r="D52" i="15"/>
  <c r="N35" i="17"/>
  <c r="D10" i="15"/>
  <c r="D51" i="15"/>
  <c r="N6" i="23"/>
  <c r="O6" i="23"/>
  <c r="D27" i="23"/>
  <c r="P6" i="23"/>
  <c r="D26" i="23"/>
  <c r="D9" i="15"/>
  <c r="D50" i="15"/>
  <c r="D8" i="15"/>
  <c r="D24" i="23"/>
  <c r="D17" i="23"/>
  <c r="E45" i="15"/>
  <c r="E111" i="15" s="1"/>
  <c r="E35" i="17"/>
  <c r="E5" i="23"/>
  <c r="D46" i="15"/>
  <c r="P5" i="23"/>
  <c r="N5" i="23"/>
  <c r="D45" i="15"/>
  <c r="D4" i="15"/>
  <c r="D5" i="23" s="1"/>
  <c r="E7" i="23" l="1"/>
  <c r="L5" i="16"/>
  <c r="J5" i="16"/>
  <c r="L4" i="16"/>
  <c r="L6" i="16"/>
  <c r="C6" i="23"/>
  <c r="F5" i="16" s="1"/>
  <c r="C111" i="15"/>
  <c r="H5" i="16"/>
  <c r="M5" i="16"/>
  <c r="D7" i="23"/>
  <c r="D6" i="23"/>
  <c r="M4" i="16"/>
  <c r="M6" i="16"/>
  <c r="D111" i="15"/>
  <c r="G5" i="16" l="1"/>
</calcChain>
</file>

<file path=xl/comments1.xml><?xml version="1.0" encoding="utf-8"?>
<comments xmlns="http://schemas.openxmlformats.org/spreadsheetml/2006/main">
  <authors>
    <author>umamahesh</author>
  </authors>
  <commentList>
    <comment ref="D3" authorId="0" shapeId="0">
      <text>
        <r>
          <rPr>
            <sz val="8"/>
            <color indexed="81"/>
            <rFont val="Tahoma"/>
            <family val="2"/>
          </rPr>
          <t>0.1--&gt;Very unlikely
0.3--&gt;Unlikely
0.5--&gt;Likely
0.7--&gt;More likely
0.9--&gt;Almost certain
1.0--&gt;Happened</t>
        </r>
      </text>
    </comment>
    <comment ref="E3" authorId="0" shapeId="0">
      <text>
        <r>
          <rPr>
            <sz val="8"/>
            <color indexed="81"/>
            <rFont val="Tahoma"/>
            <family val="2"/>
          </rPr>
          <t xml:space="preserve">1--&gt;Least
10--&gt;Highest
</t>
        </r>
      </text>
    </comment>
    <comment ref="F3" authorId="0" shapeId="0">
      <text>
        <r>
          <rPr>
            <sz val="8"/>
            <color indexed="81"/>
            <rFont val="Tahoma"/>
            <family val="2"/>
          </rPr>
          <t>Risk score 0-3--&gt;No mitigation required
Risk score 3.1 to 7--&gt;Only mitigation required
Risk score 7.1 to 10--&gt;Mitigation &amp; contingency plans are required.</t>
        </r>
      </text>
    </comment>
    <comment ref="G3" authorId="0" shapeId="0">
      <text>
        <r>
          <rPr>
            <sz val="8"/>
            <color indexed="81"/>
            <rFont val="Tahoma"/>
            <family val="2"/>
          </rPr>
          <t xml:space="preserve">Risk score: 0 to 3--&gt;Low
Risk score: 3.1 to 5--&gt;Medium
Risk score: 5.1 to 7--&gt;High
Risk score: 7.1 to 10--&gt;Critical
</t>
        </r>
      </text>
    </comment>
  </commentList>
</comments>
</file>

<file path=xl/sharedStrings.xml><?xml version="1.0" encoding="utf-8"?>
<sst xmlns="http://schemas.openxmlformats.org/spreadsheetml/2006/main" count="2480" uniqueCount="646">
  <si>
    <t xml:space="preserve">Are suitable CIs updated due to implementation of Change Request? </t>
  </si>
  <si>
    <t xml:space="preserve">Is the Traceability Matrix updated for the changes? </t>
  </si>
  <si>
    <t>Project Name</t>
  </si>
  <si>
    <t>Project Manager</t>
  </si>
  <si>
    <t>Description of Finding</t>
  </si>
  <si>
    <t>Root Cause</t>
  </si>
  <si>
    <t>Corrective Action</t>
  </si>
  <si>
    <t>Project Initiation</t>
  </si>
  <si>
    <t>Are the project risks monitored reguarly?</t>
  </si>
  <si>
    <t>Total</t>
  </si>
  <si>
    <t>Requirements</t>
  </si>
  <si>
    <t>Build &amp; Delivery</t>
  </si>
  <si>
    <t>Monitoring &amp; Control</t>
  </si>
  <si>
    <t>Testing</t>
  </si>
  <si>
    <t>S.No</t>
  </si>
  <si>
    <t>Has the final deliverable (including source, other documentation as agreed upon in SOW / Proposal / Contract) been made?</t>
  </si>
  <si>
    <t>Has the project acceptance sign off been obtained from customer?</t>
  </si>
  <si>
    <t>All the Change Request (CR) are addressed and closed appropriately.</t>
  </si>
  <si>
    <t>Has the project feedback form been sent to customer?</t>
  </si>
  <si>
    <t>Have all technical documents been synchronized with what had been delivered to customer?</t>
  </si>
  <si>
    <t>Has the re-estimation of Size and Effort been carried out and variation captured?</t>
  </si>
  <si>
    <t>Have all customer-supplied materials been returned?</t>
  </si>
  <si>
    <t>Have all the project members been released?</t>
  </si>
  <si>
    <t>Have all the hardware and software resources been released?</t>
  </si>
  <si>
    <t>Project marked as Closed in project database?</t>
  </si>
  <si>
    <t>Metrics data collection completed?</t>
  </si>
  <si>
    <t>Have all the reusable components moved to the Process Database?</t>
  </si>
  <si>
    <t>Are the Best Practices, Lessons learnt,Sample artifacts,Risk register is moved to Process asset library?</t>
  </si>
  <si>
    <t>Project Directory archived</t>
  </si>
  <si>
    <t>Project Closure</t>
  </si>
  <si>
    <t>Are all the NC's that are identified during the Audit are closed?</t>
  </si>
  <si>
    <t>ISO Clause Ref</t>
  </si>
  <si>
    <t>Are there any design alternatives available that satisfies the requirements?</t>
  </si>
  <si>
    <t>Are the identified design alternatives documented?</t>
  </si>
  <si>
    <t>Is the best solution selected out of the identified alternatives?</t>
  </si>
  <si>
    <t>Is the Effort of the project estimated based on organizational estimation guidelines?</t>
  </si>
  <si>
    <t>Is the Size of the project estimated based on organizational estimation guidelines?</t>
  </si>
  <si>
    <t>Is the Project Management Plan reviewed by SQA team?</t>
  </si>
  <si>
    <t>Are the Constraints &amp; Critical Dependencies identified also considering SoW?</t>
  </si>
  <si>
    <t>Is the lifecycle identified based on Lifecycle Models and Lifecycle Selection Guidelines?</t>
  </si>
  <si>
    <t>Are the inputs, entry criteria, outputs, exit criteria and acceptance criteria identified based on the lifecycle identified?</t>
  </si>
  <si>
    <t>Is the technical data package identified based on the technical work products of the project?</t>
  </si>
  <si>
    <t>Are the process tailoring requirements identified based on tailoring guidelines?</t>
  </si>
  <si>
    <t>Is the project structure identified depicting the roles based on hierarchy?</t>
  </si>
  <si>
    <t>Is the staffing plan prepared based on the roles identified and resource estimates across the lifecycle phases of the project?</t>
  </si>
  <si>
    <t>Are the role based skills required identified for the project?</t>
  </si>
  <si>
    <t>Is the gap analysis conducted based on the role based skills available and role based skills required for the project?</t>
  </si>
  <si>
    <t>Is the training plan prepared based on the role based skill gaps?</t>
  </si>
  <si>
    <t>Are the client supplied items identified along with media, storage location?</t>
  </si>
  <si>
    <t>Are the configurable items identified along with location, criteria for baseline and change approval details?</t>
  </si>
  <si>
    <t>Are the naming conventions of configurable items identified based on Configuration Management Guidelines?</t>
  </si>
  <si>
    <t>Is the criteria for baseline of configurable items identified based on Configuration Management Guidelines?</t>
  </si>
  <si>
    <t>Is the change control mechanism identified based on Configuration Management Guidelines?</t>
  </si>
  <si>
    <t>Are the release version numbering identified based on Configuration Management Guidelines?</t>
  </si>
  <si>
    <t>Is the configuration status accounting identified based on Configuration Management Guidelines?</t>
  </si>
  <si>
    <t>Are plans for configuration audits identified?</t>
  </si>
  <si>
    <t>Are the mechanism to collect, analyze along with responsibility, periodicity identified?</t>
  </si>
  <si>
    <t>Are the technical reviews of work products planned?</t>
  </si>
  <si>
    <t xml:space="preserve">Is the work product validation plan identified? </t>
  </si>
  <si>
    <t>Are the risk sources &amp; categories, risk parameters definition identified based on risk management guidelines?</t>
  </si>
  <si>
    <t>Are the risk monitoring intervals identified?</t>
  </si>
  <si>
    <t>Is the stakeholder commitment plan identified based on the roles identified against each deliverable?</t>
  </si>
  <si>
    <t>Is the periodicity to conduct customer satisfaction survey identified?</t>
  </si>
  <si>
    <t>Are the areas where DAR to be applied identified?</t>
  </si>
  <si>
    <t>Are the DAR method and evaluation criteria identified based on DAR guidelines?</t>
  </si>
  <si>
    <t>Is the escalation methodology identified?</t>
  </si>
  <si>
    <t>Is the project closure plan identified?</t>
  </si>
  <si>
    <t>Is restoration of project data conducted based on plan?</t>
  </si>
  <si>
    <t>Are the metrics identified based on organizational metrics defined in Quality Manual?</t>
  </si>
  <si>
    <t>Are the reusable components to be used identified?</t>
  </si>
  <si>
    <t>Is the Project Initiation Note prepared?</t>
  </si>
  <si>
    <t>Is the kick-off meeting been conducted?</t>
  </si>
  <si>
    <t>Are the assumptions identified also considering SoW?</t>
  </si>
  <si>
    <t>Is the Project Management Plan baselined?</t>
  </si>
  <si>
    <t>Are the Unit Test Cases baselined?</t>
  </si>
  <si>
    <t>Are the test defects analyzed for root causes and corrective actions?</t>
  </si>
  <si>
    <t>Is the build for system testing named based on naming conventions of Project Management Plan</t>
  </si>
  <si>
    <t>Is the Build Note issued to testing team along with build for system testing?</t>
  </si>
  <si>
    <t>Is the system testing done as based on the Test Plan and System Test Cases?</t>
  </si>
  <si>
    <t>Is the Test Plan prepared based on project plan?</t>
  </si>
  <si>
    <t>Is the Test Plan baselined?</t>
  </si>
  <si>
    <t>Actual Closure Date</t>
  </si>
  <si>
    <t>Area: Project Closure</t>
  </si>
  <si>
    <t>Project Management</t>
  </si>
  <si>
    <t>Are configuration audits conducted based on plan?</t>
  </si>
  <si>
    <t>Audit Effort</t>
  </si>
  <si>
    <t>Design &amp; Coding</t>
  </si>
  <si>
    <t>Are change requests documented for non-scope related changes?</t>
  </si>
  <si>
    <t>Are change requests documented for scope related changes?</t>
  </si>
  <si>
    <t>Are the status review meetings planned along with periodicity?</t>
  </si>
  <si>
    <t>Project Type</t>
  </si>
  <si>
    <t>Follow up Audit Date</t>
  </si>
  <si>
    <t>Are the corrective actions, target date for implementation identified for deviated metrics?</t>
  </si>
  <si>
    <t>Are the effectiveness of corrective actions being monitored based on target date?</t>
  </si>
  <si>
    <t>Are the Metrics Analysis Sheet communicated to SEPG periodically?</t>
  </si>
  <si>
    <t>Is the Schedule available based on the estimated effort and estimated schedule?</t>
  </si>
  <si>
    <t>Are the issues being analyzed and tracked to closure?</t>
  </si>
  <si>
    <t>Are the Metrics collected and analyzed reguarly as per the plan</t>
  </si>
  <si>
    <t>Is the impact analysis being done for change requests?</t>
  </si>
  <si>
    <t>Is the Requirement Clarifications Log being maintained?</t>
  </si>
  <si>
    <t>Are the Milestone review meetings being conducted based on plan?</t>
  </si>
  <si>
    <t>Are the senior management review meetings being conducted based on plan?</t>
  </si>
  <si>
    <t>Are the customer Status Review meetings being conucted based on plan?</t>
  </si>
  <si>
    <t>Is the Product Integration Plan prepared based on project plan?</t>
  </si>
  <si>
    <t>Are the Unit Test Cases prepared?</t>
  </si>
  <si>
    <t>Milestone</t>
  </si>
  <si>
    <t>Business Impact</t>
  </si>
  <si>
    <t>Probability of occurrence</t>
  </si>
  <si>
    <t>Mitigation Plan(s)</t>
  </si>
  <si>
    <t>Critical</t>
  </si>
  <si>
    <t>4.2.4</t>
  </si>
  <si>
    <t>ISO 9001:2008 Clauses wise</t>
  </si>
  <si>
    <t>Total Count</t>
  </si>
  <si>
    <t>Compliance Count</t>
  </si>
  <si>
    <t>Documentation (4.2.3)</t>
  </si>
  <si>
    <t>Records (4.2.4)</t>
  </si>
  <si>
    <t>Skill assessment (6.2.2)</t>
  </si>
  <si>
    <t>Infrastructure (6.3)</t>
  </si>
  <si>
    <t>Work environment (6.4)</t>
  </si>
  <si>
    <t>Project planning (7.1)</t>
  </si>
  <si>
    <t>Determination of customer requirements (7.2.1)</t>
  </si>
  <si>
    <t>Review of requirements (7.2.2)</t>
  </si>
  <si>
    <t>Customer communication (7.2.3)</t>
  </si>
  <si>
    <t>Design &amp; dev planning (7.3.1)</t>
  </si>
  <si>
    <t>Design &amp; dev inputs (7.3.2)</t>
  </si>
  <si>
    <t>Design &amp; dev outputs (7.3.3)</t>
  </si>
  <si>
    <t>Design &amp; dev reviews (7.3.4)</t>
  </si>
  <si>
    <t>Design &amp; dev verification (7.3.5)</t>
  </si>
  <si>
    <t>Design &amp; dev validation (7.3.6)</t>
  </si>
  <si>
    <t>Control of design &amp; dev changes (7.3.7)</t>
  </si>
  <si>
    <t>Control of production &amp; service provision (7.5.1)</t>
  </si>
  <si>
    <t>Validation of processes for production &amp; service provision (7.5.2)</t>
  </si>
  <si>
    <t>Identification &amp; traceability (7.5.3)</t>
  </si>
  <si>
    <t>Customer property (7.5.4)</t>
  </si>
  <si>
    <t>Preservation of product (7.5.5)</t>
  </si>
  <si>
    <t>Control of monitoring &amp; measuring equipment (7.6)</t>
  </si>
  <si>
    <t>Plan, implement, monitor, measure, analyze &amp; improve processes (8.1)</t>
  </si>
  <si>
    <t>Customer satisfaction (8.2.1)</t>
  </si>
  <si>
    <t>Monitoring &amp; measurement of processes (8.2.3)</t>
  </si>
  <si>
    <t>Monitoring &amp; measurement of product (8.2.4)</t>
  </si>
  <si>
    <t>Control of nonconforming product (8.3)</t>
  </si>
  <si>
    <t>Analysis of data (8.4)</t>
  </si>
  <si>
    <t>Continual improvement (8.5.1)</t>
  </si>
  <si>
    <t>Corrective action (8.5.2)</t>
  </si>
  <si>
    <t>Preventive action (8.5.3)</t>
  </si>
  <si>
    <t>ISO 9001:2008 Clause wise Audit Findings Status</t>
  </si>
  <si>
    <t>Area</t>
  </si>
  <si>
    <t>Risk</t>
  </si>
  <si>
    <t>BUSINESS RISKS BASED ON PROJECT PROCESS COMPLIANCE STATUS</t>
  </si>
  <si>
    <t>PROJECT PROCESS COMPLIANCE SUMMARY</t>
  </si>
  <si>
    <t>Severity</t>
  </si>
  <si>
    <t>Lifecycle Phase</t>
  </si>
  <si>
    <t>Metrics capturing &amp; analysis</t>
  </si>
  <si>
    <t>1.Lack of basis and transparency for objective evaluation of project status.
2.Lack of visibility of the project status.
3. Lack of control over the project resources, schedule, effort, and cost.</t>
  </si>
  <si>
    <t>Periodically capture and analyze the metrics based on the metrics plan of the project.
Periodically conduct the metric analysis reviews by reporting authority.</t>
  </si>
  <si>
    <t>Risk of loosing an opportunity for management's intervention based on critical project requirements.</t>
  </si>
  <si>
    <t>1.Lack of control over the project configurable items/intellectual property e.g. source code, scope, design etc.
2. Lack of protection to project configurable items/intellectual property.</t>
  </si>
  <si>
    <t>1.Lack of project data security.
2. Loss/corruption to critical project components due to lack of configuration management in place.
3. Lack of control over the intellectual property may impact the deliverables with poor quality.
4. Delivering wrong builds to customer.
5. Increase in effort and production cost to address the post delivery defects.
6. Unauthorized sharing of the intellectual property with competitors.
7. Loss of revenue due to unauthorized changes to the source code based on customer requests.</t>
  </si>
  <si>
    <t>Wtg</t>
  </si>
  <si>
    <t>Major</t>
  </si>
  <si>
    <t>Minor</t>
  </si>
  <si>
    <t>Are the reusable components to be developed identified?</t>
  </si>
  <si>
    <t>1.Lack of detailed scheduling resulting unplanned activities.
2.Lack of effective control over the project in an objective manner.
3. Lack of employee productivity/efficiency details.</t>
  </si>
  <si>
    <t>Prepare project schedules based on QMS guidelines
Periodically capture the efforts of project team members</t>
  </si>
  <si>
    <t>1. Loss of project data due to crash of system/server.</t>
  </si>
  <si>
    <t>1.Failure of project data may hamper  appropriate deliverables to customer and project.
2. Decrease in customer satisfaction &amp; customer delight due to poor delivery.
3. Decrease in no. of repetitive orders from the customer.
4. Decrease in customer references.
5. Loss of business and market share.</t>
  </si>
  <si>
    <t>Conduct internal status review meetings and identify action items.</t>
  </si>
  <si>
    <t>Ensure adequate change control over project artifacts.</t>
  </si>
  <si>
    <t>Are the internal Status Review meetings being conducted based on plan?</t>
  </si>
  <si>
    <t>8.5.2</t>
  </si>
  <si>
    <t>`</t>
  </si>
  <si>
    <t>Are the roles and adequate responsibilities identified? E.g.: PM, BA etc</t>
  </si>
  <si>
    <t>Are risks identified also considering assumptions, constraints &amp; critical dependencies including Sow?</t>
  </si>
  <si>
    <t>1.Increased employee workload due to poor scheduling and unplanned activities affecting the employee morale.
2. Loss of opportunity of eliminate non-value added activities.
3. Loss of opportunity to gauge the employee productivity to lack of scheduling assigning tasks and capturing the effort.
4. Imbalance of work among team members affecting the team work.
5. Poor quality of deliverables due to excessive workload on employees.
6. Low employee productivity/efficiency due to poor scheduling and unplanned activities.
7.Failure in delivering business value.</t>
  </si>
  <si>
    <t>Follow up with ICT team and ensure that the project data is being backed up. Periodically conduct restoration of project data and address the issues if any.</t>
  </si>
  <si>
    <t>1.Increase in project cost.
2. Decrease in project profitability.
3. Poor quality of the deliverables.
4. Increase in rework  due to poor quality of deliverables.
5. Loss of opportunity to reduce cycle time of production/process.
6. Loss of opportunity to gauge the process productivity.
7. Decrease in customer satisfaction &amp; customer delight.</t>
  </si>
  <si>
    <t>Scope creep.</t>
  </si>
  <si>
    <t>1. Increased development costs due to scope creep and lack of proper basis for development.
2. Low project profitability.</t>
  </si>
  <si>
    <t>Manage scope changes based on scope change management process.</t>
  </si>
  <si>
    <t>Is the Product Integration Plan baselined?</t>
  </si>
  <si>
    <t>7.2.2</t>
  </si>
  <si>
    <t>7.5.3</t>
  </si>
  <si>
    <t>7.3.2</t>
  </si>
  <si>
    <t>7.3.4</t>
  </si>
  <si>
    <t>7.3.3</t>
  </si>
  <si>
    <t>Schedules</t>
  </si>
  <si>
    <t>Skill Assessment</t>
  </si>
  <si>
    <t>Project team members with inadequate skills.</t>
  </si>
  <si>
    <t>1. Development of work products with poor quality.
2. Increase in cost of production.
3. Increase in no. of defects during product development.
4. Increase in no. of defects during production.
5. Increase in rework effort and rework cost due to work products with poor quality.
6.Under utilization and low productivity of team members.</t>
  </si>
  <si>
    <t>Conduct skill assessment to project resources based on project requirements and plan for trainings.</t>
  </si>
  <si>
    <t>Backup Plan</t>
  </si>
  <si>
    <t>Risk management</t>
  </si>
  <si>
    <t>Lack of mechanism to handle any potential un foreseen negative events may impact disrupting the project.</t>
  </si>
  <si>
    <t>1.Increase in project disruptions e.g. schedule, effort, cost, quality, customer satisfaction etc.
2.Incidents of statutory &amp; regulatory breaches of the project.
3.Reduction in customer satisfaction, confidence and trust due to the absence of consistent, standardized and robust method to assess, monitor and reduce the risks.
4.Decrease in no. of repetitive orders from the customer.
5.Decrease in customer references.
6.Loss of business and market share.</t>
  </si>
  <si>
    <t>Periodically identify and monitor the status of risks.</t>
  </si>
  <si>
    <t>Issue management</t>
  </si>
  <si>
    <t>Lack of mechanism to handle any project issue which has occured may negatively impact the project.</t>
  </si>
  <si>
    <t>1.Conflicts between functions, team members, team &amp; customer.
2.Decrease in employee morale &amp; team spirit.
3.Decrease in company reputation.
4.Decrease in customer satisfaction.
5.Decrease in no. of repetitive orders from the customer.
6.Decrease in customer references.</t>
  </si>
  <si>
    <t>Periodically capture and monitor the status of issues.</t>
  </si>
  <si>
    <t>Recurrence of issues.
Loss of oppurtunity to improve the internal communication between project team and management, to set the expectations.
Decrease in company reputation.</t>
  </si>
  <si>
    <t>Periodic project status reviews</t>
  </si>
  <si>
    <t>Configuration audits</t>
  </si>
  <si>
    <t>Review defects Analysis</t>
  </si>
  <si>
    <t>1. Risk of loosing process improvement opportunities.
2.Risk of pilferage of defects from one phase to another phase.
3.Risk of poor quality for deliverables.</t>
  </si>
  <si>
    <t>1.Low process productivity.
2.Loss of oppurtunity to reduce the system/application variation (increase in reliability).
3.Increase in effort and production cost to address the post delivery defects.
4.Decrease in customer satisfaction &amp; customer delight due to repeated defects.
5.Decrease in no. of repetitive orders from the customer.
6.Decrease in customer references.
7.Loss of business and market share.</t>
  </si>
  <si>
    <t>Capture and track all the review defects of work products and analyze the same.</t>
  </si>
  <si>
    <t>Requirements clarifications, traceability matrix, requirements analysis</t>
  </si>
  <si>
    <t>1.Risk on while releasing the Builds.
2.Risk on improper integration of product component requirements.
3.Risk on control of testing schedules, testing process and test execution coverage.
4.Poor Quality of Deliverables</t>
  </si>
  <si>
    <t>1. Poor quality of deliverables.
1.Increase in effort and production cost to address the post delivery defects.
2.Decrease in customer satisfaction &amp; customer delight due to repeated defects.
3.Decrease in no. of repetitive orders from the customer.
4.Decrease in customer references.
5.Loss of business and market share.</t>
  </si>
  <si>
    <t xml:space="preserve">Release plan, acceptance plan and integration plan </t>
  </si>
  <si>
    <t>Establish the plans along with the review and approval and baseline of all the plan documents.</t>
  </si>
  <si>
    <t>7.3.7</t>
  </si>
  <si>
    <t>7.5.1</t>
  </si>
  <si>
    <t>Are the Regression Test Cases prepared?</t>
  </si>
  <si>
    <t>Are the Regression Test Cases baselined?</t>
  </si>
  <si>
    <t>Customer satisfaction survey is conducted as per plan?</t>
  </si>
  <si>
    <t>Change management, Configuration management, access controls</t>
  </si>
  <si>
    <t>1.Risk of control over the requirements given by the customer.
2.Requirements/Scope creep.
3.Poor quality of deliverables.
4.Lack of proper estimations.
5.Lack of control over the project configurable items/intellectual property e.g. source code, scope, design etc.
6. Lack of protection to project configurable items/intellectual property.</t>
  </si>
  <si>
    <t>1. Increased development costs due to scope creep and lack of proper basis for development.
2. Low project profitability.
3.Lack of project data security.
4. Loss/corruption to critical project components due to lack of configuration management in place.
5. Lack of control over the intellectual property may impact the deliverables with poor quality.
6. Delivering wrong builds to customer.
7. Increase in effort and production cost to address the post delivery defects.
8. Unauthorized sharing of the intellectual property with competitors.
9. Loss of revenue due to unauthorized changes to the source code based on customer requests.</t>
  </si>
  <si>
    <t>Documentation of requirements,evidence the review, approval and baseline of requirements document.</t>
  </si>
  <si>
    <t>Review/internal defects capturing and Analysis</t>
  </si>
  <si>
    <t>Non-Functional requirements</t>
  </si>
  <si>
    <t>1. This may lead to key information being overlooked or deferred for critical business processes.
2. Risk of non-fulfilment of contractual requirements.</t>
  </si>
  <si>
    <t>1. Poor response time.
2. Huge rework, increasing the costs.
3. Decrease in customer satisfaction &amp; customer delight due to poor performance of the system.
4. Decrease in no. of repetitive orders from the customer
5. Decrease in customer references.
6. Loss of business and market share.</t>
  </si>
  <si>
    <t>Capture and address non-functional requirements of the project.</t>
  </si>
  <si>
    <t>Are the Integration Test Cases baselined?</t>
  </si>
  <si>
    <t>Are the Integration Test Cases prepared?</t>
  </si>
  <si>
    <t>Are the System Test Cases baselined?</t>
  </si>
  <si>
    <t>Is the Build Note issued to testing team along with build for integration testing?</t>
  </si>
  <si>
    <t>Is the integration testing done as based on the Test Plan and Integration Test Cases?</t>
  </si>
  <si>
    <t>7.3.5</t>
  </si>
  <si>
    <t>7.3.6</t>
  </si>
  <si>
    <t>7.5.5</t>
  </si>
  <si>
    <t>7.2.1</t>
  </si>
  <si>
    <t>Project Initiation Number generated?</t>
  </si>
  <si>
    <t>Is the SoW/Contract available with the Project Manager?</t>
  </si>
  <si>
    <t>Is the SoW/Contract latest?</t>
  </si>
  <si>
    <t>ISO 9001:2008 Clause</t>
  </si>
  <si>
    <t>CMMI v1.2 Goal</t>
  </si>
  <si>
    <t>ISO 27001:2005 Clause</t>
  </si>
  <si>
    <t>Statement of Work</t>
  </si>
  <si>
    <t>Project Initiation Note</t>
  </si>
  <si>
    <t>Project Kick Off</t>
  </si>
  <si>
    <t>Cycle 1</t>
  </si>
  <si>
    <t>Cycle 2</t>
  </si>
  <si>
    <t>Business Unit</t>
  </si>
  <si>
    <t>Account</t>
  </si>
  <si>
    <t>Audit Cycle</t>
  </si>
  <si>
    <t>Auditor</t>
  </si>
  <si>
    <t>Audit Date</t>
  </si>
  <si>
    <t xml:space="preserve">Follow up </t>
  </si>
  <si>
    <t>Cycle 3</t>
  </si>
  <si>
    <t>Cycle 4</t>
  </si>
  <si>
    <t>Cycle 5</t>
  </si>
  <si>
    <t>Did you consider lessons learnt and best pratices of similar projects?</t>
  </si>
  <si>
    <t>COQ</t>
  </si>
  <si>
    <t>Preventive</t>
  </si>
  <si>
    <t>Is the Duration of the project estimated based on organizational estimation guidelines?</t>
  </si>
  <si>
    <t>Assumptions &amp; Constraints</t>
  </si>
  <si>
    <t>Estimation</t>
  </si>
  <si>
    <t>Is the estimation document baselined?</t>
  </si>
  <si>
    <t>Process Plan/Tailoring</t>
  </si>
  <si>
    <t>Are the tailoring requirements approved by SEPG?</t>
  </si>
  <si>
    <t xml:space="preserve">Are the development, testing, deployment environments and tools identified? </t>
  </si>
  <si>
    <t>IT/Human Resource Plan</t>
  </si>
  <si>
    <t>Schedule</t>
  </si>
  <si>
    <t>Is the Schedule contains other tasks like project management, audits, reviews, trainings, meetings, travels etc, other than project tasks?</t>
  </si>
  <si>
    <t>Is the schedule baselined?</t>
  </si>
  <si>
    <t>Are the estimates are reviewed and approved?</t>
  </si>
  <si>
    <t>Configuration Management Plan</t>
  </si>
  <si>
    <t>Are the non-configurable items identified along with location and retention period?</t>
  </si>
  <si>
    <t>Are the naming conventions of non-configurable items identified based on the Configuration Management Guidelines?</t>
  </si>
  <si>
    <t>Is the back plan issued to ICT?</t>
  </si>
  <si>
    <t>Are the non-configurable items being named as per naming conventions?</t>
  </si>
  <si>
    <t>Are the configurable items being named as per naming conventions?</t>
  </si>
  <si>
    <t>Is the backup plan prepared along with restoration plan and restoration procedures?</t>
  </si>
  <si>
    <t>Access Permissions</t>
  </si>
  <si>
    <t>Are the access permissions identified for source code and project documentation?</t>
  </si>
  <si>
    <t>Are the access permissions being implemented for source code and project documentation?</t>
  </si>
  <si>
    <t>Change Management Plan</t>
  </si>
  <si>
    <t>Metrics Plan</t>
  </si>
  <si>
    <t>Risk Management Plan</t>
  </si>
  <si>
    <t>Stakeholder Commitment Plan</t>
  </si>
  <si>
    <t>Status Review Plan</t>
  </si>
  <si>
    <t>Work Product Review &amp; Audit Plan</t>
  </si>
  <si>
    <t>DAR Plan</t>
  </si>
  <si>
    <t>Escalation Mechanism</t>
  </si>
  <si>
    <t>Reusable Components</t>
  </si>
  <si>
    <t>Project Closure Plan</t>
  </si>
  <si>
    <t>Project Management Baseline</t>
  </si>
  <si>
    <t>Are the quality reviews and audits planned?</t>
  </si>
  <si>
    <t>Configuration Audits</t>
  </si>
  <si>
    <t>Change Management</t>
  </si>
  <si>
    <t>Metrics</t>
  </si>
  <si>
    <t>Backups</t>
  </si>
  <si>
    <t>Status Reviews</t>
  </si>
  <si>
    <t>Risk Management</t>
  </si>
  <si>
    <t>Issue Management</t>
  </si>
  <si>
    <t>Requirements Development</t>
  </si>
  <si>
    <t>Are the custmer business requirements available?</t>
  </si>
  <si>
    <t>Requirements Analysis and Validation</t>
  </si>
  <si>
    <t>Requirements Traceability</t>
  </si>
  <si>
    <t>Is the Traceability Matrix established?</t>
  </si>
  <si>
    <t>DAR</t>
  </si>
  <si>
    <t>Product Integration Plan</t>
  </si>
  <si>
    <t>Is the Product Integration Plan reviewed by SQA team?</t>
  </si>
  <si>
    <t>Is the Product Integration Plan reviewed and approved internally?</t>
  </si>
  <si>
    <t>Is the Test Plan reviewed by SQA team?</t>
  </si>
  <si>
    <t>Is the Test Plan reviewed and approved internally?</t>
  </si>
  <si>
    <t>Are the Unit Test Case reviewed and approved internally?</t>
  </si>
  <si>
    <t>Are the Unit Test Case reviewed and approved by customer?</t>
  </si>
  <si>
    <t>Are the Unit Test Cases reviewed by SQA?</t>
  </si>
  <si>
    <t>Unit Test Cases</t>
  </si>
  <si>
    <t>Integration Test Cases</t>
  </si>
  <si>
    <t>Are the Integration Test Cases reviewed by SQA?</t>
  </si>
  <si>
    <t>Are the Integration Test Case reviewed and approved internally?</t>
  </si>
  <si>
    <t>Are the Integration Test Case reviewed and approved by customer?</t>
  </si>
  <si>
    <t>System Test Cases</t>
  </si>
  <si>
    <t>Are the System Test Cases prepared?</t>
  </si>
  <si>
    <t>Are the System Test Cases reviewed by SQA?</t>
  </si>
  <si>
    <t>Are the System Test Case reviewed and approved internally?</t>
  </si>
  <si>
    <t>Are the System Test Case reviewed and approved by customer?</t>
  </si>
  <si>
    <t>Regression Test Cases</t>
  </si>
  <si>
    <t>Are the Regression Test Cases reviewed by SQA?</t>
  </si>
  <si>
    <t>Are the Regression Test Case reviewed and approved internally?</t>
  </si>
  <si>
    <t>Are the Regression Test Case reviewed and approved by customer?</t>
  </si>
  <si>
    <t>Is the Traceability Matrix updated based on the details of unit test cases?</t>
  </si>
  <si>
    <t>Is the Traceability Matrix updated based on the details of integration test cases?</t>
  </si>
  <si>
    <t>Is the Traceability Matrix updated based on the details of system test cases?</t>
  </si>
  <si>
    <t>Is the Traceability Matrix updated based on the details of regression test cases?</t>
  </si>
  <si>
    <t>Unit Testing</t>
  </si>
  <si>
    <t>Are the User Manuals/Troubleshooting documents/Installation Guides etc prepared for the project?</t>
  </si>
  <si>
    <t>Are the User Manuals/Troubleshooting documents/Installation Guides etc reviewed by SQA?</t>
  </si>
  <si>
    <t>Are the User Manuals/Troubleshooting documents/Installation Guides etc reviewed and approved internally?</t>
  </si>
  <si>
    <t>Are the User Manuals/Troubleshooting documents/Installation Guides etc baselined?</t>
  </si>
  <si>
    <t>Is the Traceability Matrix updated based on user documentation?</t>
  </si>
  <si>
    <t>Build for Integration Testing</t>
  </si>
  <si>
    <t>Is the build for integration testing named based on naming conventions of Project Management Plan?</t>
  </si>
  <si>
    <t>Integration Testing</t>
  </si>
  <si>
    <t>Are the test defects being fixed and closed by the development and testing teams?</t>
  </si>
  <si>
    <t>Build for System Testing</t>
  </si>
  <si>
    <t>Build for Regression Testing</t>
  </si>
  <si>
    <t>Is the build for regression testing named based on naming conventions of Project Management Plan</t>
  </si>
  <si>
    <t>Is the Build Note issued to testing team along with build for regression testing?</t>
  </si>
  <si>
    <t>System Testing</t>
  </si>
  <si>
    <t>Regression Testing</t>
  </si>
  <si>
    <t>Is the regression testing done as based on the Test Plan and Regression Test Cases?</t>
  </si>
  <si>
    <t>Build for Load/Performance Testing</t>
  </si>
  <si>
    <t>Is the build for load/performance testing named based on naming conventions of Project Management Plan</t>
  </si>
  <si>
    <t>Is the Build Note issued to testing team along with build for load/performance testing?</t>
  </si>
  <si>
    <t>Load/Performance Testing</t>
  </si>
  <si>
    <t>Load/Performance Test Scenarios</t>
  </si>
  <si>
    <t>Are the load/performance test scenarios prepared?</t>
  </si>
  <si>
    <t>Are the load/performance test scenarios reviewed by SQA?</t>
  </si>
  <si>
    <t>Are the load/performance test scenarios reviewed and approved internally?</t>
  </si>
  <si>
    <t>Are the load/performance test scenarios reviewed and approved by customer?</t>
  </si>
  <si>
    <t>Are the load/performance test scenarios generated and baselined?</t>
  </si>
  <si>
    <t>Is the Traceability Matrix updated based on the details of load/performance test scenarios?</t>
  </si>
  <si>
    <t>Evidences</t>
  </si>
  <si>
    <t>SoW/Contract/MSA etc.</t>
  </si>
  <si>
    <t>Latest SoW/Contract/MSA etc.</t>
  </si>
  <si>
    <t>Lessons learnt, Best Practices, etc</t>
  </si>
  <si>
    <t>Action Item Tracker</t>
  </si>
  <si>
    <t>PMP document</t>
  </si>
  <si>
    <t>Estimation document</t>
  </si>
  <si>
    <t>Version history of Estimation document, Project Baseline Register.</t>
  </si>
  <si>
    <t>Tailoring Record</t>
  </si>
  <si>
    <t>SEPG approval email, SEPG approval in Training Record</t>
  </si>
  <si>
    <t>Skill Assessment/Skill Master component</t>
  </si>
  <si>
    <t>Skill Assessment, Schedule/MPP/Schedule Effort Tracker</t>
  </si>
  <si>
    <t>Schedule/MPP/Schedule Effort Tracker</t>
  </si>
  <si>
    <t>Folder Structure Access Control Levels</t>
  </si>
  <si>
    <t>Version history of Backup Plan, Project Baseline Register</t>
  </si>
  <si>
    <t>Version history of Schedule Effort Tracker, Project Baseline Register</t>
  </si>
  <si>
    <t>Metric Analysis Sheet</t>
  </si>
  <si>
    <t>PMP document, updated Metric Analysis Sheet</t>
  </si>
  <si>
    <t>Version history of PMP document, Review Log, Review Defect Tracker.</t>
  </si>
  <si>
    <t>Is the Project Management Plan reviewed and approved at Project level?</t>
  </si>
  <si>
    <t>Version history of PMP document, Review Log, Review Defect Tracker, approval email/MoM.</t>
  </si>
  <si>
    <t>Version history of PMP document, Project Baseline Register</t>
  </si>
  <si>
    <t>Project folder, source code components</t>
  </si>
  <si>
    <t>Project folder</t>
  </si>
  <si>
    <t>Updated configuration audit checklist.</t>
  </si>
  <si>
    <t>Implementation observations</t>
  </si>
  <si>
    <t>eMail</t>
  </si>
  <si>
    <t>Restoration findings</t>
  </si>
  <si>
    <t>CR Log</t>
  </si>
  <si>
    <t>Change Impact Analysis</t>
  </si>
  <si>
    <t>Are CRs reviewed and approved internally?</t>
  </si>
  <si>
    <t>Are CRs reviewed and approved by customer?</t>
  </si>
  <si>
    <t>eMail/MoM</t>
  </si>
  <si>
    <t>Tracreability Matrix</t>
  </si>
  <si>
    <t>CSAT forms</t>
  </si>
  <si>
    <t>Risk Register</t>
  </si>
  <si>
    <t>Issue Tracker</t>
  </si>
  <si>
    <t>Business requirements, MoMs, etc</t>
  </si>
  <si>
    <t>Requirements Clarifiation Log</t>
  </si>
  <si>
    <t>Criteria for analysis/Requirements Analysis Checklist</t>
  </si>
  <si>
    <t>Prototype/PoC</t>
  </si>
  <si>
    <t>Traceability Matrix</t>
  </si>
  <si>
    <t>DAR Report</t>
  </si>
  <si>
    <t>Version history of Product Integration Plan, Review Log, Review Defect Tracker, eMail</t>
  </si>
  <si>
    <t>Version history of Product Integration Plan, Project Baseline Register</t>
  </si>
  <si>
    <t>Test Plan</t>
  </si>
  <si>
    <t>Version history of Test Plan, Review Log, Review Defect Tracker, eMail</t>
  </si>
  <si>
    <t>Version history of Test Plan, Project Baseline Register</t>
  </si>
  <si>
    <t>Version history of Integration Test Cases, Project Baseline Register</t>
  </si>
  <si>
    <t>Version history of System Test Cases, Project Baseline Register</t>
  </si>
  <si>
    <t>Version history of Regression Test Cases, Project Baseline Register</t>
  </si>
  <si>
    <t>Load/performance test scenarios</t>
  </si>
  <si>
    <t>Version history of load/performance test scenarios, Project Baseline Register</t>
  </si>
  <si>
    <t>Code Review Criteria/Code Review Checklist, Review Log, Review Defect Tracker</t>
  </si>
  <si>
    <t>Test Defect Tracker</t>
  </si>
  <si>
    <t>User documentation</t>
  </si>
  <si>
    <t>Version history of user documentation, Review Log, Review Defect Tracker, eMail</t>
  </si>
  <si>
    <t>Version history of user documentation, Project Baseline Register</t>
  </si>
  <si>
    <t>Build Note</t>
  </si>
  <si>
    <t>Is the build verified in the test environment prior to integration testing?</t>
  </si>
  <si>
    <t>Build Note, eMail</t>
  </si>
  <si>
    <t>Is the build verified in the test environment prior to system testing?</t>
  </si>
  <si>
    <t>Is the build verified in the test environment prior to regression testing?</t>
  </si>
  <si>
    <t>Is the build verified in the test environment prior to load/performance testing?</t>
  </si>
  <si>
    <t>Load/performance test results</t>
  </si>
  <si>
    <t>Test Defect Tracker, Updated Integration Test Cases</t>
  </si>
  <si>
    <t>Test Defect Tracker, Updated System Test Cases</t>
  </si>
  <si>
    <t>Test Defect Tracker, Updated Regression Test Cases</t>
  </si>
  <si>
    <t>Is the load/performance testing done as based on the Test Plan and scenarions/scripts?</t>
  </si>
  <si>
    <t>Appraisal</t>
  </si>
  <si>
    <t>Actiion Item Tracking</t>
  </si>
  <si>
    <t>Action items are being tracked for closure</t>
  </si>
  <si>
    <t>Review Defect Tracking</t>
  </si>
  <si>
    <t>Review defects are being tracked for closure</t>
  </si>
  <si>
    <t>Test Defect Tracking</t>
  </si>
  <si>
    <t>Test defects are being tracked for closure</t>
  </si>
  <si>
    <t>Version history of Estimation document,Review Log, Review Defect Tracker, eMail/MoM</t>
  </si>
  <si>
    <t>Is the Backup Plan baselined?</t>
  </si>
  <si>
    <t>7.5.4</t>
  </si>
  <si>
    <t>Internal Audit Findings Tracking</t>
  </si>
  <si>
    <t>Internal audit findings are being tracked for closure</t>
  </si>
  <si>
    <t>Internal Audit Report</t>
  </si>
  <si>
    <t>7.3.1</t>
  </si>
  <si>
    <t>Is the Test Plan reviewed and approved by customer?</t>
  </si>
  <si>
    <t>Is the confirmation received from ICT on the backing up of project data based on backup plan?</t>
  </si>
  <si>
    <t>Project Management Plan</t>
  </si>
  <si>
    <t>Phase</t>
  </si>
  <si>
    <t>Process Areas</t>
  </si>
  <si>
    <t>User Documentation</t>
  </si>
  <si>
    <t>Acceptance</t>
  </si>
  <si>
    <t>Trainings</t>
  </si>
  <si>
    <t>Project process trainings conducted as per plan?</t>
  </si>
  <si>
    <t>Training request, Attendance and Feedbacks</t>
  </si>
  <si>
    <t>Internal Failure</t>
  </si>
  <si>
    <t>Is the rework effort being captured?</t>
  </si>
  <si>
    <t>Schedule effort tracker/MPP/Timesheet</t>
  </si>
  <si>
    <t>Area/Task/Activity</t>
  </si>
  <si>
    <t>Criticality</t>
  </si>
  <si>
    <t>Kick-off PPT, MoM, Action Item Tracker, eMail</t>
  </si>
  <si>
    <t>Internal Status PPT, MoM, Action Item Tracker, eMail</t>
  </si>
  <si>
    <t>Customer Status PPT, MoM, Action Item Tracker, eMail</t>
  </si>
  <si>
    <t>Milestone Status PPT, MoM, Action Item Tracker, eMail</t>
  </si>
  <si>
    <t>Sr Mgmt Status PPT, MoM, Action Item Tracker, eMail</t>
  </si>
  <si>
    <t>Metrics Analysis, eMail</t>
  </si>
  <si>
    <t>NA</t>
  </si>
  <si>
    <t>Cycle 1-PCI</t>
  </si>
  <si>
    <t>Cycle 4-PCI</t>
  </si>
  <si>
    <t>Cycle 5-PCI</t>
  </si>
  <si>
    <t>Cycle 1 PCI</t>
  </si>
  <si>
    <t>Goal PCI</t>
  </si>
  <si>
    <t>Cycle 2 PCI</t>
  </si>
  <si>
    <t>Cycle 3 PCI</t>
  </si>
  <si>
    <t>Cycle 4 PCI</t>
  </si>
  <si>
    <t>Cycle 5 PCI</t>
  </si>
  <si>
    <t>Cycle 1 Applciable Weightage</t>
  </si>
  <si>
    <t>Cycle 2 Applciable Weightage</t>
  </si>
  <si>
    <t>Cycle 3 Applciable Weightage</t>
  </si>
  <si>
    <t>Cycle 4 Applciable Weightage</t>
  </si>
  <si>
    <t>Cycle 5 Applciable Weightage</t>
  </si>
  <si>
    <t>Cycle 1 NCs</t>
  </si>
  <si>
    <t>Cycle 2 NCs</t>
  </si>
  <si>
    <t>Cycle 3 NCs</t>
  </si>
  <si>
    <t>Cycle 4 NCs</t>
  </si>
  <si>
    <t>Cycle 5 NCs</t>
  </si>
  <si>
    <t>Phase wise PCI Status</t>
  </si>
  <si>
    <t>Process Area</t>
  </si>
  <si>
    <t>SEVERITY WISE COMPLIANCE STATUS</t>
  </si>
  <si>
    <t>PROCESS AREA WISE COMPLIANCE STATUS</t>
  </si>
  <si>
    <t>Revenue Leakage Reduction Area</t>
  </si>
  <si>
    <t>Internal Failure compliance</t>
  </si>
  <si>
    <t>External Failure compliance</t>
  </si>
  <si>
    <t>Revenue Leakage Reduction Compliance</t>
  </si>
  <si>
    <t>Revenue Leakage Reduction Compliance Status</t>
  </si>
  <si>
    <t>PDCA</t>
  </si>
  <si>
    <t>Plan</t>
  </si>
  <si>
    <t>Do</t>
  </si>
  <si>
    <t>Check</t>
  </si>
  <si>
    <t>Act</t>
  </si>
  <si>
    <t>Do/Implement</t>
  </si>
  <si>
    <t>Check/Verify</t>
  </si>
  <si>
    <t>Act/Improve</t>
  </si>
  <si>
    <t>Cycle 1 Applicable Weightage</t>
  </si>
  <si>
    <t>Cycle 2 Applicable Weightage</t>
  </si>
  <si>
    <t>Cycle 3 Applicable Weightage</t>
  </si>
  <si>
    <t>Cycle 4 Applicable Weightage</t>
  </si>
  <si>
    <t>Cycle 5 Applicable Weightage</t>
  </si>
  <si>
    <t>PDCA wise PCI Status</t>
  </si>
  <si>
    <t>Project closure activities</t>
  </si>
  <si>
    <t>Project Closure activities</t>
  </si>
  <si>
    <t>Project Kick-off</t>
  </si>
  <si>
    <t>Work Product Review and Audit Plan</t>
  </si>
  <si>
    <t>Action Item Tracking</t>
  </si>
  <si>
    <t>Project Closure Activities</t>
  </si>
  <si>
    <t>Requirements Analysis &amp; Validation</t>
  </si>
  <si>
    <t>8.2.3</t>
  </si>
  <si>
    <t>8.2.1</t>
  </si>
  <si>
    <t>6.2.2</t>
  </si>
  <si>
    <t>Criticality wise Status</t>
  </si>
  <si>
    <t>Non Compliance Count Cycle 1</t>
  </si>
  <si>
    <t>Non Compliance Count Cycle 2</t>
  </si>
  <si>
    <t>Non Compliance Count Cycle 5</t>
  </si>
  <si>
    <t>Non Compliance Count Cycle 4</t>
  </si>
  <si>
    <t>Non Compliance Count Cycle 3</t>
  </si>
  <si>
    <t>Preparation Effort</t>
  </si>
  <si>
    <t>Vital Few Critical Many</t>
  </si>
  <si>
    <t>Preventive compliance</t>
  </si>
  <si>
    <t>Detective compliance</t>
  </si>
  <si>
    <t>Estimations</t>
  </si>
  <si>
    <t>1. Risk of improper planning &amp; scheduling due to lack of estimation and/or re-estimation of project effort and schedule.
2. Risk of increased unplanned activities in the project.</t>
  </si>
  <si>
    <t>1. Deviation in project schedules.
2. Increase in project cost of production.
3. Increased project overheads.
4. Project profitability may reduce.
5. Decrease in customer satisfaction &amp; customer delight.</t>
  </si>
  <si>
    <t>Conduct estimation/re estimation and prepare/update schedule.</t>
  </si>
  <si>
    <t>Tailoring</t>
  </si>
  <si>
    <t>Non-compliance to project processes based on existing QMS processes.</t>
  </si>
  <si>
    <t xml:space="preserve">1. Increase in process compliance issues.
2. Low project team and project process productivity.
3. Increased project quality costs.
</t>
  </si>
  <si>
    <t>Based on project requirements, identify project process tailoring needs and get the approval from SEPG. Implement the project based on project process.</t>
  </si>
  <si>
    <t>Team effort capturing</t>
  </si>
  <si>
    <t>1.Lack of effective control over the project in an objective manner.
2.Lack of employee productivity/efficiency details.</t>
  </si>
  <si>
    <t>Periodically capture the efforts of project team members</t>
  </si>
  <si>
    <t>Action item tracker</t>
  </si>
  <si>
    <t>Risk of loosing the critical discussions and the action items agreed for the project.</t>
  </si>
  <si>
    <t>Impact the timely action on critical project deliverables.
Loss of control over project team and stakeholder involvement.</t>
  </si>
  <si>
    <t>Track the action items for closure based on target date.</t>
  </si>
  <si>
    <t>Business Risk Score</t>
  </si>
  <si>
    <t>Version history of SRS document/Test Requirements Specification_Analysis document/Requirements Management System,/Product Backlog for Scrum, Product Backlog for Sprint, Review Log, Review Defect Tracker, eMail</t>
  </si>
  <si>
    <t>Version history of SRS document/Test Requirements Specification_Analysis document/Requirements Management System/Product Backlog for Scrum, Product Backlog for Sprint, Review Log, Review Defect Tracker, eMail</t>
  </si>
  <si>
    <t>Version history of SRS document/Requirements Management System /Customer Approved Product Backlog for Scrum, Product Backlog for Sprint, Project Baseline Register</t>
  </si>
  <si>
    <t>Version history of Test Requirements Specification_Analysis document/Requirements Management System /Customer Approved Product Backlog for Scrum, Product Backlog for Sprint, User Stories review report, Scenarios review report, Review Log, Review Defect Tracker, eMail</t>
  </si>
  <si>
    <t>Unit Test Cases/Unit Test Scripts</t>
  </si>
  <si>
    <t>Version history of Unit Test Cases/Unit Test Scripts, Project Baseline Register</t>
  </si>
  <si>
    <t>Version history of Unit Test Cases/Unit Test Scripts, Test Script Review Reports, Review Log, Review Defect Tracker, eMail</t>
  </si>
  <si>
    <t>Version history of Unit Test Cases/Unit Test Scripts, , Test Script Review Reports, Review Log, Review Defect Tracker, eMail</t>
  </si>
  <si>
    <t>Integration Test Cases/Test Scripts</t>
  </si>
  <si>
    <t>Version history of Integration Test Cases, Test Script Review Reports, Review Log, Review Defect Tracker, eMail</t>
  </si>
  <si>
    <t>System Test Cases/Test Scripts</t>
  </si>
  <si>
    <t>Version history of System Test Cases, Test Script Review Reports, Review Log, Review Defect Tracker, eMail</t>
  </si>
  <si>
    <t>Regression Test Cases/Test Scripts</t>
  </si>
  <si>
    <t>Version history of Regression Test Cases, Test Script Review Reports, Review Log, Review Defect Tracker, eMail</t>
  </si>
  <si>
    <t>Version history of load/performance test scenarios, Test Script Review Reports, Review Log, Review Defect Tracker, eMail</t>
  </si>
  <si>
    <t>Build Readiness Review checklist/Smoke Test Report, Release Summary Report</t>
  </si>
  <si>
    <t>Is the Test Results Review Report issued to customer upon completion of testing?</t>
  </si>
  <si>
    <t>Delivery Note, Test Results Review Report, eMail</t>
  </si>
  <si>
    <t>Is the customer validated the delivery and accepted?</t>
  </si>
  <si>
    <t>Closure Status of User Stories by the Customer in Test Defect Tracker, Signed-off Acceptance Note, Approval email.</t>
  </si>
  <si>
    <t>Delivery</t>
  </si>
  <si>
    <t>Is the project execution methodology based on the selected lifecycle identified?</t>
  </si>
  <si>
    <t>Risk Tracker</t>
  </si>
  <si>
    <t>Closure Comments</t>
  </si>
  <si>
    <t>Automation Framework</t>
  </si>
  <si>
    <t>Are the test scripts prepared for automation framework?</t>
  </si>
  <si>
    <t>Are the coding standards identified for test script automation and establishment of automation framework?</t>
  </si>
  <si>
    <t>Are the test scripts and automated framework validated?</t>
  </si>
  <si>
    <t>Coding Standards</t>
  </si>
  <si>
    <t>Are the test requiremets captured and documented in the standard requirement document?</t>
  </si>
  <si>
    <t>Are the automation framework requiremets captured and documented in the standard requirement document?</t>
  </si>
  <si>
    <t>Are the test and automation framework requirements being analyzed?</t>
  </si>
  <si>
    <t>Are the test and automation framework requirements reviewed by SQA team?</t>
  </si>
  <si>
    <t>Are the test and automation framework requirements reviewed and approved internally?</t>
  </si>
  <si>
    <t>Are the test and automation framework requirements reviewed and approved by customer?</t>
  </si>
  <si>
    <t>Are the test and automation framework requirements baselined?</t>
  </si>
  <si>
    <t>Prototype/PoC being developed to validate the automation framework requirments?</t>
  </si>
  <si>
    <t>Test Requirements Specification document/Test Requirements Specification_Analysis document/Requirements Management System/User Stories, Capabilities, Scenarios in Product Backlog for Scrum, Product Backlog for Sprint</t>
  </si>
  <si>
    <t>Test Requirements</t>
  </si>
  <si>
    <t>Test Design</t>
  </si>
  <si>
    <t>Test Automation</t>
  </si>
  <si>
    <t>ValueMomentum</t>
  </si>
  <si>
    <t>From Time to Time</t>
  </si>
  <si>
    <t>Do not change or tamper the cells with formulae</t>
  </si>
  <si>
    <t>While conducting the audit for a particular cycle, if the corresponding audit item is complying, change the status to Yes from NA.</t>
  </si>
  <si>
    <t>If the corresponding audit item is not complying, change the status to No from NA; update the Description of Finding mentioning Cycle # and Date.</t>
  </si>
  <si>
    <t>During next cycle of audit, it the item which was previously compying, and found not complying during next cycle, then change the respective status to No from NA (previous cycle's status remains Yes).</t>
  </si>
  <si>
    <t>Now under Description of Finding, mention the deficiency along with Cycle # and Date.</t>
  </si>
  <si>
    <t>Update the Root Cause, Corrective Action mentioning the Cycle # and Date</t>
  </si>
  <si>
    <t>Once the audit finding is closed, update the Actual Closure Date along with Closure Comments mentioning the Cycle # and Date</t>
  </si>
  <si>
    <t>S. No.</t>
  </si>
  <si>
    <t>Guidelines</t>
  </si>
  <si>
    <t>Use standard date format DD-Mon-YYYY where ever applicable.</t>
  </si>
  <si>
    <t>Description of Audit Finding should be precise and self-explanatory, pointing towards the implementation deficiency. 
Provide the details of the sample referred as basis, where the deficiency has been identified.</t>
  </si>
  <si>
    <t>If the deficiency is identified against the requirement, the status should be changed to 'No'. Else this should be 'Yes'.</t>
  </si>
  <si>
    <t>If the deficiency is observed as closed during following audit, do not change the status to 'Yes'. Instead, update the Actual Closure Date and Closure Comments.</t>
  </si>
  <si>
    <t>Ensure that the root cause is pointing towards the specific reason for not meeting the requirement.</t>
  </si>
  <si>
    <t>Ensure that the corrective action is addressing how the deficiency being addressed and how it will be ensured avoiding recurrence of the same.</t>
  </si>
  <si>
    <t>Do not change or tamper the format.</t>
  </si>
  <si>
    <t>Once the audit is done, ensure updating Business Unit, Account, Project Name, Project Type, Project Manager, Milestone, Lifecycle Phase, Audit Cycle, Auditor, Audit Date, Preparation Effort, Audit Effort, Follow up Audit Date, From Time, To Time, Description of Finding, Status (Yes, No,NA), Follow up audit date, if any.</t>
  </si>
  <si>
    <t>Once the follow up audit is done, ensure updating Actual Closure Date and Closure Comments.</t>
  </si>
  <si>
    <t>Before publishing the audit report, run the spell checking tool and address the issues, if any. Also save the document so that PC Dashboard sheet open if any one opens the report.</t>
  </si>
  <si>
    <t>QA PROJECT- INTERNAL AUDIT REPORT-GUIDELINES</t>
  </si>
  <si>
    <r>
      <t xml:space="preserve">QA/TESTING PROJECT PROCESS COMPLIANCE DASHBOARD
</t>
    </r>
    <r>
      <rPr>
        <sz val="8"/>
        <rFont val="Arial"/>
        <family val="2"/>
      </rPr>
      <t>Version 6.0</t>
    </r>
  </si>
  <si>
    <t>Are obsolete documents/records moved into Obsolete folder?</t>
  </si>
  <si>
    <t>CS US</t>
  </si>
  <si>
    <t>Testing/QA</t>
  </si>
  <si>
    <t>15 Mins</t>
  </si>
  <si>
    <t>90 Mins</t>
  </si>
  <si>
    <t>2 PM to 3:30 PM</t>
  </si>
  <si>
    <t>Yes</t>
  </si>
  <si>
    <t>No</t>
  </si>
  <si>
    <t>Devi Prasad</t>
  </si>
  <si>
    <t>Baseline Register is not updated for all the Configurable Items</t>
  </si>
  <si>
    <t>PMP Review comments identified by SQA are not closed</t>
  </si>
  <si>
    <t>Latest changes to PMP is not reviewed and approved</t>
  </si>
  <si>
    <t>Cycle 2-PCI</t>
  </si>
  <si>
    <t>Cycle 3-PCI</t>
  </si>
  <si>
    <t>PMP is not baselined</t>
  </si>
  <si>
    <t xml:space="preserve">PM &amp; Support Activities schedule to be consolidated </t>
  </si>
  <si>
    <t>GEICO</t>
  </si>
  <si>
    <t>MSI_NB</t>
  </si>
  <si>
    <t>Archana Agarwal</t>
  </si>
  <si>
    <t>Baseline Register not updated for Estimation</t>
  </si>
  <si>
    <t>Tailoring Requirements to be identified</t>
  </si>
  <si>
    <t>Agile based roles to be added</t>
  </si>
  <si>
    <t>Resource wise skill assesment is not evidenced</t>
  </si>
  <si>
    <t>Training Plan not evidenced</t>
  </si>
  <si>
    <t>Configuration Audits not done</t>
  </si>
  <si>
    <t>Metrics Plan is incomplete</t>
  </si>
  <si>
    <t>Status Reporting &amp; Reviews Plan is not updated</t>
  </si>
  <si>
    <t>Responisbility for monitoirng the risks is not identfied</t>
  </si>
  <si>
    <t>Configuration Audits are not conducted</t>
  </si>
  <si>
    <t>Backup records are not maintained</t>
  </si>
  <si>
    <t>Metrics for the latest release is not captured</t>
  </si>
  <si>
    <t>CSAT not collected for the current period</t>
  </si>
  <si>
    <t>Risks to be collected and monitored on regular basis</t>
  </si>
  <si>
    <t>Non Technical Issues are not Tracked using Issue Tracker</t>
  </si>
  <si>
    <t>Review Defects are not tracked to closure</t>
  </si>
  <si>
    <t>Latest Status reports are not uploaded in Project Portal</t>
  </si>
  <si>
    <t>Latest Release reports are not uploaded in Project Portal</t>
  </si>
  <si>
    <t>Test Plan review records to be maintained</t>
  </si>
  <si>
    <t>Baseline register to be updated with latest baseline details</t>
  </si>
  <si>
    <t>User Stories - JIRA</t>
  </si>
  <si>
    <t>JIRA - Comment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</si>
</sst>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15" x14ac:knownFonts="1">
    <font>
      <sz val="10"/>
      <name val="Arial"/>
    </font>
    <font>
      <sz val="10"/>
      <name val="Arial"/>
      <family val="2"/>
    </font>
    <font>
      <sz val="8"/>
      <name val="Arial"/>
      <family val="2"/>
    </font>
    <font>
      <sz val="10"/>
      <name val="Arial"/>
      <family val="2"/>
    </font>
    <font>
      <b/>
      <sz val="10"/>
      <name val="Arial"/>
      <family val="2"/>
    </font>
    <font>
      <u/>
      <sz val="10"/>
      <color indexed="12"/>
      <name val="Arial"/>
      <family val="2"/>
    </font>
    <font>
      <b/>
      <sz val="10"/>
      <name val="Arial Bold"/>
    </font>
    <font>
      <b/>
      <sz val="14"/>
      <name val="Arial"/>
      <family val="2"/>
    </font>
    <font>
      <sz val="8"/>
      <color indexed="81"/>
      <name val="Tahoma"/>
      <family val="2"/>
    </font>
    <font>
      <sz val="10"/>
      <name val="Arial"/>
      <family val="2"/>
    </font>
    <font>
      <b/>
      <u/>
      <sz val="10"/>
      <color indexed="12"/>
      <name val="Arial"/>
      <family val="2"/>
    </font>
    <font>
      <b/>
      <u/>
      <sz val="10"/>
      <name val="Arial"/>
      <family val="2"/>
    </font>
    <font>
      <b/>
      <sz val="10"/>
      <color theme="0"/>
      <name val="Arial"/>
      <family val="2"/>
    </font>
    <font>
      <sz val="10"/>
      <color rgb="FFFF0000"/>
      <name val="Arial"/>
      <family val="2"/>
    </font>
    <font>
      <b/>
      <sz val="10"/>
      <color rgb="FFFF0000"/>
      <name val="Arial"/>
      <family val="2"/>
    </font>
  </fonts>
  <fills count="8">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tint="-0.14996795556505021"/>
        <bgColor indexed="64"/>
      </patternFill>
    </fill>
    <fill>
      <patternFill patternType="solid">
        <fgColor theme="0" tint="-0.24994659260841701"/>
        <bgColor indexed="64"/>
      </patternFill>
    </fill>
    <fill>
      <patternFill patternType="solid">
        <fgColor rgb="FFFFC000"/>
        <bgColor indexed="64"/>
      </patternFill>
    </fill>
    <fill>
      <patternFill patternType="solid">
        <fgColor theme="0"/>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8"/>
      </left>
      <right style="thin">
        <color indexed="8"/>
      </right>
      <top style="thin">
        <color indexed="8"/>
      </top>
      <bottom style="thin">
        <color indexed="8"/>
      </bottom>
      <diagonal/>
    </border>
    <border>
      <left style="thin">
        <color indexed="64"/>
      </left>
      <right/>
      <top style="thin">
        <color indexed="64"/>
      </top>
      <bottom style="thin">
        <color indexed="64"/>
      </bottom>
      <diagonal/>
    </border>
    <border>
      <left/>
      <right/>
      <top/>
      <bottom style="thin">
        <color indexed="8"/>
      </bottom>
      <diagonal/>
    </border>
    <border>
      <left/>
      <right style="thin">
        <color indexed="8"/>
      </right>
      <top style="thin">
        <color indexed="8"/>
      </top>
      <bottom style="thin">
        <color indexed="8"/>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thin">
        <color indexed="64"/>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diagonal/>
    </border>
    <border>
      <left style="thin">
        <color indexed="64"/>
      </left>
      <right style="medium">
        <color indexed="64"/>
      </right>
      <top/>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s>
  <cellStyleXfs count="2">
    <xf numFmtId="0" fontId="0" fillId="0" borderId="0"/>
    <xf numFmtId="0" fontId="5" fillId="0" borderId="0" applyNumberFormat="0" applyFill="0" applyBorder="0" applyAlignment="0" applyProtection="0">
      <alignment vertical="top"/>
      <protection locked="0"/>
    </xf>
  </cellStyleXfs>
  <cellXfs count="332">
    <xf numFmtId="0" fontId="0" fillId="0" borderId="0" xfId="0"/>
    <xf numFmtId="0" fontId="3" fillId="2" borderId="1" xfId="0" applyFont="1" applyFill="1" applyBorder="1" applyAlignment="1" applyProtection="1">
      <alignment vertical="top" wrapText="1"/>
      <protection locked="0"/>
    </xf>
    <xf numFmtId="0" fontId="0" fillId="0" borderId="0" xfId="0" applyAlignment="1">
      <alignment wrapText="1"/>
    </xf>
    <xf numFmtId="0" fontId="0" fillId="0" borderId="1" xfId="0" applyBorder="1" applyAlignment="1">
      <alignment vertical="top" wrapText="1"/>
    </xf>
    <xf numFmtId="0" fontId="3" fillId="0" borderId="1" xfId="0" applyFont="1" applyBorder="1" applyAlignment="1">
      <alignment vertical="top" wrapText="1"/>
    </xf>
    <xf numFmtId="0" fontId="0" fillId="0" borderId="0" xfId="0" applyAlignment="1">
      <alignment vertical="top" wrapText="1"/>
    </xf>
    <xf numFmtId="0" fontId="4" fillId="0" borderId="0" xfId="0" applyFont="1" applyAlignment="1">
      <alignment vertical="top" wrapText="1"/>
    </xf>
    <xf numFmtId="0" fontId="4" fillId="4" borderId="1" xfId="0" applyFont="1" applyFill="1" applyBorder="1" applyAlignment="1">
      <alignment vertical="top" wrapText="1"/>
    </xf>
    <xf numFmtId="0" fontId="4" fillId="0" borderId="0" xfId="0" applyFont="1" applyFill="1" applyBorder="1" applyAlignment="1">
      <alignment vertical="top" wrapText="1"/>
    </xf>
    <xf numFmtId="0" fontId="0" fillId="4" borderId="1" xfId="0" applyFill="1" applyBorder="1" applyAlignment="1">
      <alignment vertical="top" wrapText="1"/>
    </xf>
    <xf numFmtId="0" fontId="0" fillId="0" borderId="1" xfId="0" quotePrefix="1" applyBorder="1" applyAlignment="1">
      <alignment vertical="top" wrapText="1"/>
    </xf>
    <xf numFmtId="0" fontId="0" fillId="0" borderId="1" xfId="0" applyBorder="1" applyAlignment="1">
      <alignment wrapText="1"/>
    </xf>
    <xf numFmtId="0" fontId="1" fillId="2" borderId="1" xfId="0" applyFont="1" applyFill="1" applyBorder="1" applyAlignment="1" applyProtection="1">
      <alignment vertical="top" wrapText="1"/>
      <protection locked="0"/>
    </xf>
    <xf numFmtId="0" fontId="4" fillId="0" borderId="2" xfId="0" applyFont="1" applyBorder="1" applyAlignment="1" applyProtection="1">
      <alignment vertical="top" wrapText="1"/>
      <protection locked="0"/>
    </xf>
    <xf numFmtId="0" fontId="4" fillId="0" borderId="1" xfId="0" applyFont="1" applyFill="1" applyBorder="1" applyAlignment="1" applyProtection="1">
      <alignment vertical="top" wrapText="1"/>
      <protection locked="0" hidden="1"/>
    </xf>
    <xf numFmtId="0" fontId="4" fillId="0" borderId="1" xfId="0" applyFont="1" applyBorder="1" applyAlignment="1" applyProtection="1">
      <alignment vertical="top" wrapText="1"/>
      <protection locked="0"/>
    </xf>
    <xf numFmtId="0" fontId="0" fillId="0" borderId="0" xfId="0" applyAlignment="1" applyProtection="1">
      <alignment vertical="top"/>
      <protection locked="0"/>
    </xf>
    <xf numFmtId="0" fontId="4" fillId="3" borderId="1" xfId="0" applyFont="1" applyFill="1" applyBorder="1" applyAlignment="1" applyProtection="1">
      <alignment vertical="top" wrapText="1"/>
      <protection locked="0"/>
    </xf>
    <xf numFmtId="0" fontId="4" fillId="0" borderId="0" xfId="0" applyFont="1" applyAlignment="1" applyProtection="1">
      <alignment vertical="top"/>
      <protection locked="0"/>
    </xf>
    <xf numFmtId="0" fontId="0" fillId="0" borderId="1" xfId="0" applyBorder="1" applyAlignment="1" applyProtection="1">
      <alignment vertical="top" wrapText="1"/>
      <protection locked="0"/>
    </xf>
    <xf numFmtId="0" fontId="0" fillId="0" borderId="1" xfId="0" applyNumberFormat="1" applyBorder="1" applyAlignment="1" applyProtection="1">
      <alignment vertical="top" wrapText="1"/>
      <protection locked="0"/>
    </xf>
    <xf numFmtId="164" fontId="0" fillId="0" borderId="1" xfId="0" applyNumberFormat="1" applyBorder="1" applyAlignment="1" applyProtection="1">
      <alignment vertical="top" wrapText="1"/>
      <protection locked="0"/>
    </xf>
    <xf numFmtId="0" fontId="3" fillId="0" borderId="1" xfId="0" applyFont="1" applyBorder="1" applyAlignment="1" applyProtection="1">
      <alignment vertical="top" wrapText="1"/>
      <protection locked="0"/>
    </xf>
    <xf numFmtId="0" fontId="1" fillId="0" borderId="1" xfId="0" applyFont="1" applyBorder="1" applyAlignment="1" applyProtection="1">
      <alignment vertical="top" wrapText="1"/>
      <protection locked="0"/>
    </xf>
    <xf numFmtId="0" fontId="0" fillId="0" borderId="0" xfId="0" applyAlignment="1" applyProtection="1">
      <alignment vertical="top" wrapText="1"/>
      <protection locked="0"/>
    </xf>
    <xf numFmtId="0" fontId="0" fillId="0" borderId="1" xfId="0" applyBorder="1" applyAlignment="1" applyProtection="1">
      <alignment vertical="top" wrapText="1"/>
    </xf>
    <xf numFmtId="0" fontId="4" fillId="0" borderId="2" xfId="0" applyFont="1" applyBorder="1" applyAlignment="1" applyProtection="1">
      <alignment horizontal="center" vertical="top" wrapText="1"/>
      <protection locked="0"/>
    </xf>
    <xf numFmtId="0" fontId="4" fillId="3" borderId="1" xfId="0" applyFont="1" applyFill="1" applyBorder="1" applyAlignment="1" applyProtection="1">
      <alignment horizontal="center" vertical="top" wrapText="1"/>
      <protection locked="0"/>
    </xf>
    <xf numFmtId="0" fontId="3" fillId="0" borderId="1" xfId="0" applyNumberFormat="1" applyFont="1" applyBorder="1" applyAlignment="1" applyProtection="1">
      <alignment vertical="top" wrapText="1"/>
      <protection locked="0"/>
    </xf>
    <xf numFmtId="164" fontId="0" fillId="0" borderId="1" xfId="0" applyNumberFormat="1" applyFill="1" applyBorder="1" applyAlignment="1" applyProtection="1">
      <alignment vertical="top" wrapText="1"/>
      <protection locked="0"/>
    </xf>
    <xf numFmtId="0" fontId="0" fillId="0" borderId="1" xfId="0" applyBorder="1" applyAlignment="1" applyProtection="1">
      <alignment horizontal="center" vertical="top" wrapText="1"/>
      <protection locked="0"/>
    </xf>
    <xf numFmtId="15" fontId="0" fillId="0" borderId="1" xfId="0" applyNumberFormat="1" applyBorder="1" applyAlignment="1" applyProtection="1">
      <alignment vertical="top"/>
      <protection locked="0"/>
    </xf>
    <xf numFmtId="0" fontId="3" fillId="0" borderId="1" xfId="0" applyFont="1" applyBorder="1" applyAlignment="1" applyProtection="1">
      <alignment horizontal="left" vertical="top" wrapText="1"/>
      <protection locked="0"/>
    </xf>
    <xf numFmtId="0" fontId="0" fillId="0" borderId="1" xfId="0" applyBorder="1" applyAlignment="1" applyProtection="1">
      <alignment vertical="top"/>
      <protection locked="0"/>
    </xf>
    <xf numFmtId="0" fontId="1" fillId="0" borderId="1" xfId="0" applyNumberFormat="1" applyFont="1" applyBorder="1" applyAlignment="1" applyProtection="1">
      <alignment vertical="top" wrapText="1"/>
      <protection locked="0"/>
    </xf>
    <xf numFmtId="0" fontId="0" fillId="0" borderId="1" xfId="0" applyBorder="1" applyAlignment="1" applyProtection="1">
      <alignment horizontal="center" vertical="top"/>
      <protection locked="0"/>
    </xf>
    <xf numFmtId="0" fontId="0" fillId="0" borderId="0" xfId="0" applyAlignment="1" applyProtection="1">
      <alignment horizontal="center" vertical="top"/>
      <protection locked="0"/>
    </xf>
    <xf numFmtId="0" fontId="0" fillId="0" borderId="1" xfId="0" applyBorder="1" applyAlignment="1" applyProtection="1">
      <alignment horizontal="center" vertical="top" wrapText="1"/>
    </xf>
    <xf numFmtId="0" fontId="1" fillId="0" borderId="1" xfId="0" applyFont="1" applyBorder="1" applyAlignment="1" applyProtection="1">
      <alignment horizontal="center" vertical="top" wrapText="1"/>
    </xf>
    <xf numFmtId="0" fontId="4" fillId="0" borderId="1" xfId="0" applyFont="1" applyBorder="1" applyAlignment="1" applyProtection="1">
      <alignment horizontal="center" vertical="top" wrapText="1"/>
      <protection locked="0"/>
    </xf>
    <xf numFmtId="0" fontId="4" fillId="0" borderId="0" xfId="0" applyFont="1" applyAlignment="1" applyProtection="1">
      <alignment vertical="top" wrapText="1"/>
      <protection locked="0"/>
    </xf>
    <xf numFmtId="0" fontId="1" fillId="0" borderId="1" xfId="0" applyFont="1" applyBorder="1" applyAlignment="1" applyProtection="1">
      <alignment horizontal="left" vertical="top" wrapText="1"/>
      <protection locked="0"/>
    </xf>
    <xf numFmtId="0" fontId="6" fillId="3" borderId="1" xfId="0" applyFont="1" applyFill="1" applyBorder="1" applyAlignment="1" applyProtection="1">
      <alignment vertical="top" wrapText="1"/>
      <protection locked="0"/>
    </xf>
    <xf numFmtId="0" fontId="0" fillId="3" borderId="1" xfId="0" applyFill="1" applyBorder="1" applyAlignment="1" applyProtection="1">
      <alignment vertical="top" wrapText="1"/>
      <protection locked="0"/>
    </xf>
    <xf numFmtId="0" fontId="3" fillId="3" borderId="1" xfId="0" applyFont="1" applyFill="1" applyBorder="1" applyAlignment="1" applyProtection="1">
      <alignment vertical="top" wrapText="1"/>
      <protection locked="0"/>
    </xf>
    <xf numFmtId="0" fontId="0" fillId="5" borderId="1" xfId="0" applyFill="1" applyBorder="1" applyAlignment="1" applyProtection="1">
      <alignment horizontal="center" vertical="top" wrapText="1"/>
      <protection locked="0"/>
    </xf>
    <xf numFmtId="0" fontId="0" fillId="5" borderId="1" xfId="0" applyFill="1" applyBorder="1" applyAlignment="1" applyProtection="1">
      <alignment vertical="top" wrapText="1"/>
      <protection locked="0"/>
    </xf>
    <xf numFmtId="0" fontId="3" fillId="0" borderId="0" xfId="0" applyFont="1" applyAlignment="1" applyProtection="1">
      <alignment vertical="top" wrapText="1"/>
      <protection locked="0"/>
    </xf>
    <xf numFmtId="0" fontId="3" fillId="0" borderId="3" xfId="0" applyFont="1" applyBorder="1" applyAlignment="1" applyProtection="1">
      <alignment vertical="top" wrapText="1"/>
      <protection locked="0"/>
    </xf>
    <xf numFmtId="0" fontId="3" fillId="0" borderId="4" xfId="0" applyFont="1" applyBorder="1" applyAlignment="1" applyProtection="1">
      <alignment vertical="top" wrapText="1"/>
      <protection locked="0"/>
    </xf>
    <xf numFmtId="0" fontId="1" fillId="0" borderId="5" xfId="0" applyFont="1" applyBorder="1" applyAlignment="1" applyProtection="1">
      <alignment vertical="top" wrapText="1"/>
      <protection locked="0"/>
    </xf>
    <xf numFmtId="0" fontId="3" fillId="0" borderId="5" xfId="0" applyFont="1" applyBorder="1" applyAlignment="1" applyProtection="1">
      <alignment vertical="top" wrapText="1"/>
      <protection locked="0"/>
    </xf>
    <xf numFmtId="15" fontId="0" fillId="0" borderId="1" xfId="0" applyNumberFormat="1" applyBorder="1" applyAlignment="1" applyProtection="1">
      <alignment vertical="top" wrapText="1"/>
      <protection locked="0"/>
    </xf>
    <xf numFmtId="0" fontId="3" fillId="0" borderId="0" xfId="0" applyFont="1" applyAlignment="1" applyProtection="1">
      <alignment wrapText="1"/>
      <protection locked="0"/>
    </xf>
    <xf numFmtId="0" fontId="0" fillId="0" borderId="1" xfId="0" applyFill="1" applyBorder="1" applyAlignment="1" applyProtection="1">
      <alignment vertical="top" wrapText="1"/>
      <protection locked="0"/>
    </xf>
    <xf numFmtId="0" fontId="1" fillId="0" borderId="3" xfId="0" applyFont="1" applyBorder="1" applyAlignment="1" applyProtection="1">
      <alignment vertical="top" wrapText="1"/>
      <protection locked="0"/>
    </xf>
    <xf numFmtId="0" fontId="1" fillId="0" borderId="4" xfId="0" applyFont="1" applyBorder="1" applyAlignment="1" applyProtection="1">
      <alignment vertical="top" wrapText="1"/>
      <protection locked="0"/>
    </xf>
    <xf numFmtId="0" fontId="0" fillId="0" borderId="0" xfId="0" applyAlignment="1" applyProtection="1">
      <alignment horizontal="center" vertical="top" wrapText="1"/>
      <protection locked="0"/>
    </xf>
    <xf numFmtId="0" fontId="0" fillId="3" borderId="1" xfId="0" applyFill="1" applyBorder="1" applyAlignment="1" applyProtection="1">
      <alignment horizontal="center" vertical="top" wrapText="1"/>
    </xf>
    <xf numFmtId="0" fontId="0" fillId="5" borderId="1" xfId="0" applyFill="1" applyBorder="1" applyAlignment="1" applyProtection="1">
      <alignment vertical="top"/>
      <protection locked="0"/>
    </xf>
    <xf numFmtId="164" fontId="0" fillId="5" borderId="1" xfId="0" applyNumberFormat="1" applyFill="1" applyBorder="1" applyAlignment="1" applyProtection="1">
      <alignment vertical="top" wrapText="1"/>
      <protection locked="0"/>
    </xf>
    <xf numFmtId="0" fontId="4" fillId="3" borderId="2" xfId="0" applyFont="1" applyFill="1" applyBorder="1" applyAlignment="1" applyProtection="1">
      <alignment vertical="top" wrapText="1"/>
      <protection locked="0"/>
    </xf>
    <xf numFmtId="0" fontId="4" fillId="3" borderId="6" xfId="0" applyFont="1" applyFill="1" applyBorder="1" applyAlignment="1" applyProtection="1">
      <alignment vertical="top" wrapText="1"/>
      <protection locked="0"/>
    </xf>
    <xf numFmtId="0" fontId="4" fillId="3" borderId="5" xfId="0" applyFont="1" applyFill="1" applyBorder="1" applyAlignment="1" applyProtection="1">
      <alignment vertical="top" wrapText="1"/>
      <protection locked="0"/>
    </xf>
    <xf numFmtId="0" fontId="0" fillId="0" borderId="0" xfId="0" applyBorder="1" applyAlignment="1" applyProtection="1">
      <alignment vertical="top" wrapText="1"/>
      <protection locked="0"/>
    </xf>
    <xf numFmtId="0" fontId="4" fillId="3" borderId="1" xfId="0" applyFont="1" applyFill="1" applyBorder="1" applyAlignment="1" applyProtection="1">
      <alignment horizontal="center" vertical="top" wrapText="1"/>
    </xf>
    <xf numFmtId="0" fontId="4" fillId="3" borderId="2" xfId="0" applyFont="1" applyFill="1" applyBorder="1" applyAlignment="1" applyProtection="1">
      <alignment horizontal="center" vertical="top" wrapText="1"/>
    </xf>
    <xf numFmtId="0" fontId="4" fillId="3" borderId="6" xfId="0" applyFont="1" applyFill="1" applyBorder="1" applyAlignment="1" applyProtection="1">
      <alignment horizontal="center" vertical="top" wrapText="1"/>
    </xf>
    <xf numFmtId="0" fontId="4" fillId="3" borderId="5" xfId="0" applyFont="1" applyFill="1" applyBorder="1" applyAlignment="1" applyProtection="1">
      <alignment horizontal="center" vertical="top" wrapText="1"/>
    </xf>
    <xf numFmtId="0" fontId="0" fillId="0" borderId="2" xfId="0" applyBorder="1" applyAlignment="1" applyProtection="1">
      <alignment vertical="top" wrapText="1"/>
      <protection locked="0"/>
    </xf>
    <xf numFmtId="0" fontId="3" fillId="0" borderId="2" xfId="0" applyFont="1" applyBorder="1" applyAlignment="1" applyProtection="1">
      <alignment vertical="top" wrapText="1"/>
      <protection locked="0"/>
    </xf>
    <xf numFmtId="0" fontId="1" fillId="0" borderId="2" xfId="0" applyFont="1" applyBorder="1" applyAlignment="1" applyProtection="1">
      <alignment vertical="top" wrapText="1"/>
      <protection locked="0"/>
    </xf>
    <xf numFmtId="2" fontId="3" fillId="0" borderId="1" xfId="0" applyNumberFormat="1" applyFont="1" applyBorder="1" applyAlignment="1" applyProtection="1">
      <alignment vertical="top" wrapText="1"/>
      <protection locked="0"/>
    </xf>
    <xf numFmtId="0" fontId="1" fillId="0" borderId="1" xfId="0" applyNumberFormat="1" applyFont="1" applyBorder="1" applyAlignment="1" applyProtection="1">
      <alignment horizontal="center" vertical="top" wrapText="1"/>
    </xf>
    <xf numFmtId="0" fontId="1" fillId="0" borderId="2" xfId="0" applyFont="1" applyBorder="1" applyAlignment="1" applyProtection="1">
      <alignment vertical="top" wrapText="1"/>
    </xf>
    <xf numFmtId="0" fontId="4" fillId="3" borderId="1" xfId="0" applyFont="1" applyFill="1" applyBorder="1" applyAlignment="1" applyProtection="1">
      <alignment vertical="top" wrapText="1"/>
    </xf>
    <xf numFmtId="0" fontId="9" fillId="0" borderId="1" xfId="0" applyNumberFormat="1" applyFont="1" applyBorder="1" applyAlignment="1" applyProtection="1">
      <alignment vertical="top" wrapText="1"/>
      <protection locked="0"/>
    </xf>
    <xf numFmtId="0" fontId="0" fillId="0" borderId="1" xfId="0" applyNumberFormat="1" applyFont="1" applyFill="1" applyBorder="1" applyAlignment="1" applyProtection="1">
      <alignment vertical="top" wrapText="1"/>
      <protection locked="0"/>
    </xf>
    <xf numFmtId="0" fontId="0" fillId="0" borderId="0" xfId="0" applyProtection="1">
      <protection locked="0"/>
    </xf>
    <xf numFmtId="0" fontId="4" fillId="0" borderId="0" xfId="0" applyFont="1" applyBorder="1" applyProtection="1">
      <protection locked="0"/>
    </xf>
    <xf numFmtId="0" fontId="4" fillId="4" borderId="1" xfId="0" applyFont="1" applyFill="1" applyBorder="1" applyAlignment="1" applyProtection="1">
      <alignment vertical="top" wrapText="1"/>
      <protection locked="0"/>
    </xf>
    <xf numFmtId="0" fontId="1" fillId="2" borderId="1" xfId="0" applyNumberFormat="1" applyFont="1" applyFill="1" applyBorder="1" applyAlignment="1" applyProtection="1">
      <alignment vertical="top" wrapText="1"/>
      <protection locked="0"/>
    </xf>
    <xf numFmtId="0" fontId="0" fillId="0" borderId="1" xfId="0" applyBorder="1" applyAlignment="1" applyProtection="1">
      <alignment horizontal="left" vertical="top" wrapText="1"/>
      <protection locked="0"/>
    </xf>
    <xf numFmtId="0" fontId="3" fillId="0" borderId="0" xfId="0" applyFont="1" applyBorder="1" applyAlignment="1" applyProtection="1">
      <alignment vertical="top" wrapText="1"/>
      <protection locked="0"/>
    </xf>
    <xf numFmtId="0" fontId="3" fillId="2" borderId="0" xfId="0" applyFont="1" applyFill="1" applyAlignment="1" applyProtection="1">
      <alignment vertical="top" wrapText="1"/>
      <protection locked="0"/>
    </xf>
    <xf numFmtId="0" fontId="3" fillId="2" borderId="0" xfId="0" applyFont="1" applyFill="1" applyBorder="1" applyAlignment="1" applyProtection="1">
      <alignment vertical="top" wrapText="1"/>
      <protection locked="0"/>
    </xf>
    <xf numFmtId="0" fontId="1" fillId="0" borderId="1" xfId="0" applyFont="1" applyBorder="1" applyAlignment="1">
      <alignment wrapText="1"/>
    </xf>
    <xf numFmtId="0" fontId="4" fillId="0" borderId="1" xfId="0" applyFont="1" applyBorder="1" applyProtection="1">
      <protection locked="0"/>
    </xf>
    <xf numFmtId="0" fontId="0" fillId="0" borderId="1" xfId="0" applyBorder="1" applyProtection="1">
      <protection locked="0"/>
    </xf>
    <xf numFmtId="0" fontId="3" fillId="0" borderId="7" xfId="0" applyFont="1" applyBorder="1" applyAlignment="1" applyProtection="1">
      <alignment vertical="top" wrapText="1"/>
      <protection locked="0"/>
    </xf>
    <xf numFmtId="0" fontId="1" fillId="0" borderId="7" xfId="0" applyFont="1" applyBorder="1" applyAlignment="1" applyProtection="1">
      <alignment vertical="top" wrapText="1"/>
      <protection locked="0"/>
    </xf>
    <xf numFmtId="0" fontId="4" fillId="0" borderId="2" xfId="0" applyFont="1" applyBorder="1" applyAlignment="1" applyProtection="1">
      <alignment horizontal="left" vertical="top" wrapText="1"/>
      <protection locked="0"/>
    </xf>
    <xf numFmtId="0" fontId="4" fillId="0" borderId="1" xfId="0" applyFont="1" applyBorder="1" applyAlignment="1" applyProtection="1">
      <alignment horizontal="left" vertical="top" wrapText="1"/>
      <protection locked="0"/>
    </xf>
    <xf numFmtId="0" fontId="1" fillId="0" borderId="0" xfId="0" applyFont="1" applyBorder="1" applyProtection="1">
      <protection locked="0"/>
    </xf>
    <xf numFmtId="164" fontId="0" fillId="0" borderId="1" xfId="0" applyNumberFormat="1" applyBorder="1" applyProtection="1">
      <protection locked="0"/>
    </xf>
    <xf numFmtId="0" fontId="1" fillId="0" borderId="0" xfId="0" applyFont="1" applyAlignment="1" applyProtection="1">
      <alignment vertical="top" wrapText="1"/>
      <protection locked="0"/>
    </xf>
    <xf numFmtId="0" fontId="1" fillId="0" borderId="9" xfId="0" applyFont="1" applyBorder="1" applyAlignment="1" applyProtection="1">
      <alignment vertical="top" wrapText="1"/>
      <protection locked="0"/>
    </xf>
    <xf numFmtId="0" fontId="3" fillId="2" borderId="8" xfId="0" applyFont="1" applyFill="1" applyBorder="1" applyAlignment="1" applyProtection="1">
      <alignment vertical="top" wrapText="1"/>
      <protection locked="0"/>
    </xf>
    <xf numFmtId="0" fontId="0" fillId="0" borderId="0" xfId="0" applyProtection="1"/>
    <xf numFmtId="10" fontId="0" fillId="0" borderId="0" xfId="0" applyNumberFormat="1" applyProtection="1">
      <protection locked="0"/>
    </xf>
    <xf numFmtId="0" fontId="3" fillId="0" borderId="10" xfId="0" applyFont="1" applyBorder="1" applyAlignment="1" applyProtection="1">
      <alignment vertical="top" wrapText="1"/>
      <protection locked="0"/>
    </xf>
    <xf numFmtId="0" fontId="1" fillId="0" borderId="10" xfId="0" applyFont="1" applyBorder="1" applyAlignment="1" applyProtection="1">
      <alignment vertical="top" wrapText="1"/>
      <protection locked="0"/>
    </xf>
    <xf numFmtId="0" fontId="0" fillId="0" borderId="0" xfId="0" applyFill="1" applyProtection="1"/>
    <xf numFmtId="0" fontId="4" fillId="0" borderId="11" xfId="0" applyFont="1" applyBorder="1" applyAlignment="1" applyProtection="1">
      <alignment horizontal="center" vertical="center"/>
    </xf>
    <xf numFmtId="0" fontId="0" fillId="0" borderId="12" xfId="0" applyBorder="1" applyProtection="1"/>
    <xf numFmtId="0" fontId="0" fillId="0" borderId="0" xfId="0" applyBorder="1" applyProtection="1"/>
    <xf numFmtId="0" fontId="4" fillId="0" borderId="0" xfId="0" applyFont="1" applyBorder="1" applyProtection="1"/>
    <xf numFmtId="0" fontId="4" fillId="0" borderId="13" xfId="0" applyFont="1" applyBorder="1" applyProtection="1"/>
    <xf numFmtId="0" fontId="0" fillId="0" borderId="13" xfId="0" applyBorder="1" applyProtection="1"/>
    <xf numFmtId="0" fontId="0" fillId="0" borderId="14" xfId="0" applyBorder="1" applyProtection="1"/>
    <xf numFmtId="0" fontId="0" fillId="0" borderId="15" xfId="0" applyBorder="1" applyProtection="1"/>
    <xf numFmtId="0" fontId="4" fillId="0" borderId="16" xfId="0" applyFont="1" applyFill="1" applyBorder="1" applyAlignment="1" applyProtection="1">
      <alignment horizontal="center" vertical="center" wrapText="1"/>
    </xf>
    <xf numFmtId="0" fontId="0" fillId="0" borderId="17" xfId="0" applyFill="1" applyBorder="1" applyProtection="1"/>
    <xf numFmtId="0" fontId="0" fillId="0" borderId="18" xfId="0" applyFill="1" applyBorder="1" applyProtection="1"/>
    <xf numFmtId="0" fontId="4" fillId="0" borderId="16" xfId="0" applyFont="1" applyBorder="1" applyAlignment="1" applyProtection="1">
      <alignment horizontal="center" vertical="center"/>
    </xf>
    <xf numFmtId="0" fontId="0" fillId="0" borderId="17" xfId="0" applyBorder="1" applyProtection="1"/>
    <xf numFmtId="0" fontId="1" fillId="0" borderId="17" xfId="0" applyFont="1" applyBorder="1" applyProtection="1"/>
    <xf numFmtId="0" fontId="1" fillId="0" borderId="18" xfId="0" applyFont="1" applyBorder="1" applyProtection="1"/>
    <xf numFmtId="0" fontId="4" fillId="0" borderId="12" xfId="0" applyFont="1" applyBorder="1" applyProtection="1"/>
    <xf numFmtId="0" fontId="0" fillId="0" borderId="19" xfId="0" applyBorder="1" applyProtection="1"/>
    <xf numFmtId="0" fontId="4" fillId="0" borderId="17" xfId="0" applyFont="1" applyFill="1" applyBorder="1" applyProtection="1"/>
    <xf numFmtId="0" fontId="7" fillId="0" borderId="0" xfId="0" applyFont="1" applyBorder="1" applyAlignment="1" applyProtection="1">
      <alignment horizontal="center" vertical="top" wrapText="1"/>
      <protection locked="0"/>
    </xf>
    <xf numFmtId="0" fontId="4" fillId="0" borderId="20" xfId="0" applyFont="1" applyBorder="1" applyAlignment="1">
      <alignment vertical="top" wrapText="1"/>
    </xf>
    <xf numFmtId="0" fontId="4" fillId="0" borderId="21" xfId="0" applyFont="1" applyBorder="1" applyAlignment="1">
      <alignment vertical="top" wrapText="1"/>
    </xf>
    <xf numFmtId="0" fontId="0" fillId="0" borderId="21" xfId="0" applyBorder="1" applyAlignment="1" applyProtection="1">
      <alignment vertical="top" wrapText="1"/>
      <protection locked="0"/>
    </xf>
    <xf numFmtId="0" fontId="4" fillId="0" borderId="22" xfId="0" applyFont="1" applyBorder="1" applyAlignment="1">
      <alignment vertical="top" wrapText="1"/>
    </xf>
    <xf numFmtId="0" fontId="4" fillId="0" borderId="17" xfId="0" applyFont="1" applyBorder="1" applyAlignment="1">
      <alignment vertical="top" wrapText="1"/>
    </xf>
    <xf numFmtId="0" fontId="1" fillId="0" borderId="23" xfId="0" applyFont="1" applyBorder="1" applyAlignment="1">
      <alignment vertical="top" wrapText="1"/>
    </xf>
    <xf numFmtId="10" fontId="1" fillId="0" borderId="17" xfId="0" applyNumberFormat="1" applyFont="1" applyBorder="1" applyAlignment="1">
      <alignment vertical="top" wrapText="1"/>
    </xf>
    <xf numFmtId="0" fontId="1" fillId="0" borderId="17" xfId="0" applyFont="1" applyBorder="1" applyAlignment="1">
      <alignment vertical="top" wrapText="1"/>
    </xf>
    <xf numFmtId="10" fontId="1" fillId="0" borderId="13" xfId="0" applyNumberFormat="1" applyFont="1" applyBorder="1" applyAlignment="1">
      <alignment vertical="top" wrapText="1"/>
    </xf>
    <xf numFmtId="0" fontId="0" fillId="0" borderId="17" xfId="0" applyBorder="1" applyAlignment="1">
      <alignment vertical="top" wrapText="1"/>
    </xf>
    <xf numFmtId="0" fontId="1" fillId="0" borderId="12" xfId="0" applyFont="1" applyBorder="1" applyAlignment="1">
      <alignment vertical="top" wrapText="1"/>
    </xf>
    <xf numFmtId="0" fontId="0" fillId="0" borderId="12" xfId="0" applyBorder="1" applyAlignment="1">
      <alignment vertical="top" wrapText="1"/>
    </xf>
    <xf numFmtId="10" fontId="0" fillId="0" borderId="17" xfId="0" applyNumberFormat="1" applyBorder="1" applyAlignment="1">
      <alignment vertical="top" wrapText="1"/>
    </xf>
    <xf numFmtId="10" fontId="0" fillId="0" borderId="13" xfId="0" applyNumberFormat="1" applyBorder="1" applyAlignment="1">
      <alignment vertical="top" wrapText="1"/>
    </xf>
    <xf numFmtId="0" fontId="0" fillId="0" borderId="17" xfId="0" applyBorder="1" applyAlignment="1" applyProtection="1">
      <alignment vertical="top" wrapText="1"/>
      <protection locked="0"/>
    </xf>
    <xf numFmtId="0" fontId="0" fillId="0" borderId="13" xfId="0" applyBorder="1" applyAlignment="1" applyProtection="1">
      <alignment vertical="top" wrapText="1"/>
      <protection locked="0"/>
    </xf>
    <xf numFmtId="0" fontId="0" fillId="0" borderId="18" xfId="0" applyBorder="1" applyAlignment="1">
      <alignment vertical="top" wrapText="1"/>
    </xf>
    <xf numFmtId="0" fontId="0" fillId="0" borderId="19" xfId="0" applyBorder="1" applyAlignment="1">
      <alignment vertical="top" wrapText="1"/>
    </xf>
    <xf numFmtId="0" fontId="0" fillId="0" borderId="14" xfId="0" applyBorder="1" applyAlignment="1" applyProtection="1">
      <alignment vertical="top" wrapText="1"/>
      <protection locked="0"/>
    </xf>
    <xf numFmtId="0" fontId="0" fillId="0" borderId="18" xfId="0" applyBorder="1" applyAlignment="1" applyProtection="1">
      <alignment vertical="top" wrapText="1"/>
      <protection locked="0"/>
    </xf>
    <xf numFmtId="0" fontId="7" fillId="0" borderId="24" xfId="0" applyFont="1" applyBorder="1" applyAlignment="1" applyProtection="1">
      <alignment horizontal="center" vertical="top" wrapText="1"/>
      <protection locked="0"/>
    </xf>
    <xf numFmtId="0" fontId="4" fillId="0" borderId="5" xfId="0" applyFont="1" applyBorder="1" applyProtection="1">
      <protection locked="0"/>
    </xf>
    <xf numFmtId="0" fontId="0" fillId="0" borderId="0" xfId="0" applyFill="1" applyBorder="1" applyProtection="1"/>
    <xf numFmtId="0" fontId="4" fillId="0" borderId="25" xfId="0" applyFont="1" applyBorder="1" applyAlignment="1" applyProtection="1">
      <alignment horizontal="center" vertical="center"/>
    </xf>
    <xf numFmtId="0" fontId="0" fillId="0" borderId="26" xfId="0" applyBorder="1" applyProtection="1"/>
    <xf numFmtId="0" fontId="4" fillId="0" borderId="26" xfId="0" applyFont="1" applyBorder="1" applyAlignment="1" applyProtection="1">
      <alignment horizontal="center" vertical="center"/>
    </xf>
    <xf numFmtId="0" fontId="4" fillId="0" borderId="27" xfId="0" applyFont="1" applyBorder="1" applyAlignment="1" applyProtection="1">
      <alignment horizontal="center" vertical="center"/>
    </xf>
    <xf numFmtId="0" fontId="0" fillId="0" borderId="18" xfId="0" applyBorder="1" applyProtection="1"/>
    <xf numFmtId="0" fontId="1" fillId="0" borderId="0" xfId="0" applyFont="1" applyBorder="1" applyProtection="1"/>
    <xf numFmtId="0" fontId="4" fillId="0" borderId="8" xfId="0" applyFont="1" applyBorder="1" applyAlignment="1" applyProtection="1">
      <alignment horizontal="left" vertical="top"/>
    </xf>
    <xf numFmtId="0" fontId="4" fillId="0" borderId="28" xfId="0" applyFont="1" applyBorder="1" applyAlignment="1" applyProtection="1">
      <alignment horizontal="left" vertical="top"/>
    </xf>
    <xf numFmtId="0" fontId="0" fillId="0" borderId="28" xfId="0" applyBorder="1" applyAlignment="1" applyProtection="1">
      <alignment horizontal="left"/>
    </xf>
    <xf numFmtId="0" fontId="0" fillId="0" borderId="0" xfId="0" applyBorder="1" applyAlignment="1">
      <alignment vertical="top" wrapText="1"/>
    </xf>
    <xf numFmtId="10" fontId="1" fillId="0" borderId="0" xfId="0" applyNumberFormat="1" applyFont="1" applyBorder="1" applyAlignment="1">
      <alignment vertical="top" wrapText="1"/>
    </xf>
    <xf numFmtId="10" fontId="0" fillId="0" borderId="0" xfId="0" applyNumberFormat="1" applyBorder="1" applyAlignment="1">
      <alignment vertical="top" wrapText="1"/>
    </xf>
    <xf numFmtId="0" fontId="1" fillId="0" borderId="12" xfId="0" applyFont="1" applyBorder="1" applyProtection="1"/>
    <xf numFmtId="0" fontId="4" fillId="0" borderId="29" xfId="0" applyFont="1" applyBorder="1" applyAlignment="1" applyProtection="1">
      <alignment horizontal="center" vertical="center"/>
    </xf>
    <xf numFmtId="0" fontId="1" fillId="0" borderId="30" xfId="0" applyFont="1" applyBorder="1" applyProtection="1"/>
    <xf numFmtId="0" fontId="1" fillId="0" borderId="29" xfId="0" applyFont="1" applyBorder="1" applyProtection="1"/>
    <xf numFmtId="0" fontId="4" fillId="0" borderId="0" xfId="0" applyFont="1" applyBorder="1" applyAlignment="1" applyProtection="1">
      <alignment horizontal="center" vertical="top" wrapText="1"/>
      <protection locked="0"/>
    </xf>
    <xf numFmtId="0" fontId="4" fillId="0" borderId="20" xfId="0" applyFont="1" applyBorder="1" applyAlignment="1" applyProtection="1">
      <alignment vertical="top" wrapText="1"/>
      <protection locked="0"/>
    </xf>
    <xf numFmtId="0" fontId="4" fillId="0" borderId="20" xfId="0" applyFont="1" applyFill="1" applyBorder="1" applyAlignment="1" applyProtection="1">
      <alignment horizontal="center" vertical="center" wrapText="1"/>
    </xf>
    <xf numFmtId="0" fontId="0" fillId="0" borderId="12" xfId="0" applyFont="1" applyFill="1" applyBorder="1" applyProtection="1"/>
    <xf numFmtId="0" fontId="1" fillId="0" borderId="12" xfId="0" applyFont="1" applyFill="1" applyBorder="1" applyProtection="1"/>
    <xf numFmtId="0" fontId="0" fillId="0" borderId="19" xfId="0" applyFont="1" applyFill="1" applyBorder="1" applyProtection="1"/>
    <xf numFmtId="0" fontId="4" fillId="0" borderId="31" xfId="0" applyFont="1" applyFill="1" applyBorder="1" applyAlignment="1" applyProtection="1">
      <alignment horizontal="center" vertical="center"/>
    </xf>
    <xf numFmtId="0" fontId="4" fillId="0" borderId="21" xfId="0" applyFont="1" applyBorder="1" applyAlignment="1" applyProtection="1">
      <alignment horizontal="center" vertical="center"/>
    </xf>
    <xf numFmtId="0" fontId="0" fillId="0" borderId="21" xfId="0" applyBorder="1" applyAlignment="1" applyProtection="1">
      <alignment horizontal="center" vertical="center"/>
    </xf>
    <xf numFmtId="0" fontId="4" fillId="0" borderId="22" xfId="0" applyFont="1" applyBorder="1" applyAlignment="1" applyProtection="1">
      <alignment horizontal="center" vertical="center"/>
    </xf>
    <xf numFmtId="0" fontId="4" fillId="0" borderId="17" xfId="0" applyFont="1" applyBorder="1" applyAlignment="1" applyProtection="1">
      <alignment vertical="top" wrapText="1"/>
      <protection locked="0"/>
    </xf>
    <xf numFmtId="0" fontId="4" fillId="0" borderId="18" xfId="0" applyFont="1" applyBorder="1" applyAlignment="1" applyProtection="1">
      <alignment vertical="top" wrapText="1"/>
      <protection locked="0"/>
    </xf>
    <xf numFmtId="0" fontId="1" fillId="0" borderId="14" xfId="0" applyFont="1" applyBorder="1" applyProtection="1"/>
    <xf numFmtId="0" fontId="0" fillId="0" borderId="20" xfId="0" applyBorder="1" applyAlignment="1" applyProtection="1">
      <alignment vertical="top" wrapText="1"/>
      <protection locked="0"/>
    </xf>
    <xf numFmtId="0" fontId="1" fillId="0" borderId="17" xfId="0" applyFont="1" applyBorder="1" applyAlignment="1" applyProtection="1">
      <alignment vertical="top" wrapText="1"/>
      <protection locked="0"/>
    </xf>
    <xf numFmtId="0" fontId="1" fillId="0" borderId="18" xfId="0" applyFont="1" applyBorder="1" applyAlignment="1" applyProtection="1">
      <alignment vertical="top" wrapText="1"/>
      <protection locked="0"/>
    </xf>
    <xf numFmtId="1" fontId="0" fillId="0" borderId="17" xfId="0" applyNumberFormat="1" applyBorder="1" applyAlignment="1" applyProtection="1">
      <alignment vertical="top" wrapText="1"/>
      <protection locked="0"/>
    </xf>
    <xf numFmtId="1" fontId="0" fillId="0" borderId="18" xfId="0" applyNumberFormat="1" applyBorder="1" applyAlignment="1" applyProtection="1">
      <alignment vertical="top" wrapText="1"/>
      <protection locked="0"/>
    </xf>
    <xf numFmtId="0" fontId="4" fillId="0" borderId="1" xfId="0" applyFont="1" applyBorder="1" applyAlignment="1" applyProtection="1">
      <alignment vertical="top"/>
      <protection locked="0"/>
    </xf>
    <xf numFmtId="0" fontId="3" fillId="0" borderId="1" xfId="0" applyFont="1" applyBorder="1" applyAlignment="1" applyProtection="1">
      <alignment wrapText="1"/>
      <protection locked="0"/>
    </xf>
    <xf numFmtId="10" fontId="1" fillId="0" borderId="1" xfId="0" applyNumberFormat="1" applyFont="1" applyBorder="1" applyAlignment="1">
      <alignment vertical="top" wrapText="1"/>
    </xf>
    <xf numFmtId="0" fontId="1" fillId="0" borderId="0" xfId="0" applyFont="1" applyProtection="1">
      <protection locked="0"/>
    </xf>
    <xf numFmtId="0" fontId="0" fillId="0" borderId="0" xfId="0" applyAlignment="1" applyProtection="1">
      <alignment vertical="top" wrapText="1"/>
    </xf>
    <xf numFmtId="0" fontId="7" fillId="0" borderId="24" xfId="0" applyFont="1" applyBorder="1" applyAlignment="1" applyProtection="1">
      <alignment horizontal="center" vertical="top" wrapText="1"/>
    </xf>
    <xf numFmtId="0" fontId="7" fillId="0" borderId="0" xfId="0" applyFont="1" applyBorder="1" applyAlignment="1" applyProtection="1">
      <alignment horizontal="center" vertical="top" wrapText="1"/>
    </xf>
    <xf numFmtId="0" fontId="4" fillId="0" borderId="0" xfId="0" applyFont="1" applyBorder="1" applyAlignment="1" applyProtection="1">
      <alignment horizontal="center" vertical="center" wrapText="1"/>
    </xf>
    <xf numFmtId="0" fontId="4" fillId="0" borderId="32" xfId="0" applyFont="1" applyBorder="1" applyAlignment="1" applyProtection="1">
      <alignment horizontal="center" vertical="top" wrapText="1"/>
    </xf>
    <xf numFmtId="0" fontId="4" fillId="0" borderId="1" xfId="0" applyFont="1" applyBorder="1" applyAlignment="1" applyProtection="1">
      <alignment vertical="top" wrapText="1"/>
    </xf>
    <xf numFmtId="0" fontId="4" fillId="0" borderId="28" xfId="0" applyFont="1" applyBorder="1" applyAlignment="1" applyProtection="1">
      <alignment vertical="top" wrapText="1"/>
    </xf>
    <xf numFmtId="0" fontId="0" fillId="0" borderId="29" xfId="0" applyBorder="1" applyAlignment="1" applyProtection="1">
      <alignment vertical="top" wrapText="1"/>
    </xf>
    <xf numFmtId="0" fontId="4" fillId="0" borderId="33" xfId="0" applyFont="1" applyBorder="1" applyAlignment="1" applyProtection="1">
      <alignment horizontal="center" vertical="center" wrapText="1"/>
    </xf>
    <xf numFmtId="0" fontId="4" fillId="0" borderId="34" xfId="0" applyFont="1" applyBorder="1" applyAlignment="1" applyProtection="1">
      <alignment horizontal="center" vertical="center" wrapText="1"/>
    </xf>
    <xf numFmtId="0" fontId="0" fillId="0" borderId="6" xfId="0" applyBorder="1" applyAlignment="1" applyProtection="1">
      <alignment vertical="top" wrapText="1"/>
    </xf>
    <xf numFmtId="0" fontId="1" fillId="0" borderId="30" xfId="0" applyFont="1" applyBorder="1" applyAlignment="1" applyProtection="1">
      <alignment vertical="top" wrapText="1"/>
    </xf>
    <xf numFmtId="0" fontId="0" fillId="0" borderId="36" xfId="0" applyBorder="1" applyAlignment="1" applyProtection="1">
      <alignment vertical="top" wrapText="1"/>
    </xf>
    <xf numFmtId="10" fontId="0" fillId="0" borderId="6" xfId="0" applyNumberFormat="1" applyBorder="1" applyAlignment="1" applyProtection="1">
      <alignment vertical="top" wrapText="1"/>
    </xf>
    <xf numFmtId="0" fontId="0" fillId="0" borderId="5" xfId="0" applyBorder="1" applyAlignment="1" applyProtection="1">
      <alignment vertical="top" wrapText="1"/>
    </xf>
    <xf numFmtId="0" fontId="1" fillId="0" borderId="29" xfId="0" applyFont="1" applyBorder="1" applyAlignment="1" applyProtection="1">
      <alignment vertical="top" wrapText="1"/>
    </xf>
    <xf numFmtId="0" fontId="0" fillId="0" borderId="33" xfId="0" applyBorder="1" applyAlignment="1" applyProtection="1">
      <alignment vertical="top" wrapText="1"/>
    </xf>
    <xf numFmtId="0" fontId="0" fillId="0" borderId="34" xfId="0" applyBorder="1" applyAlignment="1" applyProtection="1">
      <alignment vertical="top" wrapText="1"/>
    </xf>
    <xf numFmtId="0" fontId="4" fillId="0" borderId="0" xfId="0" applyFont="1" applyBorder="1" applyAlignment="1" applyProtection="1">
      <alignment vertical="top" wrapText="1"/>
    </xf>
    <xf numFmtId="0" fontId="4" fillId="0" borderId="33" xfId="0" applyFont="1" applyBorder="1" applyAlignment="1" applyProtection="1">
      <alignment vertical="top" wrapText="1"/>
    </xf>
    <xf numFmtId="0" fontId="4" fillId="0" borderId="34" xfId="0" applyFont="1" applyBorder="1" applyAlignment="1" applyProtection="1">
      <alignment vertical="top" wrapText="1"/>
    </xf>
    <xf numFmtId="0" fontId="0" fillId="0" borderId="0" xfId="0" applyBorder="1" applyAlignment="1" applyProtection="1">
      <alignment vertical="top" wrapText="1"/>
    </xf>
    <xf numFmtId="10" fontId="0" fillId="0" borderId="0" xfId="0" applyNumberFormat="1" applyBorder="1" applyAlignment="1" applyProtection="1">
      <alignment vertical="top" wrapText="1"/>
    </xf>
    <xf numFmtId="10" fontId="0" fillId="0" borderId="36" xfId="0" applyNumberFormat="1" applyBorder="1" applyAlignment="1" applyProtection="1">
      <alignment vertical="top" wrapText="1"/>
    </xf>
    <xf numFmtId="10" fontId="0" fillId="0" borderId="13" xfId="0" applyNumberFormat="1" applyBorder="1" applyAlignment="1" applyProtection="1">
      <alignment vertical="top" wrapText="1"/>
    </xf>
    <xf numFmtId="0" fontId="1" fillId="0" borderId="0" xfId="0" applyFont="1" applyBorder="1" applyAlignment="1" applyProtection="1">
      <alignment vertical="top" wrapText="1"/>
    </xf>
    <xf numFmtId="10" fontId="0" fillId="0" borderId="33" xfId="0" applyNumberFormat="1" applyBorder="1" applyAlignment="1" applyProtection="1">
      <alignment vertical="top" wrapText="1"/>
    </xf>
    <xf numFmtId="10" fontId="0" fillId="0" borderId="34" xfId="0" applyNumberFormat="1" applyBorder="1" applyAlignment="1" applyProtection="1">
      <alignment vertical="top" wrapText="1"/>
    </xf>
    <xf numFmtId="10" fontId="0" fillId="0" borderId="15" xfId="0" applyNumberFormat="1" applyBorder="1" applyAlignment="1" applyProtection="1">
      <alignment vertical="top" wrapText="1"/>
    </xf>
    <xf numFmtId="0" fontId="4" fillId="0" borderId="0" xfId="0" applyFont="1" applyAlignment="1" applyProtection="1">
      <alignment vertical="top" wrapText="1"/>
    </xf>
    <xf numFmtId="0" fontId="4" fillId="0" borderId="31" xfId="0" applyFont="1" applyBorder="1" applyAlignment="1" applyProtection="1">
      <alignment vertical="top" wrapText="1"/>
    </xf>
    <xf numFmtId="0" fontId="4" fillId="0" borderId="20" xfId="0" applyFont="1" applyBorder="1" applyAlignment="1" applyProtection="1">
      <alignment vertical="top" wrapText="1"/>
    </xf>
    <xf numFmtId="0" fontId="4" fillId="0" borderId="22" xfId="0" applyFont="1" applyBorder="1" applyAlignment="1" applyProtection="1">
      <alignment vertical="top" wrapText="1"/>
    </xf>
    <xf numFmtId="0" fontId="1" fillId="0" borderId="12" xfId="0" applyFont="1" applyBorder="1" applyAlignment="1" applyProtection="1">
      <alignment vertical="top" wrapText="1"/>
    </xf>
    <xf numFmtId="10" fontId="1" fillId="0" borderId="17" xfId="0" applyNumberFormat="1" applyFont="1" applyBorder="1" applyAlignment="1" applyProtection="1">
      <alignment vertical="top" wrapText="1"/>
    </xf>
    <xf numFmtId="10" fontId="0" fillId="0" borderId="17" xfId="0" applyNumberFormat="1" applyBorder="1" applyAlignment="1" applyProtection="1">
      <alignment vertical="top" wrapText="1"/>
    </xf>
    <xf numFmtId="0" fontId="1" fillId="0" borderId="19" xfId="0" applyFont="1" applyBorder="1" applyAlignment="1" applyProtection="1">
      <alignment vertical="top" wrapText="1"/>
    </xf>
    <xf numFmtId="10" fontId="1" fillId="0" borderId="18" xfId="0" applyNumberFormat="1" applyFont="1" applyBorder="1" applyAlignment="1" applyProtection="1">
      <alignment vertical="top" wrapText="1"/>
    </xf>
    <xf numFmtId="10" fontId="0" fillId="0" borderId="18" xfId="0" applyNumberFormat="1" applyBorder="1" applyAlignment="1" applyProtection="1">
      <alignment vertical="top" wrapText="1"/>
    </xf>
    <xf numFmtId="10" fontId="1" fillId="0" borderId="0" xfId="0" applyNumberFormat="1" applyFont="1" applyBorder="1" applyAlignment="1" applyProtection="1">
      <alignment vertical="top" wrapText="1"/>
    </xf>
    <xf numFmtId="0" fontId="4" fillId="4" borderId="1" xfId="0" applyFont="1" applyFill="1" applyBorder="1" applyAlignment="1" applyProtection="1">
      <alignment horizontal="center" vertical="center" wrapText="1"/>
      <protection locked="0"/>
    </xf>
    <xf numFmtId="0" fontId="0" fillId="0" borderId="1" xfId="0" applyNumberFormat="1" applyFill="1" applyBorder="1" applyAlignment="1" applyProtection="1">
      <alignment vertical="top" wrapText="1"/>
      <protection locked="0"/>
    </xf>
    <xf numFmtId="0" fontId="1" fillId="0" borderId="1" xfId="0" applyFont="1" applyFill="1" applyBorder="1" applyAlignment="1" applyProtection="1">
      <alignment vertical="top" wrapText="1"/>
      <protection locked="0"/>
    </xf>
    <xf numFmtId="0" fontId="3" fillId="0" borderId="1" xfId="0" applyFont="1" applyFill="1" applyBorder="1" applyAlignment="1" applyProtection="1">
      <alignment vertical="top" wrapText="1"/>
      <protection locked="0"/>
    </xf>
    <xf numFmtId="10" fontId="1" fillId="0" borderId="1" xfId="0" applyNumberFormat="1" applyFont="1" applyBorder="1" applyProtection="1">
      <protection locked="0"/>
    </xf>
    <xf numFmtId="15" fontId="0" fillId="0" borderId="1" xfId="0" applyNumberFormat="1" applyBorder="1" applyProtection="1">
      <protection locked="0"/>
    </xf>
    <xf numFmtId="164" fontId="1" fillId="0" borderId="1" xfId="0" applyNumberFormat="1" applyFont="1" applyBorder="1" applyAlignment="1" applyProtection="1">
      <alignment vertical="top" wrapText="1"/>
      <protection locked="0"/>
    </xf>
    <xf numFmtId="0" fontId="0" fillId="5" borderId="2" xfId="0" applyFill="1" applyBorder="1" applyAlignment="1" applyProtection="1">
      <alignment vertical="top" wrapText="1"/>
      <protection locked="0"/>
    </xf>
    <xf numFmtId="0" fontId="0" fillId="5" borderId="6" xfId="0" applyFill="1" applyBorder="1" applyAlignment="1" applyProtection="1">
      <alignment vertical="top" wrapText="1"/>
      <protection locked="0"/>
    </xf>
    <xf numFmtId="0" fontId="0" fillId="5" borderId="5" xfId="0" applyFill="1" applyBorder="1" applyAlignment="1" applyProtection="1">
      <alignment vertical="top" wrapText="1"/>
      <protection locked="0"/>
    </xf>
    <xf numFmtId="164" fontId="0" fillId="0" borderId="2" xfId="0" applyNumberFormat="1" applyBorder="1" applyAlignment="1" applyProtection="1">
      <alignment vertical="top" wrapText="1"/>
      <protection locked="0"/>
    </xf>
    <xf numFmtId="0" fontId="1" fillId="0" borderId="6" xfId="0" applyFont="1" applyBorder="1" applyAlignment="1" applyProtection="1">
      <alignment vertical="top" wrapText="1"/>
    </xf>
    <xf numFmtId="0" fontId="1" fillId="0" borderId="0" xfId="0" applyFont="1"/>
    <xf numFmtId="0" fontId="4" fillId="0" borderId="1" xfId="0" applyFont="1" applyBorder="1" applyAlignment="1">
      <alignment horizontal="center" vertical="center" wrapText="1"/>
    </xf>
    <xf numFmtId="0" fontId="1" fillId="0" borderId="1" xfId="0" applyFont="1" applyBorder="1" applyAlignment="1">
      <alignment vertical="top" wrapText="1"/>
    </xf>
    <xf numFmtId="164" fontId="0" fillId="0" borderId="1" xfId="0" applyNumberFormat="1" applyFill="1" applyBorder="1" applyAlignment="1" applyProtection="1">
      <alignment horizontal="left" vertical="top" wrapText="1"/>
      <protection locked="0"/>
    </xf>
    <xf numFmtId="164" fontId="1" fillId="0" borderId="1" xfId="0" applyNumberFormat="1" applyFont="1" applyFill="1" applyBorder="1" applyAlignment="1" applyProtection="1">
      <alignment vertical="top" wrapText="1"/>
      <protection locked="0"/>
    </xf>
    <xf numFmtId="0" fontId="1" fillId="0" borderId="1" xfId="0" applyFont="1" applyBorder="1" applyProtection="1">
      <protection locked="0"/>
    </xf>
    <xf numFmtId="15" fontId="13" fillId="0" borderId="1" xfId="0" applyNumberFormat="1" applyFont="1" applyBorder="1" applyProtection="1">
      <protection locked="0"/>
    </xf>
    <xf numFmtId="0" fontId="13" fillId="0" borderId="0" xfId="0" applyFont="1" applyProtection="1">
      <protection locked="0"/>
    </xf>
    <xf numFmtId="0" fontId="13" fillId="0" borderId="1" xfId="0" applyFont="1" applyBorder="1" applyProtection="1">
      <protection locked="0"/>
    </xf>
    <xf numFmtId="0" fontId="13" fillId="2" borderId="1" xfId="0" applyFont="1" applyFill="1" applyBorder="1" applyAlignment="1" applyProtection="1">
      <alignment vertical="top" wrapText="1"/>
      <protection locked="0"/>
    </xf>
    <xf numFmtId="0" fontId="13" fillId="0" borderId="1" xfId="0" applyFont="1" applyBorder="1" applyAlignment="1" applyProtection="1">
      <alignment vertical="top" wrapText="1"/>
      <protection locked="0"/>
    </xf>
    <xf numFmtId="15" fontId="13" fillId="0" borderId="1" xfId="0" applyNumberFormat="1" applyFont="1" applyBorder="1" applyAlignment="1" applyProtection="1">
      <alignment vertical="top"/>
      <protection locked="0"/>
    </xf>
    <xf numFmtId="164" fontId="13" fillId="0" borderId="1" xfId="0" applyNumberFormat="1" applyFont="1" applyFill="1" applyBorder="1" applyAlignment="1" applyProtection="1">
      <alignment vertical="top" wrapText="1"/>
      <protection locked="0"/>
    </xf>
    <xf numFmtId="0" fontId="1" fillId="0" borderId="1" xfId="0" applyFont="1" applyBorder="1" applyAlignment="1" applyProtection="1">
      <alignment vertical="center" wrapText="1"/>
      <protection locked="0"/>
    </xf>
    <xf numFmtId="0" fontId="1" fillId="7" borderId="4" xfId="0" applyFont="1" applyFill="1" applyBorder="1" applyAlignment="1" applyProtection="1">
      <alignment vertical="top" wrapText="1"/>
      <protection locked="0"/>
    </xf>
    <xf numFmtId="0" fontId="1" fillId="0" borderId="8" xfId="0" applyFont="1" applyBorder="1" applyAlignment="1" applyProtection="1">
      <alignment vertical="top" wrapText="1"/>
      <protection locked="0"/>
    </xf>
    <xf numFmtId="0" fontId="0" fillId="0" borderId="0" xfId="0" applyAlignment="1" applyProtection="1">
      <alignment horizontal="center" vertical="center"/>
      <protection locked="0"/>
    </xf>
    <xf numFmtId="0" fontId="4" fillId="6" borderId="1" xfId="0" applyFont="1" applyFill="1" applyBorder="1" applyAlignment="1" applyProtection="1">
      <alignment horizontal="center" vertical="center" wrapText="1"/>
    </xf>
    <xf numFmtId="9" fontId="12" fillId="0" borderId="1" xfId="0" applyNumberFormat="1" applyFont="1" applyBorder="1" applyAlignment="1" applyProtection="1">
      <alignment horizontal="center"/>
      <protection locked="0"/>
    </xf>
    <xf numFmtId="0" fontId="4" fillId="0" borderId="2" xfId="0" applyFont="1" applyBorder="1" applyAlignment="1" applyProtection="1">
      <alignment horizontal="center"/>
      <protection locked="0"/>
    </xf>
    <xf numFmtId="0" fontId="0" fillId="0" borderId="1" xfId="0" applyBorder="1" applyAlignment="1" applyProtection="1">
      <alignment vertical="center" wrapText="1"/>
      <protection locked="0"/>
    </xf>
    <xf numFmtId="0" fontId="0" fillId="0" borderId="1" xfId="0" applyNumberFormat="1" applyBorder="1" applyAlignment="1" applyProtection="1">
      <alignment vertical="center" wrapText="1"/>
      <protection locked="0"/>
    </xf>
    <xf numFmtId="0" fontId="1" fillId="0" borderId="1" xfId="0" applyNumberFormat="1" applyFont="1" applyBorder="1" applyAlignment="1" applyProtection="1">
      <alignment vertical="center" wrapText="1"/>
      <protection locked="0"/>
    </xf>
    <xf numFmtId="0" fontId="3" fillId="2" borderId="1" xfId="0" applyFont="1" applyFill="1" applyBorder="1" applyAlignment="1" applyProtection="1">
      <alignment vertical="center" wrapText="1"/>
      <protection locked="0"/>
    </xf>
    <xf numFmtId="164" fontId="0" fillId="0" borderId="1" xfId="0" applyNumberFormat="1" applyBorder="1" applyAlignment="1" applyProtection="1">
      <alignment vertical="center" wrapText="1"/>
      <protection locked="0"/>
    </xf>
    <xf numFmtId="0" fontId="0" fillId="0" borderId="1" xfId="0" applyBorder="1" applyAlignment="1" applyProtection="1">
      <alignment vertical="center" wrapText="1"/>
    </xf>
    <xf numFmtId="0" fontId="0" fillId="0" borderId="0" xfId="0" applyAlignment="1" applyProtection="1">
      <alignment vertical="center"/>
      <protection locked="0"/>
    </xf>
    <xf numFmtId="0" fontId="4" fillId="3" borderId="1" xfId="0" applyFont="1" applyFill="1" applyBorder="1" applyAlignment="1" applyProtection="1">
      <alignment vertical="center" wrapText="1"/>
      <protection locked="0"/>
    </xf>
    <xf numFmtId="0" fontId="3" fillId="0" borderId="1" xfId="0" applyFont="1" applyBorder="1" applyAlignment="1" applyProtection="1">
      <alignment vertical="center" wrapText="1"/>
      <protection locked="0"/>
    </xf>
    <xf numFmtId="0" fontId="1" fillId="0" borderId="1" xfId="0" applyFont="1" applyBorder="1" applyAlignment="1" applyProtection="1">
      <alignment vertical="center" wrapText="1"/>
    </xf>
    <xf numFmtId="0" fontId="0" fillId="0" borderId="1" xfId="0" applyBorder="1" applyAlignment="1" applyProtection="1">
      <alignment horizontal="center" vertical="center" wrapText="1"/>
      <protection locked="0"/>
    </xf>
    <xf numFmtId="0" fontId="4" fillId="3" borderId="1" xfId="0" applyFont="1" applyFill="1" applyBorder="1" applyAlignment="1" applyProtection="1">
      <alignment horizontal="center" vertical="center" wrapText="1"/>
      <protection locked="0"/>
    </xf>
    <xf numFmtId="0" fontId="4" fillId="0" borderId="2" xfId="0" applyFont="1" applyBorder="1" applyAlignment="1" applyProtection="1">
      <alignment horizontal="center" vertical="center" wrapText="1"/>
      <protection locked="0"/>
    </xf>
    <xf numFmtId="2" fontId="0" fillId="0" borderId="1" xfId="0" applyNumberFormat="1" applyFill="1" applyBorder="1" applyAlignment="1" applyProtection="1">
      <alignment horizontal="center" vertical="center" wrapText="1"/>
      <protection locked="0"/>
    </xf>
    <xf numFmtId="0" fontId="0" fillId="0" borderId="1" xfId="0" applyBorder="1" applyAlignment="1" applyProtection="1">
      <alignment horizontal="center" vertical="center"/>
      <protection locked="0"/>
    </xf>
    <xf numFmtId="164" fontId="0" fillId="0" borderId="1" xfId="0" applyNumberFormat="1" applyFill="1" applyBorder="1" applyAlignment="1" applyProtection="1">
      <alignment horizontal="center" vertical="center" wrapText="1"/>
      <protection locked="0"/>
    </xf>
    <xf numFmtId="164" fontId="0" fillId="0" borderId="1" xfId="0" applyNumberFormat="1" applyBorder="1" applyAlignment="1" applyProtection="1">
      <alignment horizontal="center" vertical="center" wrapText="1"/>
      <protection locked="0"/>
    </xf>
    <xf numFmtId="15" fontId="0" fillId="0" borderId="1" xfId="0" applyNumberFormat="1" applyBorder="1" applyAlignment="1" applyProtection="1">
      <alignment horizontal="center" vertical="center"/>
      <protection locked="0"/>
    </xf>
    <xf numFmtId="0" fontId="14" fillId="3" borderId="1" xfId="0" applyFont="1" applyFill="1" applyBorder="1" applyAlignment="1" applyProtection="1">
      <alignment vertical="top" wrapText="1"/>
      <protection locked="0"/>
    </xf>
    <xf numFmtId="0" fontId="0" fillId="0" borderId="6" xfId="0" applyBorder="1" applyAlignment="1" applyProtection="1">
      <alignment horizontal="center" vertical="top" wrapText="1"/>
    </xf>
    <xf numFmtId="10" fontId="0" fillId="0" borderId="2" xfId="0" applyNumberFormat="1" applyBorder="1" applyAlignment="1" applyProtection="1">
      <alignment horizontal="center" vertical="top" wrapText="1"/>
    </xf>
    <xf numFmtId="10" fontId="0" fillId="0" borderId="35" xfId="0" applyNumberFormat="1" applyBorder="1" applyAlignment="1" applyProtection="1">
      <alignment horizontal="center" vertical="top" wrapText="1"/>
    </xf>
    <xf numFmtId="10" fontId="0" fillId="0" borderId="6" xfId="0" applyNumberFormat="1" applyBorder="1" applyAlignment="1" applyProtection="1">
      <alignment horizontal="center" vertical="top" wrapText="1"/>
    </xf>
    <xf numFmtId="10" fontId="0" fillId="0" borderId="5" xfId="0" applyNumberFormat="1" applyBorder="1" applyAlignment="1" applyProtection="1">
      <alignment horizontal="center" vertical="top" wrapText="1"/>
    </xf>
    <xf numFmtId="10" fontId="0" fillId="0" borderId="37" xfId="0" applyNumberFormat="1" applyBorder="1" applyAlignment="1" applyProtection="1">
      <alignment horizontal="center" vertical="top" wrapText="1"/>
    </xf>
    <xf numFmtId="0" fontId="4" fillId="0" borderId="8" xfId="0" applyFont="1" applyBorder="1" applyAlignment="1" applyProtection="1">
      <alignment horizontal="center" vertical="center"/>
      <protection locked="0"/>
    </xf>
    <xf numFmtId="0" fontId="4" fillId="0" borderId="38" xfId="0" applyFont="1" applyBorder="1" applyAlignment="1" applyProtection="1">
      <alignment horizontal="center" vertical="center"/>
      <protection locked="0"/>
    </xf>
    <xf numFmtId="0" fontId="4" fillId="0" borderId="28" xfId="0" applyFont="1" applyBorder="1" applyAlignment="1" applyProtection="1">
      <alignment horizontal="center" vertical="center"/>
      <protection locked="0"/>
    </xf>
    <xf numFmtId="0" fontId="7" fillId="0" borderId="8" xfId="0" applyFont="1" applyBorder="1" applyAlignment="1" applyProtection="1">
      <alignment horizontal="center" vertical="center" wrapText="1"/>
      <protection locked="0"/>
    </xf>
    <xf numFmtId="0" fontId="7" fillId="0" borderId="38" xfId="0" applyFont="1" applyBorder="1" applyAlignment="1" applyProtection="1">
      <alignment horizontal="center" vertical="center" wrapText="1"/>
      <protection locked="0"/>
    </xf>
    <xf numFmtId="0" fontId="7" fillId="0" borderId="28" xfId="0" applyFont="1" applyBorder="1" applyAlignment="1" applyProtection="1">
      <alignment horizontal="center" vertical="center" wrapText="1"/>
      <protection locked="0"/>
    </xf>
    <xf numFmtId="0" fontId="4" fillId="0" borderId="8" xfId="0" applyFont="1" applyBorder="1" applyAlignment="1" applyProtection="1">
      <alignment horizontal="center" vertical="center" wrapText="1"/>
      <protection locked="0"/>
    </xf>
    <xf numFmtId="0" fontId="11" fillId="0" borderId="8" xfId="0" applyFont="1" applyBorder="1" applyAlignment="1">
      <alignment horizontal="center" vertical="center"/>
    </xf>
    <xf numFmtId="0" fontId="11" fillId="0" borderId="28" xfId="0" applyFont="1" applyBorder="1" applyAlignment="1">
      <alignment horizontal="center" vertical="center"/>
    </xf>
    <xf numFmtId="0" fontId="10" fillId="0" borderId="8" xfId="1" applyFont="1" applyBorder="1" applyAlignment="1" applyProtection="1">
      <alignment horizontal="center"/>
      <protection locked="0"/>
    </xf>
    <xf numFmtId="0" fontId="10" fillId="0" borderId="38" xfId="1" applyFont="1" applyBorder="1" applyAlignment="1" applyProtection="1">
      <alignment horizontal="center"/>
      <protection locked="0"/>
    </xf>
    <xf numFmtId="0" fontId="10" fillId="0" borderId="28" xfId="1" applyFont="1" applyBorder="1" applyAlignment="1" applyProtection="1">
      <alignment horizontal="center"/>
      <protection locked="0"/>
    </xf>
    <xf numFmtId="0" fontId="4" fillId="0" borderId="39" xfId="0" applyFont="1" applyBorder="1" applyAlignment="1" applyProtection="1">
      <alignment horizontal="center" vertical="top" wrapText="1"/>
    </xf>
    <xf numFmtId="0" fontId="4" fillId="0" borderId="40" xfId="0" applyFont="1" applyBorder="1" applyAlignment="1" applyProtection="1">
      <alignment horizontal="center" vertical="top" wrapText="1"/>
    </xf>
    <xf numFmtId="0" fontId="4" fillId="0" borderId="31" xfId="0" applyFont="1" applyBorder="1" applyAlignment="1" applyProtection="1">
      <alignment horizontal="center" vertical="top" wrapText="1"/>
    </xf>
    <xf numFmtId="0" fontId="4" fillId="0" borderId="21" xfId="0" applyFont="1" applyBorder="1" applyAlignment="1" applyProtection="1">
      <alignment horizontal="center" vertical="top" wrapText="1"/>
    </xf>
    <xf numFmtId="0" fontId="4" fillId="0" borderId="22" xfId="0" applyFont="1" applyBorder="1" applyAlignment="1" applyProtection="1">
      <alignment horizontal="center" vertical="top" wrapText="1"/>
    </xf>
    <xf numFmtId="0" fontId="10" fillId="0" borderId="8" xfId="1" applyFont="1" applyBorder="1" applyAlignment="1" applyProtection="1">
      <alignment horizontal="center" vertical="center" wrapText="1"/>
    </xf>
    <xf numFmtId="0" fontId="10" fillId="0" borderId="38" xfId="1" applyFont="1" applyBorder="1" applyAlignment="1" applyProtection="1">
      <alignment horizontal="center" vertical="center" wrapText="1"/>
    </xf>
    <xf numFmtId="0" fontId="10" fillId="0" borderId="28" xfId="1" applyFont="1" applyBorder="1" applyAlignment="1" applyProtection="1">
      <alignment horizontal="center" vertical="center" wrapText="1"/>
    </xf>
    <xf numFmtId="0" fontId="10" fillId="0" borderId="31" xfId="1" applyFont="1" applyBorder="1" applyAlignment="1" applyProtection="1">
      <alignment horizontal="center" vertical="top"/>
    </xf>
    <xf numFmtId="0" fontId="10" fillId="0" borderId="21" xfId="1" applyFont="1" applyBorder="1" applyAlignment="1" applyProtection="1">
      <alignment horizontal="center" vertical="top"/>
    </xf>
    <xf numFmtId="0" fontId="10" fillId="0" borderId="22" xfId="1" applyFont="1" applyBorder="1" applyAlignment="1" applyProtection="1">
      <alignment horizontal="center" vertical="top"/>
    </xf>
    <xf numFmtId="0" fontId="10" fillId="0" borderId="31" xfId="1" applyFont="1" applyBorder="1" applyAlignment="1" applyProtection="1">
      <alignment horizontal="center" vertical="center" wrapText="1"/>
    </xf>
    <xf numFmtId="0" fontId="10" fillId="0" borderId="21" xfId="1" applyFont="1" applyBorder="1" applyAlignment="1" applyProtection="1">
      <alignment horizontal="center" vertical="center" wrapText="1"/>
    </xf>
    <xf numFmtId="0" fontId="10" fillId="0" borderId="22" xfId="1" applyFont="1" applyBorder="1" applyAlignment="1" applyProtection="1">
      <alignment horizontal="center" vertical="center" wrapText="1"/>
    </xf>
    <xf numFmtId="0" fontId="4" fillId="0" borderId="41" xfId="0" applyFont="1" applyFill="1" applyBorder="1" applyAlignment="1" applyProtection="1">
      <alignment horizontal="center" vertical="top" wrapText="1"/>
    </xf>
    <xf numFmtId="0" fontId="4" fillId="0" borderId="11" xfId="0" applyFont="1" applyFill="1" applyBorder="1" applyAlignment="1" applyProtection="1">
      <alignment horizontal="center" vertical="top" wrapText="1"/>
    </xf>
    <xf numFmtId="0" fontId="4" fillId="0" borderId="42" xfId="0" applyFont="1" applyFill="1" applyBorder="1" applyAlignment="1" applyProtection="1">
      <alignment horizontal="center" vertical="top" wrapText="1"/>
    </xf>
    <xf numFmtId="0" fontId="5" fillId="0" borderId="31" xfId="1" applyBorder="1" applyAlignment="1" applyProtection="1">
      <alignment horizontal="center" vertical="top" wrapText="1"/>
      <protection locked="0"/>
    </xf>
    <xf numFmtId="0" fontId="5" fillId="0" borderId="22" xfId="1" applyBorder="1" applyAlignment="1" applyProtection="1">
      <alignment horizontal="center" vertical="top" wrapText="1"/>
      <protection locked="0"/>
    </xf>
    <xf numFmtId="0" fontId="4" fillId="0" borderId="11" xfId="0" applyFont="1" applyFill="1" applyBorder="1" applyAlignment="1" applyProtection="1">
      <alignment horizontal="center" vertical="center"/>
    </xf>
    <xf numFmtId="0" fontId="4" fillId="0" borderId="43" xfId="0" applyFont="1" applyFill="1" applyBorder="1" applyAlignment="1" applyProtection="1">
      <alignment horizontal="center" vertical="center"/>
    </xf>
    <xf numFmtId="0" fontId="4" fillId="0" borderId="31" xfId="0" applyFont="1" applyBorder="1" applyAlignment="1" applyProtection="1">
      <alignment horizontal="center"/>
    </xf>
    <xf numFmtId="0" fontId="4" fillId="0" borderId="21" xfId="0" applyFont="1" applyBorder="1" applyAlignment="1" applyProtection="1">
      <alignment horizontal="center"/>
    </xf>
    <xf numFmtId="0" fontId="4" fillId="0" borderId="22" xfId="0" applyFont="1" applyBorder="1" applyAlignment="1" applyProtection="1">
      <alignment horizontal="center"/>
    </xf>
    <xf numFmtId="0" fontId="4" fillId="0" borderId="23" xfId="0" applyFont="1" applyFill="1" applyBorder="1" applyAlignment="1" applyProtection="1">
      <alignment horizontal="center" vertical="center"/>
    </xf>
    <xf numFmtId="0" fontId="7" fillId="0" borderId="8" xfId="0" applyFont="1" applyBorder="1" applyAlignment="1" applyProtection="1">
      <alignment horizontal="center" vertical="top"/>
      <protection locked="0"/>
    </xf>
    <xf numFmtId="0" fontId="7" fillId="0" borderId="38" xfId="0" applyFont="1" applyBorder="1" applyAlignment="1" applyProtection="1">
      <alignment horizontal="center" vertical="top"/>
      <protection locked="0"/>
    </xf>
    <xf numFmtId="0" fontId="7" fillId="0" borderId="28" xfId="0" applyFont="1" applyBorder="1" applyAlignment="1" applyProtection="1">
      <alignment horizontal="center" vertical="top"/>
      <protection locked="0"/>
    </xf>
    <xf numFmtId="0" fontId="1" fillId="0" borderId="2" xfId="0" applyFont="1" applyBorder="1" applyAlignment="1" applyProtection="1">
      <alignment horizontal="left" vertical="center" wrapText="1"/>
      <protection locked="0"/>
    </xf>
    <xf numFmtId="0" fontId="1" fillId="0" borderId="6" xfId="0" applyFont="1" applyBorder="1" applyAlignment="1" applyProtection="1">
      <alignment horizontal="left" vertical="center" wrapText="1"/>
      <protection locked="0"/>
    </xf>
    <xf numFmtId="0" fontId="1" fillId="0" borderId="5" xfId="0" applyFont="1" applyBorder="1" applyAlignment="1" applyProtection="1">
      <alignment horizontal="left" vertical="center" wrapText="1"/>
      <protection locked="0"/>
    </xf>
    <xf numFmtId="0" fontId="3" fillId="0" borderId="2" xfId="0" applyFont="1" applyBorder="1" applyAlignment="1" applyProtection="1">
      <alignment horizontal="center" vertical="top" wrapText="1"/>
      <protection locked="0"/>
    </xf>
    <xf numFmtId="0" fontId="3" fillId="0" borderId="6" xfId="0" applyFont="1" applyBorder="1" applyAlignment="1" applyProtection="1">
      <alignment horizontal="center" vertical="top" wrapText="1"/>
      <protection locked="0"/>
    </xf>
    <xf numFmtId="0" fontId="3" fillId="0" borderId="5" xfId="0" applyFont="1" applyBorder="1" applyAlignment="1" applyProtection="1">
      <alignment horizontal="center" vertical="top" wrapText="1"/>
      <protection locked="0"/>
    </xf>
    <xf numFmtId="164" fontId="0" fillId="0" borderId="2" xfId="0" applyNumberFormat="1" applyFill="1" applyBorder="1" applyAlignment="1" applyProtection="1">
      <alignment horizontal="center" vertical="center" wrapText="1"/>
      <protection locked="0"/>
    </xf>
    <xf numFmtId="164" fontId="0" fillId="0" borderId="6" xfId="0" applyNumberFormat="1" applyFill="1" applyBorder="1" applyAlignment="1" applyProtection="1">
      <alignment horizontal="center" vertical="center" wrapText="1"/>
      <protection locked="0"/>
    </xf>
    <xf numFmtId="164" fontId="0" fillId="0" borderId="5" xfId="0" applyNumberFormat="1" applyFill="1" applyBorder="1" applyAlignment="1" applyProtection="1">
      <alignment horizontal="center" vertical="center" wrapText="1"/>
      <protection locked="0"/>
    </xf>
    <xf numFmtId="0" fontId="4" fillId="0" borderId="8" xfId="0" applyFont="1" applyBorder="1" applyAlignment="1">
      <alignment horizontal="center" wrapText="1"/>
    </xf>
    <xf numFmtId="0" fontId="4" fillId="0" borderId="38" xfId="0" applyFont="1" applyBorder="1" applyAlignment="1">
      <alignment horizontal="center" wrapText="1"/>
    </xf>
    <xf numFmtId="0" fontId="4" fillId="0" borderId="28" xfId="0" applyFont="1" applyBorder="1" applyAlignment="1">
      <alignment horizontal="center" wrapText="1"/>
    </xf>
  </cellXfs>
  <cellStyles count="2">
    <cellStyle name="Hyperlink" xfId="1" builtinId="8"/>
    <cellStyle name="Normal" xfId="0" builtinId="0"/>
  </cellStyles>
  <dxfs count="326">
    <dxf>
      <font>
        <b/>
        <i val="0"/>
        <condense val="0"/>
        <extend val="0"/>
        <color indexed="8"/>
      </font>
    </dxf>
    <dxf>
      <font>
        <b/>
        <i val="0"/>
        <condense val="0"/>
        <extend val="0"/>
        <color indexed="10"/>
      </font>
    </dxf>
    <dxf>
      <font>
        <b/>
        <i val="0"/>
        <condense val="0"/>
        <extend val="0"/>
        <color indexed="17"/>
      </font>
    </dxf>
    <dxf>
      <font>
        <b/>
        <i val="0"/>
        <condense val="0"/>
        <extend val="0"/>
        <color indexed="8"/>
      </font>
    </dxf>
    <dxf>
      <font>
        <b/>
        <i val="0"/>
        <condense val="0"/>
        <extend val="0"/>
        <color indexed="10"/>
      </font>
    </dxf>
    <dxf>
      <font>
        <b/>
        <i val="0"/>
        <condense val="0"/>
        <extend val="0"/>
        <color indexed="17"/>
      </font>
    </dxf>
    <dxf>
      <font>
        <b/>
        <i val="0"/>
        <condense val="0"/>
        <extend val="0"/>
        <color indexed="8"/>
      </font>
    </dxf>
    <dxf>
      <font>
        <b/>
        <i val="0"/>
        <condense val="0"/>
        <extend val="0"/>
        <color indexed="10"/>
      </font>
    </dxf>
    <dxf>
      <font>
        <b/>
        <i val="0"/>
        <condense val="0"/>
        <extend val="0"/>
        <color indexed="17"/>
      </font>
    </dxf>
    <dxf>
      <font>
        <b/>
        <i val="0"/>
        <condense val="0"/>
        <extend val="0"/>
        <color indexed="8"/>
      </font>
    </dxf>
    <dxf>
      <font>
        <b/>
        <i val="0"/>
        <condense val="0"/>
        <extend val="0"/>
        <color indexed="10"/>
      </font>
    </dxf>
    <dxf>
      <font>
        <b/>
        <i val="0"/>
        <condense val="0"/>
        <extend val="0"/>
        <color indexed="17"/>
      </font>
    </dxf>
    <dxf>
      <font>
        <b/>
        <i val="0"/>
        <condense val="0"/>
        <extend val="0"/>
        <color indexed="8"/>
      </font>
    </dxf>
    <dxf>
      <font>
        <b/>
        <i val="0"/>
        <condense val="0"/>
        <extend val="0"/>
        <color indexed="10"/>
      </font>
    </dxf>
    <dxf>
      <font>
        <b/>
        <i val="0"/>
        <condense val="0"/>
        <extend val="0"/>
        <color indexed="17"/>
      </font>
    </dxf>
    <dxf>
      <font>
        <b/>
        <i val="0"/>
        <condense val="0"/>
        <extend val="0"/>
        <color indexed="8"/>
      </font>
    </dxf>
    <dxf>
      <font>
        <b/>
        <i val="0"/>
        <condense val="0"/>
        <extend val="0"/>
        <color indexed="10"/>
      </font>
    </dxf>
    <dxf>
      <font>
        <b/>
        <i val="0"/>
        <condense val="0"/>
        <extend val="0"/>
        <color indexed="17"/>
      </font>
    </dxf>
    <dxf>
      <font>
        <b/>
        <i val="0"/>
        <condense val="0"/>
        <extend val="0"/>
        <color indexed="8"/>
      </font>
    </dxf>
    <dxf>
      <font>
        <b/>
        <i val="0"/>
        <condense val="0"/>
        <extend val="0"/>
        <color indexed="10"/>
      </font>
    </dxf>
    <dxf>
      <font>
        <b/>
        <i val="0"/>
        <condense val="0"/>
        <extend val="0"/>
        <color indexed="17"/>
      </font>
    </dxf>
    <dxf>
      <font>
        <b/>
        <i val="0"/>
        <condense val="0"/>
        <extend val="0"/>
        <color indexed="8"/>
      </font>
    </dxf>
    <dxf>
      <font>
        <b/>
        <i val="0"/>
        <condense val="0"/>
        <extend val="0"/>
        <color indexed="10"/>
      </font>
    </dxf>
    <dxf>
      <font>
        <b/>
        <i val="0"/>
        <condense val="0"/>
        <extend val="0"/>
        <color indexed="17"/>
      </font>
    </dxf>
    <dxf>
      <font>
        <b/>
        <i val="0"/>
        <condense val="0"/>
        <extend val="0"/>
        <color indexed="8"/>
      </font>
    </dxf>
    <dxf>
      <font>
        <b/>
        <i val="0"/>
        <condense val="0"/>
        <extend val="0"/>
        <color indexed="10"/>
      </font>
    </dxf>
    <dxf>
      <font>
        <b/>
        <i val="0"/>
        <condense val="0"/>
        <extend val="0"/>
        <color indexed="17"/>
      </font>
    </dxf>
    <dxf>
      <font>
        <b/>
        <i val="0"/>
        <condense val="0"/>
        <extend val="0"/>
        <color indexed="8"/>
      </font>
    </dxf>
    <dxf>
      <font>
        <b/>
        <i val="0"/>
        <condense val="0"/>
        <extend val="0"/>
        <color indexed="10"/>
      </font>
    </dxf>
    <dxf>
      <font>
        <b/>
        <i val="0"/>
        <condense val="0"/>
        <extend val="0"/>
        <color indexed="17"/>
      </font>
    </dxf>
    <dxf>
      <font>
        <b/>
        <i val="0"/>
        <condense val="0"/>
        <extend val="0"/>
        <color indexed="8"/>
      </font>
    </dxf>
    <dxf>
      <font>
        <b/>
        <i val="0"/>
        <condense val="0"/>
        <extend val="0"/>
        <color indexed="10"/>
      </font>
    </dxf>
    <dxf>
      <font>
        <b/>
        <i val="0"/>
        <condense val="0"/>
        <extend val="0"/>
        <color indexed="17"/>
      </font>
    </dxf>
    <dxf>
      <font>
        <b/>
        <i val="0"/>
        <condense val="0"/>
        <extend val="0"/>
        <color indexed="8"/>
      </font>
    </dxf>
    <dxf>
      <font>
        <b/>
        <i val="0"/>
        <condense val="0"/>
        <extend val="0"/>
        <color indexed="10"/>
      </font>
    </dxf>
    <dxf>
      <font>
        <b/>
        <i val="0"/>
        <condense val="0"/>
        <extend val="0"/>
        <color indexed="17"/>
      </font>
    </dxf>
    <dxf>
      <font>
        <b/>
        <i val="0"/>
        <condense val="0"/>
        <extend val="0"/>
        <color indexed="8"/>
      </font>
    </dxf>
    <dxf>
      <font>
        <b/>
        <i val="0"/>
        <condense val="0"/>
        <extend val="0"/>
        <color indexed="10"/>
      </font>
    </dxf>
    <dxf>
      <font>
        <b/>
        <i val="0"/>
        <condense val="0"/>
        <extend val="0"/>
        <color indexed="17"/>
      </font>
    </dxf>
    <dxf>
      <font>
        <b/>
        <i val="0"/>
        <condense val="0"/>
        <extend val="0"/>
        <color indexed="8"/>
      </font>
    </dxf>
    <dxf>
      <font>
        <b/>
        <i val="0"/>
        <condense val="0"/>
        <extend val="0"/>
        <color indexed="10"/>
      </font>
    </dxf>
    <dxf>
      <font>
        <b/>
        <i val="0"/>
        <condense val="0"/>
        <extend val="0"/>
        <color indexed="17"/>
      </font>
    </dxf>
    <dxf>
      <font>
        <b/>
        <i val="0"/>
        <condense val="0"/>
        <extend val="0"/>
        <color indexed="8"/>
      </font>
    </dxf>
    <dxf>
      <font>
        <b/>
        <i val="0"/>
        <condense val="0"/>
        <extend val="0"/>
        <color indexed="10"/>
      </font>
    </dxf>
    <dxf>
      <font>
        <b/>
        <i val="0"/>
        <condense val="0"/>
        <extend val="0"/>
        <color indexed="17"/>
      </font>
    </dxf>
    <dxf>
      <font>
        <b/>
        <i val="0"/>
        <condense val="0"/>
        <extend val="0"/>
        <color indexed="8"/>
      </font>
    </dxf>
    <dxf>
      <font>
        <b/>
        <i val="0"/>
        <condense val="0"/>
        <extend val="0"/>
        <color indexed="10"/>
      </font>
    </dxf>
    <dxf>
      <font>
        <b/>
        <i val="0"/>
        <condense val="0"/>
        <extend val="0"/>
        <color indexed="17"/>
      </font>
    </dxf>
    <dxf>
      <font>
        <b/>
        <i val="0"/>
        <condense val="0"/>
        <extend val="0"/>
        <color indexed="8"/>
      </font>
    </dxf>
    <dxf>
      <font>
        <b/>
        <i val="0"/>
        <condense val="0"/>
        <extend val="0"/>
        <color indexed="10"/>
      </font>
    </dxf>
    <dxf>
      <font>
        <b/>
        <i val="0"/>
        <condense val="0"/>
        <extend val="0"/>
        <color indexed="17"/>
      </font>
    </dxf>
    <dxf>
      <font>
        <b/>
        <i val="0"/>
        <condense val="0"/>
        <extend val="0"/>
        <color indexed="8"/>
      </font>
    </dxf>
    <dxf>
      <font>
        <b/>
        <i val="0"/>
        <condense val="0"/>
        <extend val="0"/>
        <color indexed="10"/>
      </font>
    </dxf>
    <dxf>
      <font>
        <b/>
        <i val="0"/>
        <condense val="0"/>
        <extend val="0"/>
        <color indexed="17"/>
      </font>
    </dxf>
    <dxf>
      <font>
        <b/>
        <i val="0"/>
        <condense val="0"/>
        <extend val="0"/>
        <color indexed="8"/>
      </font>
    </dxf>
    <dxf>
      <font>
        <b/>
        <i val="0"/>
        <condense val="0"/>
        <extend val="0"/>
        <color indexed="10"/>
      </font>
    </dxf>
    <dxf>
      <font>
        <b/>
        <i val="0"/>
        <condense val="0"/>
        <extend val="0"/>
        <color indexed="17"/>
      </font>
    </dxf>
    <dxf>
      <font>
        <b/>
        <i val="0"/>
        <condense val="0"/>
        <extend val="0"/>
        <color indexed="8"/>
      </font>
    </dxf>
    <dxf>
      <font>
        <b/>
        <i val="0"/>
        <condense val="0"/>
        <extend val="0"/>
        <color indexed="10"/>
      </font>
    </dxf>
    <dxf>
      <font>
        <b/>
        <i val="0"/>
        <condense val="0"/>
        <extend val="0"/>
        <color indexed="17"/>
      </font>
    </dxf>
    <dxf>
      <font>
        <b/>
        <i val="0"/>
        <condense val="0"/>
        <extend val="0"/>
        <color indexed="8"/>
      </font>
    </dxf>
    <dxf>
      <font>
        <b/>
        <i val="0"/>
        <condense val="0"/>
        <extend val="0"/>
        <color indexed="10"/>
      </font>
    </dxf>
    <dxf>
      <font>
        <b/>
        <i val="0"/>
        <condense val="0"/>
        <extend val="0"/>
        <color indexed="17"/>
      </font>
    </dxf>
    <dxf>
      <font>
        <b/>
        <i val="0"/>
        <condense val="0"/>
        <extend val="0"/>
        <color indexed="8"/>
      </font>
    </dxf>
    <dxf>
      <font>
        <b/>
        <i val="0"/>
        <condense val="0"/>
        <extend val="0"/>
        <color indexed="10"/>
      </font>
    </dxf>
    <dxf>
      <font>
        <b/>
        <i val="0"/>
        <condense val="0"/>
        <extend val="0"/>
        <color indexed="17"/>
      </font>
    </dxf>
    <dxf>
      <font>
        <b/>
        <i val="0"/>
        <condense val="0"/>
        <extend val="0"/>
        <color indexed="8"/>
      </font>
    </dxf>
    <dxf>
      <font>
        <b/>
        <i val="0"/>
        <condense val="0"/>
        <extend val="0"/>
        <color indexed="10"/>
      </font>
    </dxf>
    <dxf>
      <font>
        <b/>
        <i val="0"/>
        <condense val="0"/>
        <extend val="0"/>
        <color indexed="17"/>
      </font>
    </dxf>
    <dxf>
      <font>
        <b/>
        <i val="0"/>
        <condense val="0"/>
        <extend val="0"/>
        <color indexed="8"/>
      </font>
    </dxf>
    <dxf>
      <font>
        <b/>
        <i val="0"/>
        <condense val="0"/>
        <extend val="0"/>
        <color indexed="10"/>
      </font>
    </dxf>
    <dxf>
      <font>
        <b/>
        <i val="0"/>
        <condense val="0"/>
        <extend val="0"/>
        <color indexed="17"/>
      </font>
    </dxf>
    <dxf>
      <font>
        <b/>
        <i val="0"/>
        <condense val="0"/>
        <extend val="0"/>
        <color indexed="8"/>
      </font>
    </dxf>
    <dxf>
      <font>
        <b/>
        <i val="0"/>
        <condense val="0"/>
        <extend val="0"/>
        <color indexed="10"/>
      </font>
    </dxf>
    <dxf>
      <font>
        <b/>
        <i val="0"/>
        <condense val="0"/>
        <extend val="0"/>
        <color indexed="17"/>
      </font>
    </dxf>
    <dxf>
      <font>
        <b/>
        <i val="0"/>
        <condense val="0"/>
        <extend val="0"/>
        <color indexed="8"/>
      </font>
    </dxf>
    <dxf>
      <font>
        <b/>
        <i val="0"/>
        <condense val="0"/>
        <extend val="0"/>
        <color indexed="10"/>
      </font>
    </dxf>
    <dxf>
      <font>
        <b/>
        <i val="0"/>
        <condense val="0"/>
        <extend val="0"/>
        <color indexed="17"/>
      </font>
    </dxf>
    <dxf>
      <font>
        <b/>
        <i val="0"/>
        <condense val="0"/>
        <extend val="0"/>
        <color indexed="8"/>
      </font>
    </dxf>
    <dxf>
      <font>
        <b/>
        <i val="0"/>
        <condense val="0"/>
        <extend val="0"/>
        <color indexed="10"/>
      </font>
    </dxf>
    <dxf>
      <font>
        <b/>
        <i val="0"/>
        <condense val="0"/>
        <extend val="0"/>
        <color indexed="17"/>
      </font>
    </dxf>
    <dxf>
      <font>
        <b/>
        <i val="0"/>
        <condense val="0"/>
        <extend val="0"/>
        <color indexed="8"/>
      </font>
    </dxf>
    <dxf>
      <font>
        <b/>
        <i val="0"/>
        <condense val="0"/>
        <extend val="0"/>
        <color indexed="10"/>
      </font>
    </dxf>
    <dxf>
      <font>
        <b/>
        <i val="0"/>
        <condense val="0"/>
        <extend val="0"/>
        <color indexed="17"/>
      </font>
    </dxf>
    <dxf>
      <font>
        <b/>
        <i val="0"/>
        <condense val="0"/>
        <extend val="0"/>
        <color indexed="8"/>
      </font>
    </dxf>
    <dxf>
      <font>
        <b/>
        <i val="0"/>
        <condense val="0"/>
        <extend val="0"/>
        <color indexed="10"/>
      </font>
    </dxf>
    <dxf>
      <font>
        <b/>
        <i val="0"/>
        <condense val="0"/>
        <extend val="0"/>
        <color indexed="17"/>
      </font>
    </dxf>
    <dxf>
      <font>
        <b/>
        <i val="0"/>
        <condense val="0"/>
        <extend val="0"/>
        <color indexed="8"/>
      </font>
    </dxf>
    <dxf>
      <font>
        <b/>
        <i val="0"/>
        <condense val="0"/>
        <extend val="0"/>
        <color indexed="10"/>
      </font>
    </dxf>
    <dxf>
      <font>
        <b/>
        <i val="0"/>
        <condense val="0"/>
        <extend val="0"/>
        <color indexed="17"/>
      </font>
    </dxf>
    <dxf>
      <font>
        <b/>
        <i val="0"/>
        <condense val="0"/>
        <extend val="0"/>
        <color indexed="8"/>
      </font>
    </dxf>
    <dxf>
      <font>
        <b/>
        <i val="0"/>
        <condense val="0"/>
        <extend val="0"/>
        <color indexed="10"/>
      </font>
    </dxf>
    <dxf>
      <font>
        <b/>
        <i val="0"/>
        <condense val="0"/>
        <extend val="0"/>
        <color indexed="17"/>
      </font>
    </dxf>
    <dxf>
      <font>
        <b/>
        <i val="0"/>
        <condense val="0"/>
        <extend val="0"/>
        <color indexed="8"/>
      </font>
    </dxf>
    <dxf>
      <font>
        <b/>
        <i val="0"/>
        <condense val="0"/>
        <extend val="0"/>
        <color indexed="10"/>
      </font>
    </dxf>
    <dxf>
      <font>
        <b/>
        <i val="0"/>
        <condense val="0"/>
        <extend val="0"/>
        <color indexed="17"/>
      </font>
    </dxf>
    <dxf>
      <font>
        <b/>
        <i val="0"/>
        <condense val="0"/>
        <extend val="0"/>
        <color indexed="8"/>
      </font>
    </dxf>
    <dxf>
      <font>
        <b/>
        <i val="0"/>
        <condense val="0"/>
        <extend val="0"/>
        <color indexed="10"/>
      </font>
    </dxf>
    <dxf>
      <font>
        <b/>
        <i val="0"/>
        <condense val="0"/>
        <extend val="0"/>
        <color indexed="17"/>
      </font>
    </dxf>
    <dxf>
      <font>
        <b/>
        <i val="0"/>
        <condense val="0"/>
        <extend val="0"/>
        <color indexed="8"/>
      </font>
    </dxf>
    <dxf>
      <font>
        <b/>
        <i val="0"/>
        <condense val="0"/>
        <extend val="0"/>
        <color indexed="10"/>
      </font>
    </dxf>
    <dxf>
      <font>
        <b/>
        <i val="0"/>
        <condense val="0"/>
        <extend val="0"/>
        <color indexed="17"/>
      </font>
    </dxf>
    <dxf>
      <font>
        <b/>
        <i val="0"/>
        <condense val="0"/>
        <extend val="0"/>
        <color indexed="8"/>
      </font>
    </dxf>
    <dxf>
      <font>
        <b/>
        <i val="0"/>
        <condense val="0"/>
        <extend val="0"/>
        <color indexed="10"/>
      </font>
    </dxf>
    <dxf>
      <font>
        <b/>
        <i val="0"/>
        <condense val="0"/>
        <extend val="0"/>
        <color indexed="17"/>
      </font>
    </dxf>
    <dxf>
      <font>
        <b/>
        <i val="0"/>
        <condense val="0"/>
        <extend val="0"/>
        <color indexed="8"/>
      </font>
    </dxf>
    <dxf>
      <font>
        <b/>
        <i val="0"/>
        <condense val="0"/>
        <extend val="0"/>
        <color indexed="10"/>
      </font>
    </dxf>
    <dxf>
      <font>
        <b/>
        <i val="0"/>
        <condense val="0"/>
        <extend val="0"/>
        <color indexed="17"/>
      </font>
    </dxf>
    <dxf>
      <font>
        <b/>
        <i val="0"/>
        <condense val="0"/>
        <extend val="0"/>
        <color indexed="8"/>
      </font>
    </dxf>
    <dxf>
      <font>
        <b/>
        <i val="0"/>
        <condense val="0"/>
        <extend val="0"/>
        <color indexed="10"/>
      </font>
    </dxf>
    <dxf>
      <font>
        <b/>
        <i val="0"/>
        <condense val="0"/>
        <extend val="0"/>
        <color indexed="17"/>
      </font>
    </dxf>
    <dxf>
      <font>
        <b/>
        <i val="0"/>
        <condense val="0"/>
        <extend val="0"/>
        <color indexed="8"/>
      </font>
    </dxf>
    <dxf>
      <font>
        <b/>
        <i val="0"/>
        <condense val="0"/>
        <extend val="0"/>
        <color indexed="10"/>
      </font>
    </dxf>
    <dxf>
      <font>
        <b/>
        <i val="0"/>
        <condense val="0"/>
        <extend val="0"/>
        <color indexed="17"/>
      </font>
    </dxf>
    <dxf>
      <font>
        <b/>
        <i val="0"/>
        <condense val="0"/>
        <extend val="0"/>
        <color indexed="8"/>
      </font>
    </dxf>
    <dxf>
      <font>
        <b/>
        <i val="0"/>
        <condense val="0"/>
        <extend val="0"/>
        <color indexed="10"/>
      </font>
    </dxf>
    <dxf>
      <font>
        <b/>
        <i val="0"/>
        <condense val="0"/>
        <extend val="0"/>
        <color indexed="17"/>
      </font>
    </dxf>
    <dxf>
      <font>
        <b/>
        <i val="0"/>
        <condense val="0"/>
        <extend val="0"/>
        <color indexed="8"/>
      </font>
    </dxf>
    <dxf>
      <font>
        <b/>
        <i val="0"/>
        <condense val="0"/>
        <extend val="0"/>
        <color indexed="10"/>
      </font>
    </dxf>
    <dxf>
      <font>
        <b/>
        <i val="0"/>
        <condense val="0"/>
        <extend val="0"/>
        <color indexed="17"/>
      </font>
    </dxf>
    <dxf>
      <font>
        <b/>
        <i val="0"/>
        <condense val="0"/>
        <extend val="0"/>
        <color indexed="8"/>
      </font>
    </dxf>
    <dxf>
      <font>
        <b/>
        <i val="0"/>
        <condense val="0"/>
        <extend val="0"/>
        <color indexed="10"/>
      </font>
    </dxf>
    <dxf>
      <font>
        <b/>
        <i val="0"/>
        <condense val="0"/>
        <extend val="0"/>
        <color indexed="17"/>
      </font>
    </dxf>
    <dxf>
      <font>
        <b/>
        <i val="0"/>
        <condense val="0"/>
        <extend val="0"/>
        <color indexed="8"/>
      </font>
    </dxf>
    <dxf>
      <font>
        <b/>
        <i val="0"/>
        <condense val="0"/>
        <extend val="0"/>
        <color indexed="10"/>
      </font>
    </dxf>
    <dxf>
      <font>
        <b/>
        <i val="0"/>
        <condense val="0"/>
        <extend val="0"/>
        <color indexed="17"/>
      </font>
    </dxf>
    <dxf>
      <font>
        <b/>
        <i val="0"/>
        <condense val="0"/>
        <extend val="0"/>
        <color indexed="8"/>
      </font>
    </dxf>
    <dxf>
      <font>
        <b/>
        <i val="0"/>
        <condense val="0"/>
        <extend val="0"/>
        <color indexed="10"/>
      </font>
    </dxf>
    <dxf>
      <font>
        <b/>
        <i val="0"/>
        <condense val="0"/>
        <extend val="0"/>
        <color indexed="17"/>
      </font>
    </dxf>
    <dxf>
      <font>
        <b/>
        <i val="0"/>
        <condense val="0"/>
        <extend val="0"/>
        <color indexed="8"/>
      </font>
    </dxf>
    <dxf>
      <font>
        <b/>
        <i val="0"/>
        <condense val="0"/>
        <extend val="0"/>
        <color indexed="10"/>
      </font>
    </dxf>
    <dxf>
      <font>
        <b/>
        <i val="0"/>
        <condense val="0"/>
        <extend val="0"/>
        <color indexed="17"/>
      </font>
    </dxf>
    <dxf>
      <font>
        <b/>
        <i val="0"/>
        <condense val="0"/>
        <extend val="0"/>
        <color indexed="8"/>
      </font>
    </dxf>
    <dxf>
      <font>
        <b/>
        <i val="0"/>
        <condense val="0"/>
        <extend val="0"/>
        <color indexed="10"/>
      </font>
    </dxf>
    <dxf>
      <font>
        <b/>
        <i val="0"/>
        <condense val="0"/>
        <extend val="0"/>
        <color indexed="17"/>
      </font>
    </dxf>
    <dxf>
      <font>
        <b/>
        <i val="0"/>
        <condense val="0"/>
        <extend val="0"/>
        <color indexed="8"/>
      </font>
    </dxf>
    <dxf>
      <font>
        <b/>
        <i val="0"/>
        <condense val="0"/>
        <extend val="0"/>
        <color indexed="10"/>
      </font>
    </dxf>
    <dxf>
      <font>
        <b/>
        <i val="0"/>
        <condense val="0"/>
        <extend val="0"/>
        <color indexed="17"/>
      </font>
    </dxf>
    <dxf>
      <font>
        <b/>
        <i val="0"/>
        <condense val="0"/>
        <extend val="0"/>
        <color indexed="8"/>
      </font>
    </dxf>
    <dxf>
      <font>
        <b/>
        <i val="0"/>
        <condense val="0"/>
        <extend val="0"/>
        <color indexed="10"/>
      </font>
    </dxf>
    <dxf>
      <font>
        <b/>
        <i val="0"/>
        <condense val="0"/>
        <extend val="0"/>
        <color indexed="17"/>
      </font>
    </dxf>
    <dxf>
      <font>
        <b/>
        <i val="0"/>
        <condense val="0"/>
        <extend val="0"/>
        <color indexed="8"/>
      </font>
    </dxf>
    <dxf>
      <font>
        <b/>
        <i val="0"/>
        <condense val="0"/>
        <extend val="0"/>
        <color indexed="10"/>
      </font>
    </dxf>
    <dxf>
      <font>
        <b/>
        <i val="0"/>
        <condense val="0"/>
        <extend val="0"/>
        <color indexed="17"/>
      </font>
    </dxf>
    <dxf>
      <font>
        <b/>
        <i val="0"/>
        <condense val="0"/>
        <extend val="0"/>
        <color indexed="8"/>
      </font>
    </dxf>
    <dxf>
      <font>
        <b/>
        <i val="0"/>
        <condense val="0"/>
        <extend val="0"/>
        <color indexed="10"/>
      </font>
    </dxf>
    <dxf>
      <font>
        <b/>
        <i val="0"/>
        <condense val="0"/>
        <extend val="0"/>
        <color indexed="17"/>
      </font>
    </dxf>
    <dxf>
      <font>
        <b/>
        <i val="0"/>
        <condense val="0"/>
        <extend val="0"/>
        <color indexed="8"/>
      </font>
    </dxf>
    <dxf>
      <font>
        <b/>
        <i val="0"/>
        <condense val="0"/>
        <extend val="0"/>
        <color indexed="10"/>
      </font>
    </dxf>
    <dxf>
      <font>
        <b/>
        <i val="0"/>
        <condense val="0"/>
        <extend val="0"/>
        <color indexed="17"/>
      </font>
    </dxf>
    <dxf>
      <font>
        <b/>
        <i val="0"/>
        <condense val="0"/>
        <extend val="0"/>
        <color indexed="8"/>
      </font>
    </dxf>
    <dxf>
      <font>
        <b/>
        <i val="0"/>
        <condense val="0"/>
        <extend val="0"/>
        <color indexed="10"/>
      </font>
    </dxf>
    <dxf>
      <font>
        <b/>
        <i val="0"/>
        <condense val="0"/>
        <extend val="0"/>
        <color indexed="17"/>
      </font>
    </dxf>
    <dxf>
      <font>
        <b/>
        <i val="0"/>
        <condense val="0"/>
        <extend val="0"/>
        <color indexed="8"/>
      </font>
    </dxf>
    <dxf>
      <font>
        <b/>
        <i val="0"/>
        <condense val="0"/>
        <extend val="0"/>
        <color indexed="10"/>
      </font>
    </dxf>
    <dxf>
      <font>
        <b/>
        <i val="0"/>
        <condense val="0"/>
        <extend val="0"/>
        <color indexed="17"/>
      </font>
    </dxf>
    <dxf>
      <font>
        <b/>
        <i val="0"/>
        <condense val="0"/>
        <extend val="0"/>
        <color indexed="8"/>
      </font>
    </dxf>
    <dxf>
      <font>
        <b/>
        <i val="0"/>
        <condense val="0"/>
        <extend val="0"/>
        <color indexed="10"/>
      </font>
    </dxf>
    <dxf>
      <font>
        <b/>
        <i val="0"/>
        <condense val="0"/>
        <extend val="0"/>
        <color indexed="17"/>
      </font>
    </dxf>
    <dxf>
      <font>
        <b/>
        <i val="0"/>
        <condense val="0"/>
        <extend val="0"/>
        <color indexed="8"/>
      </font>
    </dxf>
    <dxf>
      <font>
        <b/>
        <i val="0"/>
        <condense val="0"/>
        <extend val="0"/>
        <color indexed="10"/>
      </font>
    </dxf>
    <dxf>
      <font>
        <b/>
        <i val="0"/>
        <condense val="0"/>
        <extend val="0"/>
        <color indexed="17"/>
      </font>
    </dxf>
    <dxf>
      <font>
        <b/>
        <i val="0"/>
        <condense val="0"/>
        <extend val="0"/>
        <color indexed="8"/>
      </font>
    </dxf>
    <dxf>
      <font>
        <b/>
        <i val="0"/>
        <condense val="0"/>
        <extend val="0"/>
        <color indexed="10"/>
      </font>
    </dxf>
    <dxf>
      <font>
        <b/>
        <i val="0"/>
        <condense val="0"/>
        <extend val="0"/>
        <color indexed="17"/>
      </font>
    </dxf>
    <dxf>
      <font>
        <b/>
        <i val="0"/>
        <condense val="0"/>
        <extend val="0"/>
        <color indexed="8"/>
      </font>
    </dxf>
    <dxf>
      <font>
        <b/>
        <i val="0"/>
        <condense val="0"/>
        <extend val="0"/>
        <color indexed="10"/>
      </font>
    </dxf>
    <dxf>
      <font>
        <b/>
        <i val="0"/>
        <condense val="0"/>
        <extend val="0"/>
        <color indexed="17"/>
      </font>
    </dxf>
    <dxf>
      <font>
        <b/>
        <i val="0"/>
        <condense val="0"/>
        <extend val="0"/>
        <color indexed="8"/>
      </font>
    </dxf>
    <dxf>
      <font>
        <b/>
        <i val="0"/>
        <condense val="0"/>
        <extend val="0"/>
        <color indexed="10"/>
      </font>
    </dxf>
    <dxf>
      <font>
        <b/>
        <i val="0"/>
        <condense val="0"/>
        <extend val="0"/>
        <color indexed="17"/>
      </font>
    </dxf>
    <dxf>
      <font>
        <b/>
        <i val="0"/>
        <condense val="0"/>
        <extend val="0"/>
        <color indexed="8"/>
      </font>
    </dxf>
    <dxf>
      <font>
        <b/>
        <i val="0"/>
        <condense val="0"/>
        <extend val="0"/>
        <color indexed="10"/>
      </font>
    </dxf>
    <dxf>
      <font>
        <b/>
        <i val="0"/>
        <condense val="0"/>
        <extend val="0"/>
        <color indexed="17"/>
      </font>
    </dxf>
    <dxf>
      <font>
        <b/>
        <i val="0"/>
        <condense val="0"/>
        <extend val="0"/>
        <color indexed="8"/>
      </font>
    </dxf>
    <dxf>
      <font>
        <b/>
        <i val="0"/>
        <condense val="0"/>
        <extend val="0"/>
        <color indexed="10"/>
      </font>
    </dxf>
    <dxf>
      <font>
        <b/>
        <i val="0"/>
        <condense val="0"/>
        <extend val="0"/>
        <color indexed="17"/>
      </font>
    </dxf>
    <dxf>
      <font>
        <b/>
        <i val="0"/>
        <condense val="0"/>
        <extend val="0"/>
        <color indexed="8"/>
      </font>
    </dxf>
    <dxf>
      <font>
        <b/>
        <i val="0"/>
        <condense val="0"/>
        <extend val="0"/>
        <color indexed="10"/>
      </font>
    </dxf>
    <dxf>
      <font>
        <b/>
        <i val="0"/>
        <condense val="0"/>
        <extend val="0"/>
        <color indexed="17"/>
      </font>
    </dxf>
    <dxf>
      <font>
        <b/>
        <i val="0"/>
        <condense val="0"/>
        <extend val="0"/>
        <color indexed="8"/>
      </font>
    </dxf>
    <dxf>
      <font>
        <b/>
        <i val="0"/>
        <condense val="0"/>
        <extend val="0"/>
        <color indexed="10"/>
      </font>
    </dxf>
    <dxf>
      <font>
        <b/>
        <i val="0"/>
        <condense val="0"/>
        <extend val="0"/>
        <color indexed="17"/>
      </font>
    </dxf>
    <dxf>
      <font>
        <b/>
        <i val="0"/>
        <condense val="0"/>
        <extend val="0"/>
        <color indexed="8"/>
      </font>
    </dxf>
    <dxf>
      <font>
        <b/>
        <i val="0"/>
        <condense val="0"/>
        <extend val="0"/>
        <color indexed="10"/>
      </font>
    </dxf>
    <dxf>
      <font>
        <b/>
        <i val="0"/>
        <condense val="0"/>
        <extend val="0"/>
        <color indexed="17"/>
      </font>
    </dxf>
    <dxf>
      <font>
        <b/>
        <i val="0"/>
        <condense val="0"/>
        <extend val="0"/>
        <color indexed="8"/>
      </font>
    </dxf>
    <dxf>
      <font>
        <b/>
        <i val="0"/>
        <condense val="0"/>
        <extend val="0"/>
        <color indexed="10"/>
      </font>
    </dxf>
    <dxf>
      <font>
        <b/>
        <i val="0"/>
        <condense val="0"/>
        <extend val="0"/>
        <color indexed="17"/>
      </font>
    </dxf>
    <dxf>
      <font>
        <b/>
        <i val="0"/>
        <condense val="0"/>
        <extend val="0"/>
        <color indexed="8"/>
      </font>
    </dxf>
    <dxf>
      <font>
        <b/>
        <i val="0"/>
        <condense val="0"/>
        <extend val="0"/>
        <color indexed="10"/>
      </font>
    </dxf>
    <dxf>
      <font>
        <b/>
        <i val="0"/>
        <condense val="0"/>
        <extend val="0"/>
        <color indexed="17"/>
      </font>
    </dxf>
    <dxf>
      <font>
        <b/>
        <i val="0"/>
        <condense val="0"/>
        <extend val="0"/>
        <color indexed="8"/>
      </font>
    </dxf>
    <dxf>
      <font>
        <b/>
        <i val="0"/>
        <condense val="0"/>
        <extend val="0"/>
        <color indexed="10"/>
      </font>
    </dxf>
    <dxf>
      <font>
        <b/>
        <i val="0"/>
        <condense val="0"/>
        <extend val="0"/>
        <color indexed="17"/>
      </font>
    </dxf>
    <dxf>
      <font>
        <b/>
        <i val="0"/>
        <condense val="0"/>
        <extend val="0"/>
        <color indexed="8"/>
      </font>
    </dxf>
    <dxf>
      <font>
        <b/>
        <i val="0"/>
        <condense val="0"/>
        <extend val="0"/>
        <color indexed="10"/>
      </font>
    </dxf>
    <dxf>
      <font>
        <b/>
        <i val="0"/>
        <condense val="0"/>
        <extend val="0"/>
        <color indexed="17"/>
      </font>
    </dxf>
    <dxf>
      <font>
        <b/>
        <i val="0"/>
        <condense val="0"/>
        <extend val="0"/>
        <color indexed="8"/>
      </font>
    </dxf>
    <dxf>
      <font>
        <b/>
        <i val="0"/>
        <condense val="0"/>
        <extend val="0"/>
        <color indexed="10"/>
      </font>
    </dxf>
    <dxf>
      <font>
        <b/>
        <i val="0"/>
        <condense val="0"/>
        <extend val="0"/>
        <color indexed="17"/>
      </font>
    </dxf>
    <dxf>
      <font>
        <b/>
        <i val="0"/>
        <condense val="0"/>
        <extend val="0"/>
        <color indexed="8"/>
      </font>
    </dxf>
    <dxf>
      <font>
        <b/>
        <i val="0"/>
        <condense val="0"/>
        <extend val="0"/>
        <color indexed="10"/>
      </font>
    </dxf>
    <dxf>
      <font>
        <b/>
        <i val="0"/>
        <condense val="0"/>
        <extend val="0"/>
        <color indexed="17"/>
      </font>
    </dxf>
    <dxf>
      <font>
        <b/>
        <i val="0"/>
        <condense val="0"/>
        <extend val="0"/>
        <color indexed="8"/>
      </font>
    </dxf>
    <dxf>
      <font>
        <b/>
        <i val="0"/>
        <condense val="0"/>
        <extend val="0"/>
        <color indexed="10"/>
      </font>
    </dxf>
    <dxf>
      <font>
        <b/>
        <i val="0"/>
        <condense val="0"/>
        <extend val="0"/>
        <color indexed="17"/>
      </font>
    </dxf>
    <dxf>
      <font>
        <b/>
        <i val="0"/>
        <condense val="0"/>
        <extend val="0"/>
        <color indexed="8"/>
      </font>
    </dxf>
    <dxf>
      <font>
        <b/>
        <i val="0"/>
        <condense val="0"/>
        <extend val="0"/>
        <color indexed="10"/>
      </font>
    </dxf>
    <dxf>
      <font>
        <b/>
        <i val="0"/>
        <condense val="0"/>
        <extend val="0"/>
        <color indexed="17"/>
      </font>
    </dxf>
    <dxf>
      <font>
        <b/>
        <i val="0"/>
        <condense val="0"/>
        <extend val="0"/>
        <color indexed="8"/>
      </font>
    </dxf>
    <dxf>
      <font>
        <b/>
        <i val="0"/>
        <condense val="0"/>
        <extend val="0"/>
        <color indexed="10"/>
      </font>
    </dxf>
    <dxf>
      <font>
        <b/>
        <i val="0"/>
        <condense val="0"/>
        <extend val="0"/>
        <color indexed="17"/>
      </font>
    </dxf>
    <dxf>
      <font>
        <b/>
        <i val="0"/>
        <condense val="0"/>
        <extend val="0"/>
        <color indexed="8"/>
      </font>
    </dxf>
    <dxf>
      <font>
        <b/>
        <i val="0"/>
        <condense val="0"/>
        <extend val="0"/>
        <color indexed="10"/>
      </font>
    </dxf>
    <dxf>
      <font>
        <b/>
        <i val="0"/>
        <condense val="0"/>
        <extend val="0"/>
        <color indexed="17"/>
      </font>
    </dxf>
    <dxf>
      <font>
        <b/>
        <i val="0"/>
        <condense val="0"/>
        <extend val="0"/>
        <color indexed="8"/>
      </font>
    </dxf>
    <dxf>
      <font>
        <b/>
        <i val="0"/>
        <condense val="0"/>
        <extend val="0"/>
        <color indexed="10"/>
      </font>
    </dxf>
    <dxf>
      <font>
        <b/>
        <i val="0"/>
        <condense val="0"/>
        <extend val="0"/>
        <color indexed="17"/>
      </font>
    </dxf>
    <dxf>
      <font>
        <b/>
        <i val="0"/>
        <condense val="0"/>
        <extend val="0"/>
        <color indexed="8"/>
      </font>
    </dxf>
    <dxf>
      <font>
        <b/>
        <i val="0"/>
        <condense val="0"/>
        <extend val="0"/>
        <color indexed="10"/>
      </font>
    </dxf>
    <dxf>
      <font>
        <b/>
        <i val="0"/>
        <condense val="0"/>
        <extend val="0"/>
        <color indexed="17"/>
      </font>
    </dxf>
    <dxf>
      <font>
        <b/>
        <i val="0"/>
        <condense val="0"/>
        <extend val="0"/>
        <color indexed="8"/>
      </font>
    </dxf>
    <dxf>
      <font>
        <b/>
        <i val="0"/>
        <condense val="0"/>
        <extend val="0"/>
        <color indexed="10"/>
      </font>
    </dxf>
    <dxf>
      <font>
        <b/>
        <i val="0"/>
        <condense val="0"/>
        <extend val="0"/>
        <color indexed="17"/>
      </font>
    </dxf>
    <dxf>
      <font>
        <b/>
        <i val="0"/>
        <condense val="0"/>
        <extend val="0"/>
        <color indexed="8"/>
      </font>
    </dxf>
    <dxf>
      <font>
        <b/>
        <i val="0"/>
        <condense val="0"/>
        <extend val="0"/>
        <color indexed="10"/>
      </font>
    </dxf>
    <dxf>
      <font>
        <b/>
        <i val="0"/>
        <condense val="0"/>
        <extend val="0"/>
        <color indexed="17"/>
      </font>
    </dxf>
    <dxf>
      <font>
        <b/>
        <i val="0"/>
        <condense val="0"/>
        <extend val="0"/>
        <color indexed="8"/>
      </font>
    </dxf>
    <dxf>
      <font>
        <b/>
        <i val="0"/>
        <condense val="0"/>
        <extend val="0"/>
        <color indexed="10"/>
      </font>
    </dxf>
    <dxf>
      <font>
        <b/>
        <i val="0"/>
        <condense val="0"/>
        <extend val="0"/>
        <color indexed="17"/>
      </font>
    </dxf>
    <dxf>
      <font>
        <b/>
        <i val="0"/>
        <condense val="0"/>
        <extend val="0"/>
        <color indexed="8"/>
      </font>
    </dxf>
    <dxf>
      <font>
        <b/>
        <i val="0"/>
        <condense val="0"/>
        <extend val="0"/>
        <color indexed="10"/>
      </font>
    </dxf>
    <dxf>
      <font>
        <b/>
        <i val="0"/>
        <condense val="0"/>
        <extend val="0"/>
        <color indexed="17"/>
      </font>
    </dxf>
    <dxf>
      <font>
        <b/>
        <i val="0"/>
        <condense val="0"/>
        <extend val="0"/>
        <color indexed="8"/>
      </font>
    </dxf>
    <dxf>
      <font>
        <b/>
        <i val="0"/>
        <condense val="0"/>
        <extend val="0"/>
        <color indexed="10"/>
      </font>
    </dxf>
    <dxf>
      <font>
        <b/>
        <i val="0"/>
        <condense val="0"/>
        <extend val="0"/>
        <color indexed="17"/>
      </font>
    </dxf>
    <dxf>
      <font>
        <b/>
        <i val="0"/>
        <condense val="0"/>
        <extend val="0"/>
        <color indexed="8"/>
      </font>
    </dxf>
    <dxf>
      <font>
        <b/>
        <i val="0"/>
        <condense val="0"/>
        <extend val="0"/>
        <color indexed="10"/>
      </font>
    </dxf>
    <dxf>
      <font>
        <b/>
        <i val="0"/>
        <condense val="0"/>
        <extend val="0"/>
        <color indexed="17"/>
      </font>
    </dxf>
    <dxf>
      <font>
        <b/>
        <i val="0"/>
        <condense val="0"/>
        <extend val="0"/>
        <color indexed="8"/>
      </font>
    </dxf>
    <dxf>
      <font>
        <b/>
        <i val="0"/>
        <condense val="0"/>
        <extend val="0"/>
        <color indexed="10"/>
      </font>
    </dxf>
    <dxf>
      <font>
        <b/>
        <i val="0"/>
        <condense val="0"/>
        <extend val="0"/>
        <color indexed="17"/>
      </font>
    </dxf>
    <dxf>
      <fill>
        <patternFill>
          <bgColor rgb="FFFF0000"/>
        </patternFill>
      </fill>
    </dxf>
    <dxf>
      <fill>
        <gradientFill type="path" left="0.5" right="0.5" top="0.5" bottom="0.5">
          <stop position="0">
            <color theme="0"/>
          </stop>
          <stop position="1">
            <color rgb="FFFF0000"/>
          </stop>
        </gradientFill>
      </fill>
    </dxf>
    <dxf>
      <fill>
        <gradientFill degree="90">
          <stop position="0">
            <color theme="0"/>
          </stop>
          <stop position="1">
            <color rgb="FFFFC000"/>
          </stop>
        </gradientFill>
      </fill>
    </dxf>
    <dxf>
      <fill>
        <gradientFill degree="90">
          <stop position="0">
            <color theme="0"/>
          </stop>
          <stop position="1">
            <color theme="9" tint="-0.25098422193060094"/>
          </stop>
        </gradientFill>
      </fill>
    </dxf>
    <dxf>
      <fill>
        <patternFill>
          <bgColor rgb="FFFF0000"/>
        </patternFill>
      </fill>
    </dxf>
    <dxf>
      <fill>
        <gradientFill type="path" left="0.5" right="0.5" top="0.5" bottom="0.5">
          <stop position="0">
            <color theme="0"/>
          </stop>
          <stop position="1">
            <color rgb="FFFF0000"/>
          </stop>
        </gradientFill>
      </fill>
    </dxf>
    <dxf>
      <fill>
        <gradientFill degree="90">
          <stop position="0">
            <color theme="0"/>
          </stop>
          <stop position="1">
            <color rgb="FFFFC000"/>
          </stop>
        </gradientFill>
      </fill>
    </dxf>
    <dxf>
      <fill>
        <gradientFill degree="90">
          <stop position="0">
            <color theme="0"/>
          </stop>
          <stop position="1">
            <color theme="9" tint="-0.25098422193060094"/>
          </stop>
        </gradient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ill>
        <patternFill>
          <bgColor rgb="FFFFFF00"/>
        </patternFill>
      </fill>
    </dxf>
    <dxf>
      <fill>
        <patternFill>
          <bgColor rgb="FFFFC000"/>
        </patternFill>
      </fill>
    </dxf>
    <dxf>
      <font>
        <b/>
        <i val="0"/>
        <color theme="0"/>
      </font>
      <fill>
        <patternFill>
          <bgColor rgb="FFFF0000"/>
        </patternFill>
      </fill>
    </dxf>
    <dxf>
      <fill>
        <patternFill>
          <bgColor rgb="FFFFFF00"/>
        </patternFill>
      </fill>
    </dxf>
    <dxf>
      <fill>
        <patternFill>
          <bgColor rgb="FFFFC000"/>
        </patternFill>
      </fill>
    </dxf>
    <dxf>
      <font>
        <b/>
        <i val="0"/>
        <color theme="0"/>
      </font>
      <fill>
        <patternFill>
          <bgColor rgb="FFFF0000"/>
        </patternFill>
      </fill>
    </dxf>
    <dxf>
      <fill>
        <patternFill>
          <bgColor rgb="FFFFFF00"/>
        </patternFill>
      </fill>
    </dxf>
    <dxf>
      <fill>
        <patternFill>
          <bgColor rgb="FFFFC000"/>
        </patternFill>
      </fill>
    </dxf>
    <dxf>
      <font>
        <b/>
        <i val="0"/>
        <color theme="0"/>
      </font>
      <fill>
        <patternFill>
          <bgColor rgb="FFFF0000"/>
        </patternFill>
      </fill>
    </dxf>
    <dxf>
      <fill>
        <patternFill>
          <bgColor rgb="FFFFFF00"/>
        </patternFill>
      </fill>
    </dxf>
    <dxf>
      <fill>
        <patternFill>
          <bgColor rgb="FFFFC000"/>
        </patternFill>
      </fill>
    </dxf>
    <dxf>
      <font>
        <b/>
        <i val="0"/>
        <color theme="0"/>
      </font>
      <fill>
        <patternFill>
          <bgColor rgb="FFFF0000"/>
        </patternFill>
      </fill>
    </dxf>
    <dxf>
      <fill>
        <patternFill>
          <bgColor rgb="FFFFFF00"/>
        </patternFill>
      </fill>
    </dxf>
    <dxf>
      <fill>
        <patternFill>
          <bgColor rgb="FFFFC000"/>
        </patternFill>
      </fill>
    </dxf>
    <dxf>
      <font>
        <b/>
        <i val="0"/>
        <color theme="0"/>
      </font>
      <fill>
        <patternFill>
          <bgColor rgb="FFFF0000"/>
        </patternFill>
      </fill>
    </dxf>
    <dxf>
      <fill>
        <patternFill>
          <bgColor rgb="FFFFFF00"/>
        </patternFill>
      </fill>
    </dxf>
    <dxf>
      <fill>
        <patternFill>
          <bgColor rgb="FFFFC000"/>
        </patternFill>
      </fill>
    </dxf>
    <dxf>
      <font>
        <b/>
        <i val="0"/>
        <color theme="0"/>
      </font>
      <fill>
        <patternFill>
          <bgColor rgb="FFFF0000"/>
        </patternFill>
      </fill>
    </dxf>
    <dxf>
      <fill>
        <patternFill>
          <bgColor rgb="FFFFFF00"/>
        </patternFill>
      </fill>
    </dxf>
    <dxf>
      <fill>
        <patternFill>
          <bgColor rgb="FFFFC000"/>
        </patternFill>
      </fill>
    </dxf>
    <dxf>
      <font>
        <b/>
        <i val="0"/>
        <color theme="0"/>
      </font>
      <fill>
        <patternFill>
          <bgColor rgb="FFFF0000"/>
        </patternFill>
      </fill>
    </dxf>
    <dxf>
      <fill>
        <patternFill>
          <bgColor rgb="FFFFFF00"/>
        </patternFill>
      </fill>
    </dxf>
    <dxf>
      <fill>
        <patternFill>
          <bgColor rgb="FFFFC000"/>
        </patternFill>
      </fill>
    </dxf>
    <dxf>
      <font>
        <b/>
        <i val="0"/>
        <color theme="0"/>
      </font>
      <fill>
        <patternFill>
          <bgColor rgb="FFFF0000"/>
        </patternFill>
      </fill>
    </dxf>
    <dxf>
      <fill>
        <patternFill>
          <bgColor rgb="FFFFFF00"/>
        </patternFill>
      </fill>
    </dxf>
    <dxf>
      <fill>
        <patternFill>
          <bgColor rgb="FFFFC000"/>
        </patternFill>
      </fill>
    </dxf>
    <dxf>
      <font>
        <b/>
        <i val="0"/>
        <color theme="0"/>
      </font>
      <fill>
        <patternFill>
          <bgColor rgb="FFFF0000"/>
        </patternFill>
      </fill>
    </dxf>
    <dxf>
      <fill>
        <patternFill>
          <bgColor rgb="FFFFFF00"/>
        </patternFill>
      </fill>
    </dxf>
    <dxf>
      <fill>
        <patternFill>
          <bgColor rgb="FFFFC000"/>
        </patternFill>
      </fill>
    </dxf>
    <dxf>
      <font>
        <b/>
        <i val="0"/>
        <color theme="0"/>
      </font>
      <fill>
        <patternFill>
          <bgColor rgb="FFFF0000"/>
        </patternFill>
      </fill>
    </dxf>
    <dxf>
      <fill>
        <patternFill>
          <bgColor rgb="FFFFFF00"/>
        </patternFill>
      </fill>
    </dxf>
    <dxf>
      <fill>
        <patternFill>
          <bgColor rgb="FFFFC000"/>
        </patternFill>
      </fill>
    </dxf>
    <dxf>
      <fill>
        <patternFill>
          <bgColor rgb="FFFF0000"/>
        </patternFill>
      </fill>
    </dxf>
    <dxf>
      <fill>
        <patternFill>
          <bgColor rgb="FFFFFF00"/>
        </patternFill>
      </fill>
    </dxf>
    <dxf>
      <fill>
        <patternFill>
          <bgColor rgb="FFFFC000"/>
        </patternFill>
      </fill>
    </dxf>
    <dxf>
      <fill>
        <patternFill>
          <bgColor rgb="FFFF0000"/>
        </patternFill>
      </fill>
    </dxf>
    <dxf>
      <fill>
        <patternFill>
          <bgColor rgb="FFFFFF00"/>
        </patternFill>
      </fill>
    </dxf>
    <dxf>
      <fill>
        <patternFill>
          <bgColor rgb="FFFFC000"/>
        </patternFill>
      </fill>
    </dxf>
    <dxf>
      <fill>
        <patternFill>
          <bgColor rgb="FFFF0000"/>
        </patternFill>
      </fill>
    </dxf>
    <dxf>
      <fill>
        <patternFill>
          <bgColor rgb="FFFFFF00"/>
        </patternFill>
      </fill>
    </dxf>
    <dxf>
      <fill>
        <patternFill>
          <bgColor rgb="FFFFC000"/>
        </patternFill>
      </fill>
    </dxf>
    <dxf>
      <fill>
        <patternFill>
          <bgColor rgb="FFFF0000"/>
        </patternFill>
      </fill>
    </dxf>
    <dxf>
      <fill>
        <patternFill>
          <bgColor rgb="FFFFFF00"/>
        </patternFill>
      </fill>
    </dxf>
    <dxf>
      <fill>
        <patternFill>
          <bgColor rgb="FFFFC000"/>
        </patternFill>
      </fill>
    </dxf>
    <dxf>
      <fill>
        <patternFill>
          <bgColor rgb="FFFF0000"/>
        </patternFill>
      </fill>
    </dxf>
    <dxf>
      <fill>
        <patternFill>
          <bgColor rgb="FFFFFF00"/>
        </patternFill>
      </fill>
    </dxf>
    <dxf>
      <fill>
        <patternFill>
          <bgColor rgb="FFFFC000"/>
        </patternFill>
      </fill>
    </dxf>
    <dxf>
      <fill>
        <patternFill>
          <bgColor rgb="FFFF0000"/>
        </patternFill>
      </fill>
    </dxf>
    <dxf>
      <fill>
        <patternFill>
          <bgColor rgb="FFFFFF00"/>
        </patternFill>
      </fill>
    </dxf>
    <dxf>
      <fill>
        <patternFill>
          <bgColor rgb="FFFFC000"/>
        </patternFill>
      </fill>
    </dxf>
    <dxf>
      <fill>
        <patternFill>
          <bgColor rgb="FFFF0000"/>
        </patternFill>
      </fill>
    </dxf>
    <dxf>
      <fill>
        <patternFill>
          <bgColor rgb="FFFFFF00"/>
        </patternFill>
      </fill>
    </dxf>
    <dxf>
      <fill>
        <patternFill>
          <bgColor rgb="FFFFC000"/>
        </patternFill>
      </fill>
    </dxf>
    <dxf>
      <fill>
        <patternFill>
          <bgColor rgb="FFFF0000"/>
        </patternFill>
      </fill>
    </dxf>
    <dxf>
      <fill>
        <patternFill>
          <bgColor rgb="FFFFFF00"/>
        </patternFill>
      </fill>
    </dxf>
    <dxf>
      <fill>
        <patternFill>
          <bgColor rgb="FFFFC000"/>
        </patternFill>
      </fill>
    </dxf>
    <dxf>
      <fill>
        <patternFill>
          <bgColor rgb="FFFF0000"/>
        </patternFill>
      </fill>
    </dxf>
    <dxf>
      <fill>
        <patternFill>
          <bgColor rgb="FFFFFF00"/>
        </patternFill>
      </fill>
    </dxf>
    <dxf>
      <fill>
        <patternFill>
          <bgColor rgb="FFFFC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tx>
            <c:strRef>
              <c:f>Summary!$B$4</c:f>
              <c:strCache>
                <c:ptCount val="1"/>
                <c:pt idx="0">
                  <c:v>Goal PCI</c:v>
                </c:pt>
              </c:strCache>
            </c:strRef>
          </c:tx>
          <c:marker>
            <c:symbol val="none"/>
          </c:marker>
          <c:cat>
            <c:strRef>
              <c:f>Summary!$A$5:$A$13</c:f>
              <c:strCache>
                <c:ptCount val="9"/>
                <c:pt idx="0">
                  <c:v>Project Initiation</c:v>
                </c:pt>
                <c:pt idx="1">
                  <c:v>Project Management Plan</c:v>
                </c:pt>
                <c:pt idx="2">
                  <c:v>Monitoring &amp; Control</c:v>
                </c:pt>
                <c:pt idx="3">
                  <c:v>Test Requirements</c:v>
                </c:pt>
                <c:pt idx="4">
                  <c:v>Test Design</c:v>
                </c:pt>
                <c:pt idx="5">
                  <c:v>Test Automation</c:v>
                </c:pt>
                <c:pt idx="6">
                  <c:v>Testing</c:v>
                </c:pt>
                <c:pt idx="7">
                  <c:v>Delivery</c:v>
                </c:pt>
                <c:pt idx="8">
                  <c:v>Project Closure</c:v>
                </c:pt>
              </c:strCache>
            </c:strRef>
          </c:cat>
          <c:val>
            <c:numRef>
              <c:f>Summary!$B$5:$B$13</c:f>
              <c:numCache>
                <c:formatCode>0.00%</c:formatCode>
                <c:ptCount val="9"/>
                <c:pt idx="0">
                  <c:v>1</c:v>
                </c:pt>
                <c:pt idx="1">
                  <c:v>1</c:v>
                </c:pt>
                <c:pt idx="2">
                  <c:v>1</c:v>
                </c:pt>
                <c:pt idx="3">
                  <c:v>1</c:v>
                </c:pt>
                <c:pt idx="4">
                  <c:v>1</c:v>
                </c:pt>
                <c:pt idx="5">
                  <c:v>1</c:v>
                </c:pt>
                <c:pt idx="6">
                  <c:v>1</c:v>
                </c:pt>
                <c:pt idx="7">
                  <c:v>1</c:v>
                </c:pt>
                <c:pt idx="8">
                  <c:v>1</c:v>
                </c:pt>
              </c:numCache>
            </c:numRef>
          </c:val>
        </c:ser>
        <c:ser>
          <c:idx val="1"/>
          <c:order val="1"/>
          <c:tx>
            <c:strRef>
              <c:f>Summary!$C$4</c:f>
              <c:strCache>
                <c:ptCount val="1"/>
                <c:pt idx="0">
                  <c:v>Cycle 1 PCI</c:v>
                </c:pt>
              </c:strCache>
            </c:strRef>
          </c:tx>
          <c:marker>
            <c:symbol val="none"/>
          </c:marker>
          <c:cat>
            <c:strRef>
              <c:f>Summary!$A$5:$A$13</c:f>
              <c:strCache>
                <c:ptCount val="9"/>
                <c:pt idx="0">
                  <c:v>Project Initiation</c:v>
                </c:pt>
                <c:pt idx="1">
                  <c:v>Project Management Plan</c:v>
                </c:pt>
                <c:pt idx="2">
                  <c:v>Monitoring &amp; Control</c:v>
                </c:pt>
                <c:pt idx="3">
                  <c:v>Test Requirements</c:v>
                </c:pt>
                <c:pt idx="4">
                  <c:v>Test Design</c:v>
                </c:pt>
                <c:pt idx="5">
                  <c:v>Test Automation</c:v>
                </c:pt>
                <c:pt idx="6">
                  <c:v>Testing</c:v>
                </c:pt>
                <c:pt idx="7">
                  <c:v>Delivery</c:v>
                </c:pt>
                <c:pt idx="8">
                  <c:v>Project Closure</c:v>
                </c:pt>
              </c:strCache>
            </c:strRef>
          </c:cat>
          <c:val>
            <c:numRef>
              <c:f>Summary!$C$5:$C$13</c:f>
              <c:numCache>
                <c:formatCode>0.00%</c:formatCode>
                <c:ptCount val="9"/>
                <c:pt idx="0">
                  <c:v>1</c:v>
                </c:pt>
                <c:pt idx="1">
                  <c:v>0.66095238095238096</c:v>
                </c:pt>
                <c:pt idx="2">
                  <c:v>0.38961038961038957</c:v>
                </c:pt>
                <c:pt idx="3">
                  <c:v>1</c:v>
                </c:pt>
                <c:pt idx="4">
                  <c:v>0.77777777777777779</c:v>
                </c:pt>
                <c:pt idx="5">
                  <c:v>1</c:v>
                </c:pt>
                <c:pt idx="6">
                  <c:v>1</c:v>
                </c:pt>
                <c:pt idx="7">
                  <c:v>1</c:v>
                </c:pt>
                <c:pt idx="8">
                  <c:v>0</c:v>
                </c:pt>
              </c:numCache>
            </c:numRef>
          </c:val>
        </c:ser>
        <c:dLbls>
          <c:showLegendKey val="0"/>
          <c:showVal val="0"/>
          <c:showCatName val="0"/>
          <c:showSerName val="0"/>
          <c:showPercent val="0"/>
          <c:showBubbleSize val="0"/>
        </c:dLbls>
        <c:axId val="191285184"/>
        <c:axId val="191288320"/>
      </c:radarChart>
      <c:catAx>
        <c:axId val="191285184"/>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91288320"/>
        <c:crosses val="autoZero"/>
        <c:auto val="0"/>
        <c:lblAlgn val="ctr"/>
        <c:lblOffset val="100"/>
        <c:noMultiLvlLbl val="0"/>
      </c:catAx>
      <c:valAx>
        <c:axId val="191288320"/>
        <c:scaling>
          <c:orientation val="minMax"/>
        </c:scaling>
        <c:delete val="1"/>
        <c:axPos val="l"/>
        <c:numFmt formatCode="0.00%" sourceLinked="1"/>
        <c:majorTickMark val="out"/>
        <c:minorTickMark val="none"/>
        <c:tickLblPos val="nextTo"/>
        <c:crossAx val="191285184"/>
        <c:crosses val="autoZero"/>
        <c:crossBetween val="between"/>
      </c:valAx>
    </c:plotArea>
    <c:legend>
      <c:legendPos val="r"/>
      <c:layout/>
      <c:overlay val="0"/>
      <c:txPr>
        <a:bodyPr/>
        <a:lstStyle/>
        <a:p>
          <a:pPr>
            <a:defRPr sz="77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22" l="0.70000000000000018" r="0.70000000000000018" t="0.75000000000000022" header="0.3000000000000001" footer="0.30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tx>
            <c:strRef>
              <c:f>Summary!$B$16</c:f>
              <c:strCache>
                <c:ptCount val="1"/>
                <c:pt idx="0">
                  <c:v>Goal PCI</c:v>
                </c:pt>
              </c:strCache>
            </c:strRef>
          </c:tx>
          <c:marker>
            <c:symbol val="none"/>
          </c:marker>
          <c:cat>
            <c:strRef>
              <c:f>Summary!$A$17:$A$20</c:f>
              <c:strCache>
                <c:ptCount val="4"/>
                <c:pt idx="0">
                  <c:v>Preventive compliance</c:v>
                </c:pt>
                <c:pt idx="1">
                  <c:v>Detective compliance</c:v>
                </c:pt>
                <c:pt idx="2">
                  <c:v>Internal Failure compliance</c:v>
                </c:pt>
                <c:pt idx="3">
                  <c:v>External Failure compliance</c:v>
                </c:pt>
              </c:strCache>
            </c:strRef>
          </c:cat>
          <c:val>
            <c:numRef>
              <c:f>Summary!$B$17:$B$20</c:f>
              <c:numCache>
                <c:formatCode>0.00%</c:formatCode>
                <c:ptCount val="4"/>
                <c:pt idx="0">
                  <c:v>1</c:v>
                </c:pt>
                <c:pt idx="1">
                  <c:v>1</c:v>
                </c:pt>
                <c:pt idx="2">
                  <c:v>1</c:v>
                </c:pt>
                <c:pt idx="3">
                  <c:v>1</c:v>
                </c:pt>
              </c:numCache>
            </c:numRef>
          </c:val>
        </c:ser>
        <c:ser>
          <c:idx val="1"/>
          <c:order val="1"/>
          <c:tx>
            <c:strRef>
              <c:f>Summary!$C$16</c:f>
              <c:strCache>
                <c:ptCount val="1"/>
                <c:pt idx="0">
                  <c:v>Cycle 1 PCI</c:v>
                </c:pt>
              </c:strCache>
            </c:strRef>
          </c:tx>
          <c:marker>
            <c:symbol val="none"/>
          </c:marker>
          <c:cat>
            <c:strRef>
              <c:f>Summary!$A$17:$A$20</c:f>
              <c:strCache>
                <c:ptCount val="4"/>
                <c:pt idx="0">
                  <c:v>Preventive compliance</c:v>
                </c:pt>
                <c:pt idx="1">
                  <c:v>Detective compliance</c:v>
                </c:pt>
                <c:pt idx="2">
                  <c:v>Internal Failure compliance</c:v>
                </c:pt>
                <c:pt idx="3">
                  <c:v>External Failure compliance</c:v>
                </c:pt>
              </c:strCache>
            </c:strRef>
          </c:cat>
          <c:val>
            <c:numRef>
              <c:f>Summary!$C$17:$C$20</c:f>
              <c:numCache>
                <c:formatCode>0.00%</c:formatCode>
                <c:ptCount val="4"/>
                <c:pt idx="0">
                  <c:v>0.80769230769230771</c:v>
                </c:pt>
                <c:pt idx="1">
                  <c:v>0.8125</c:v>
                </c:pt>
                <c:pt idx="2">
                  <c:v>0</c:v>
                </c:pt>
                <c:pt idx="3">
                  <c:v>0</c:v>
                </c:pt>
              </c:numCache>
            </c:numRef>
          </c:val>
        </c:ser>
        <c:dLbls>
          <c:showLegendKey val="0"/>
          <c:showVal val="0"/>
          <c:showCatName val="0"/>
          <c:showSerName val="0"/>
          <c:showPercent val="0"/>
          <c:showBubbleSize val="0"/>
        </c:dLbls>
        <c:axId val="248823224"/>
        <c:axId val="248823616"/>
      </c:radarChart>
      <c:catAx>
        <c:axId val="248823224"/>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48823616"/>
        <c:crosses val="autoZero"/>
        <c:auto val="0"/>
        <c:lblAlgn val="ctr"/>
        <c:lblOffset val="100"/>
        <c:noMultiLvlLbl val="0"/>
      </c:catAx>
      <c:valAx>
        <c:axId val="248823616"/>
        <c:scaling>
          <c:orientation val="minMax"/>
        </c:scaling>
        <c:delete val="1"/>
        <c:axPos val="l"/>
        <c:numFmt formatCode="0.00%" sourceLinked="1"/>
        <c:majorTickMark val="out"/>
        <c:minorTickMark val="none"/>
        <c:tickLblPos val="nextTo"/>
        <c:crossAx val="248823224"/>
        <c:crosses val="autoZero"/>
        <c:crossBetween val="between"/>
      </c:valAx>
    </c:plotArea>
    <c:legend>
      <c:legendPos val="r"/>
      <c:layout/>
      <c:overlay val="0"/>
      <c:txPr>
        <a:bodyPr/>
        <a:lstStyle/>
        <a:p>
          <a:pPr>
            <a:defRPr sz="77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22" l="0.70000000000000018" r="0.70000000000000018" t="0.75000000000000022" header="0.3000000000000001" footer="0.300000000000000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tx>
            <c:strRef>
              <c:f>Summary!$B$23</c:f>
              <c:strCache>
                <c:ptCount val="1"/>
                <c:pt idx="0">
                  <c:v>Goal PCI</c:v>
                </c:pt>
              </c:strCache>
            </c:strRef>
          </c:tx>
          <c:marker>
            <c:symbol val="none"/>
          </c:marker>
          <c:cat>
            <c:strRef>
              <c:f>Summary!$A$24:$A$27</c:f>
              <c:strCache>
                <c:ptCount val="4"/>
                <c:pt idx="0">
                  <c:v>Plan</c:v>
                </c:pt>
                <c:pt idx="1">
                  <c:v>Do/Implement</c:v>
                </c:pt>
                <c:pt idx="2">
                  <c:v>Check/Verify</c:v>
                </c:pt>
                <c:pt idx="3">
                  <c:v>Act/Improve</c:v>
                </c:pt>
              </c:strCache>
            </c:strRef>
          </c:cat>
          <c:val>
            <c:numRef>
              <c:f>Summary!$B$24:$B$27</c:f>
              <c:numCache>
                <c:formatCode>0.00%</c:formatCode>
                <c:ptCount val="4"/>
                <c:pt idx="0">
                  <c:v>1</c:v>
                </c:pt>
                <c:pt idx="1">
                  <c:v>1</c:v>
                </c:pt>
                <c:pt idx="2">
                  <c:v>1</c:v>
                </c:pt>
                <c:pt idx="3">
                  <c:v>1</c:v>
                </c:pt>
              </c:numCache>
            </c:numRef>
          </c:val>
        </c:ser>
        <c:ser>
          <c:idx val="1"/>
          <c:order val="1"/>
          <c:tx>
            <c:strRef>
              <c:f>Summary!$C$23</c:f>
              <c:strCache>
                <c:ptCount val="1"/>
                <c:pt idx="0">
                  <c:v>Cycle 1 PCI</c:v>
                </c:pt>
              </c:strCache>
            </c:strRef>
          </c:tx>
          <c:marker>
            <c:symbol val="none"/>
          </c:marker>
          <c:cat>
            <c:strRef>
              <c:f>Summary!$A$24:$A$27</c:f>
              <c:strCache>
                <c:ptCount val="4"/>
                <c:pt idx="0">
                  <c:v>Plan</c:v>
                </c:pt>
                <c:pt idx="1">
                  <c:v>Do/Implement</c:v>
                </c:pt>
                <c:pt idx="2">
                  <c:v>Check/Verify</c:v>
                </c:pt>
                <c:pt idx="3">
                  <c:v>Act/Improve</c:v>
                </c:pt>
              </c:strCache>
            </c:strRef>
          </c:cat>
          <c:val>
            <c:numRef>
              <c:f>Summary!$C$24:$C$27</c:f>
              <c:numCache>
                <c:formatCode>0.00%</c:formatCode>
                <c:ptCount val="4"/>
                <c:pt idx="0">
                  <c:v>0.7142857142857143</c:v>
                </c:pt>
                <c:pt idx="1">
                  <c:v>0.65753424657534243</c:v>
                </c:pt>
                <c:pt idx="2">
                  <c:v>0.37704918032786883</c:v>
                </c:pt>
                <c:pt idx="3">
                  <c:v>0.2</c:v>
                </c:pt>
              </c:numCache>
            </c:numRef>
          </c:val>
        </c:ser>
        <c:dLbls>
          <c:showLegendKey val="0"/>
          <c:showVal val="0"/>
          <c:showCatName val="0"/>
          <c:showSerName val="0"/>
          <c:showPercent val="0"/>
          <c:showBubbleSize val="0"/>
        </c:dLbls>
        <c:axId val="248824400"/>
        <c:axId val="248824792"/>
      </c:radarChart>
      <c:catAx>
        <c:axId val="248824400"/>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48824792"/>
        <c:crosses val="autoZero"/>
        <c:auto val="0"/>
        <c:lblAlgn val="ctr"/>
        <c:lblOffset val="100"/>
        <c:noMultiLvlLbl val="0"/>
      </c:catAx>
      <c:valAx>
        <c:axId val="248824792"/>
        <c:scaling>
          <c:orientation val="minMax"/>
        </c:scaling>
        <c:delete val="1"/>
        <c:axPos val="l"/>
        <c:numFmt formatCode="0.00%" sourceLinked="1"/>
        <c:majorTickMark val="out"/>
        <c:minorTickMark val="none"/>
        <c:tickLblPos val="nextTo"/>
        <c:crossAx val="248824400"/>
        <c:crosses val="autoZero"/>
        <c:crossBetween val="between"/>
      </c:valAx>
    </c:plotArea>
    <c:legend>
      <c:legendPos val="r"/>
      <c:layout/>
      <c:overlay val="0"/>
      <c:txPr>
        <a:bodyPr/>
        <a:lstStyle/>
        <a:p>
          <a:pPr>
            <a:defRPr sz="77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22" l="0.70000000000000018" r="0.70000000000000018" t="0.75000000000000022" header="0.3000000000000001" footer="0.30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Pareto Chart</a:t>
            </a:r>
          </a:p>
        </c:rich>
      </c:tx>
      <c:layout>
        <c:manualLayout>
          <c:xMode val="edge"/>
          <c:yMode val="edge"/>
          <c:x val="0.39872456076028195"/>
          <c:y val="1.3550503767674204E-2"/>
        </c:manualLayout>
      </c:layout>
      <c:overlay val="0"/>
      <c:spPr>
        <a:noFill/>
        <a:ln w="25400">
          <a:noFill/>
        </a:ln>
      </c:spPr>
    </c:title>
    <c:autoTitleDeleted val="0"/>
    <c:plotArea>
      <c:layout>
        <c:manualLayout>
          <c:layoutTarget val="inner"/>
          <c:xMode val="edge"/>
          <c:yMode val="edge"/>
          <c:x val="8.7719465688798459E-2"/>
          <c:y val="0.11020805326163498"/>
          <c:w val="0.80701880080430244"/>
          <c:h val="0.74525942491167252"/>
        </c:manualLayout>
      </c:layout>
      <c:barChart>
        <c:barDir val="col"/>
        <c:grouping val="clustered"/>
        <c:varyColors val="0"/>
        <c:ser>
          <c:idx val="1"/>
          <c:order val="0"/>
          <c:tx>
            <c:strRef>
              <c:f>[2]ParetoChart!$H$32</c:f>
              <c:strCache>
                <c:ptCount val="1"/>
                <c:pt idx="0">
                  <c:v>Vital Few</c:v>
                </c:pt>
              </c:strCache>
            </c:strRef>
          </c:tx>
          <c:spPr>
            <a:solidFill>
              <a:srgbClr val="8394C9"/>
            </a:solidFill>
            <a:ln w="25400">
              <a:noFill/>
            </a:ln>
          </c:spPr>
          <c:invertIfNegative val="0"/>
          <c:cat>
            <c:strRef>
              <c:f>[2]ParetoChart!$C$33:$C$48</c:f>
              <c:strCache>
                <c:ptCount val="16"/>
                <c:pt idx="0">
                  <c:v>Planning</c:v>
                </c:pt>
                <c:pt idx="1">
                  <c:v>Monitoring &amp; Control</c:v>
                </c:pt>
              </c:strCache>
            </c:strRef>
          </c:cat>
          <c:val>
            <c:numRef>
              <c:f>[2]ParetoChart!$H$33:$H$48</c:f>
              <c:numCache>
                <c:formatCode>General</c:formatCode>
                <c:ptCount val="16"/>
                <c:pt idx="0">
                  <c:v>7</c:v>
                </c:pt>
                <c:pt idx="1">
                  <c:v>3</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ser>
          <c:idx val="0"/>
          <c:order val="1"/>
          <c:tx>
            <c:strRef>
              <c:f>[2]ParetoChart!$I$32</c:f>
              <c:strCache>
                <c:ptCount val="1"/>
                <c:pt idx="0">
                  <c:v>Useful Many</c:v>
                </c:pt>
              </c:strCache>
            </c:strRef>
          </c:tx>
          <c:spPr>
            <a:solidFill>
              <a:srgbClr val="BCC5E1"/>
            </a:solidFill>
            <a:ln w="25400">
              <a:noFill/>
            </a:ln>
          </c:spPr>
          <c:invertIfNegative val="0"/>
          <c:cat>
            <c:strRef>
              <c:f>[2]ParetoChart!$C$33:$C$48</c:f>
              <c:strCache>
                <c:ptCount val="16"/>
                <c:pt idx="0">
                  <c:v>Planning</c:v>
                </c:pt>
                <c:pt idx="1">
                  <c:v>Monitoring &amp; Control</c:v>
                </c:pt>
              </c:strCache>
            </c:strRef>
          </c:cat>
          <c:val>
            <c:numRef>
              <c:f>[2]ParetoChart!$I$33:$I$48</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ser>
          <c:idx val="4"/>
          <c:order val="4"/>
          <c:tx>
            <c:v>Labels</c:v>
          </c:tx>
          <c:spPr>
            <a:solidFill>
              <a:srgbClr val="660066"/>
            </a:solidFill>
            <a:ln w="12700">
              <a:solidFill>
                <a:srgbClr val="000000"/>
              </a:solidFill>
              <a:prstDash val="solid"/>
            </a:ln>
          </c:spPr>
          <c:invertIfNegative val="0"/>
          <c:dLbls>
            <c:spPr>
              <a:noFill/>
              <a:ln w="25400">
                <a:noFill/>
              </a:ln>
            </c:spPr>
            <c:txPr>
              <a:bodyPr rot="-5400000" vert="horz" wrap="square" lIns="38100" tIns="19050" rIns="38100" bIns="19050" anchor="ctr">
                <a:spAutoFit/>
              </a:bodyPr>
              <a:lstStyle/>
              <a:p>
                <a:pPr algn="ctr">
                  <a:defRPr sz="1000" b="0" i="0" u="none" strike="noStrike" baseline="0">
                    <a:solidFill>
                      <a:srgbClr val="000000"/>
                    </a:solidFill>
                    <a:latin typeface="Arial"/>
                    <a:ea typeface="Arial"/>
                    <a:cs typeface="Arial"/>
                  </a:defRPr>
                </a:pPr>
                <a:endParaRPr lang="en-US"/>
              </a:p>
            </c:txPr>
            <c:dLblPos val="outEnd"/>
            <c:showLegendKey val="0"/>
            <c:showVal val="0"/>
            <c:showCatName val="1"/>
            <c:showSerName val="0"/>
            <c:showPercent val="0"/>
            <c:showBubbleSize val="0"/>
            <c:showLeaderLines val="0"/>
            <c:extLst>
              <c:ext xmlns:c15="http://schemas.microsoft.com/office/drawing/2012/chart" uri="{CE6537A1-D6FC-4f65-9D91-7224C49458BB}">
                <c15:layout/>
                <c15:showLeaderLines val="0"/>
              </c:ext>
            </c:extLst>
          </c:dLbls>
          <c:cat>
            <c:strRef>
              <c:f>[2]ParetoChart!$C$33:$C$48</c:f>
              <c:strCache>
                <c:ptCount val="16"/>
                <c:pt idx="0">
                  <c:v>Planning</c:v>
                </c:pt>
                <c:pt idx="1">
                  <c:v>Monitoring &amp; Control</c:v>
                </c:pt>
              </c:strCache>
            </c:strRef>
          </c:cat>
          <c:val>
            <c:numRef>
              <c:f>[2]ParetoChart!$C$33:$C$48</c:f>
              <c:numCache>
                <c:formatCode>General</c:formatCode>
                <c:ptCount val="16"/>
                <c:pt idx="0">
                  <c:v>0</c:v>
                </c:pt>
                <c:pt idx="1">
                  <c:v>0</c:v>
                </c:pt>
              </c:numCache>
            </c:numRef>
          </c:val>
        </c:ser>
        <c:dLbls>
          <c:showLegendKey val="0"/>
          <c:showVal val="0"/>
          <c:showCatName val="0"/>
          <c:showSerName val="0"/>
          <c:showPercent val="0"/>
          <c:showBubbleSize val="0"/>
        </c:dLbls>
        <c:gapWidth val="10"/>
        <c:overlap val="100"/>
        <c:axId val="248825576"/>
        <c:axId val="248825968"/>
      </c:barChart>
      <c:lineChart>
        <c:grouping val="standard"/>
        <c:varyColors val="0"/>
        <c:ser>
          <c:idx val="2"/>
          <c:order val="2"/>
          <c:tx>
            <c:strRef>
              <c:f>[2]ParetoChart!$E$32</c:f>
              <c:strCache>
                <c:ptCount val="1"/>
                <c:pt idx="0">
                  <c:v>Cumulative%</c:v>
                </c:pt>
              </c:strCache>
            </c:strRef>
          </c:tx>
          <c:spPr>
            <a:ln w="25400">
              <a:solidFill>
                <a:srgbClr val="6B0C00"/>
              </a:solidFill>
              <a:prstDash val="solid"/>
            </a:ln>
          </c:spPr>
          <c:marker>
            <c:symbol val="diamond"/>
            <c:size val="6"/>
            <c:spPr>
              <a:solidFill>
                <a:srgbClr val="6B0C00"/>
              </a:solidFill>
              <a:ln>
                <a:solidFill>
                  <a:srgbClr val="6B0C00"/>
                </a:solidFill>
                <a:prstDash val="solid"/>
              </a:ln>
            </c:spPr>
          </c:marker>
          <c:val>
            <c:numRef>
              <c:f>[2]ParetoChart!$E$33:$E$48</c:f>
              <c:numCache>
                <c:formatCode>General</c:formatCode>
                <c:ptCount val="16"/>
                <c:pt idx="0">
                  <c:v>0.7</c:v>
                </c:pt>
                <c:pt idx="1">
                  <c:v>1</c:v>
                </c:pt>
                <c:pt idx="2">
                  <c:v>1</c:v>
                </c:pt>
                <c:pt idx="3">
                  <c:v>1</c:v>
                </c:pt>
                <c:pt idx="4">
                  <c:v>1</c:v>
                </c:pt>
                <c:pt idx="5">
                  <c:v>1</c:v>
                </c:pt>
                <c:pt idx="6">
                  <c:v>1</c:v>
                </c:pt>
                <c:pt idx="7">
                  <c:v>1</c:v>
                </c:pt>
                <c:pt idx="8">
                  <c:v>1</c:v>
                </c:pt>
                <c:pt idx="9">
                  <c:v>1</c:v>
                </c:pt>
                <c:pt idx="10">
                  <c:v>1</c:v>
                </c:pt>
                <c:pt idx="11">
                  <c:v>1</c:v>
                </c:pt>
                <c:pt idx="12">
                  <c:v>1</c:v>
                </c:pt>
                <c:pt idx="13">
                  <c:v>1</c:v>
                </c:pt>
                <c:pt idx="14">
                  <c:v>1</c:v>
                </c:pt>
              </c:numCache>
            </c:numRef>
          </c:val>
          <c:smooth val="0"/>
        </c:ser>
        <c:ser>
          <c:idx val="3"/>
          <c:order val="3"/>
          <c:tx>
            <c:strRef>
              <c:f>[2]ParetoChart!$J$32</c:f>
              <c:strCache>
                <c:ptCount val="1"/>
                <c:pt idx="0">
                  <c:v>Cut Off %</c:v>
                </c:pt>
              </c:strCache>
            </c:strRef>
          </c:tx>
          <c:spPr>
            <a:ln w="12700">
              <a:solidFill>
                <a:srgbClr val="6B0C00"/>
              </a:solidFill>
              <a:prstDash val="sysDash"/>
            </a:ln>
          </c:spPr>
          <c:marker>
            <c:symbol val="none"/>
          </c:marker>
          <c:val>
            <c:numRef>
              <c:f>[2]ParetoChart!$J$33:$J$48</c:f>
              <c:numCache>
                <c:formatCode>General</c:formatCode>
                <c:ptCount val="16"/>
                <c:pt idx="0">
                  <c:v>0.8</c:v>
                </c:pt>
                <c:pt idx="1">
                  <c:v>0.8</c:v>
                </c:pt>
                <c:pt idx="2">
                  <c:v>0.8</c:v>
                </c:pt>
                <c:pt idx="3">
                  <c:v>0.8</c:v>
                </c:pt>
                <c:pt idx="4">
                  <c:v>0.8</c:v>
                </c:pt>
                <c:pt idx="5">
                  <c:v>0.8</c:v>
                </c:pt>
                <c:pt idx="6">
                  <c:v>0.8</c:v>
                </c:pt>
                <c:pt idx="7">
                  <c:v>0.8</c:v>
                </c:pt>
                <c:pt idx="8">
                  <c:v>0.8</c:v>
                </c:pt>
                <c:pt idx="9">
                  <c:v>0.8</c:v>
                </c:pt>
                <c:pt idx="10">
                  <c:v>0.8</c:v>
                </c:pt>
                <c:pt idx="11">
                  <c:v>0.8</c:v>
                </c:pt>
                <c:pt idx="12">
                  <c:v>0.8</c:v>
                </c:pt>
                <c:pt idx="13">
                  <c:v>0.8</c:v>
                </c:pt>
                <c:pt idx="14">
                  <c:v>0.8</c:v>
                </c:pt>
              </c:numCache>
            </c:numRef>
          </c:val>
          <c:smooth val="0"/>
        </c:ser>
        <c:dLbls>
          <c:showLegendKey val="0"/>
          <c:showVal val="0"/>
          <c:showCatName val="0"/>
          <c:showSerName val="0"/>
          <c:showPercent val="0"/>
          <c:showBubbleSize val="0"/>
        </c:dLbls>
        <c:marker val="1"/>
        <c:smooth val="0"/>
        <c:axId val="248826360"/>
        <c:axId val="249117888"/>
      </c:lineChart>
      <c:catAx>
        <c:axId val="248825576"/>
        <c:scaling>
          <c:orientation val="minMax"/>
        </c:scaling>
        <c:delete val="0"/>
        <c:axPos val="b"/>
        <c:title>
          <c:tx>
            <c:rich>
              <a:bodyPr/>
              <a:lstStyle/>
              <a:p>
                <a:pPr>
                  <a:defRPr sz="1200" b="1" i="0" u="none" strike="noStrike" baseline="0">
                    <a:solidFill>
                      <a:srgbClr val="000000"/>
                    </a:solidFill>
                    <a:latin typeface="Arial"/>
                    <a:ea typeface="Arial"/>
                    <a:cs typeface="Arial"/>
                  </a:defRPr>
                </a:pPr>
                <a:r>
                  <a:rPr lang="en-US"/>
                  <a:t>Process Areas</a:t>
                </a:r>
              </a:p>
            </c:rich>
          </c:tx>
          <c:layout>
            <c:manualLayout>
              <c:xMode val="edge"/>
              <c:yMode val="edge"/>
              <c:x val="0.43381252509733398"/>
              <c:y val="0.86179028024722715"/>
            </c:manualLayout>
          </c:layout>
          <c:overlay val="0"/>
          <c:spPr>
            <a:noFill/>
            <a:ln w="25400">
              <a:noFill/>
            </a:ln>
          </c:spPr>
        </c:title>
        <c:numFmt formatCode="General" sourceLinked="1"/>
        <c:majorTickMark val="out"/>
        <c:minorTickMark val="none"/>
        <c:tickLblPos val="none"/>
        <c:spPr>
          <a:ln w="3175">
            <a:solidFill>
              <a:srgbClr val="000000"/>
            </a:solidFill>
            <a:prstDash val="solid"/>
          </a:ln>
        </c:spPr>
        <c:crossAx val="248825968"/>
        <c:crosses val="autoZero"/>
        <c:auto val="1"/>
        <c:lblAlgn val="ctr"/>
        <c:lblOffset val="100"/>
        <c:tickMarkSkip val="1"/>
        <c:noMultiLvlLbl val="0"/>
      </c:catAx>
      <c:valAx>
        <c:axId val="248825968"/>
        <c:scaling>
          <c:orientation val="minMax"/>
        </c:scaling>
        <c:delete val="0"/>
        <c:axPos val="l"/>
        <c:title>
          <c:tx>
            <c:rich>
              <a:bodyPr/>
              <a:lstStyle/>
              <a:p>
                <a:pPr>
                  <a:defRPr sz="1200" b="1" i="0" u="none" strike="noStrike" baseline="0">
                    <a:solidFill>
                      <a:srgbClr val="000000"/>
                    </a:solidFill>
                    <a:latin typeface="Arial"/>
                    <a:ea typeface="Arial"/>
                    <a:cs typeface="Arial"/>
                  </a:defRPr>
                </a:pPr>
                <a:r>
                  <a:rPr lang="en-US"/>
                  <a:t>Non Conformances</a:t>
                </a:r>
              </a:p>
            </c:rich>
          </c:tx>
          <c:layout>
            <c:manualLayout>
              <c:xMode val="edge"/>
              <c:yMode val="edge"/>
              <c:x val="1.4354336528333072E-2"/>
              <c:y val="0.2800372534078401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48825576"/>
        <c:crosses val="autoZero"/>
        <c:crossBetween val="between"/>
      </c:valAx>
      <c:catAx>
        <c:axId val="248826360"/>
        <c:scaling>
          <c:orientation val="minMax"/>
        </c:scaling>
        <c:delete val="1"/>
        <c:axPos val="b"/>
        <c:majorTickMark val="out"/>
        <c:minorTickMark val="none"/>
        <c:tickLblPos val="nextTo"/>
        <c:crossAx val="249117888"/>
        <c:crosses val="autoZero"/>
        <c:auto val="1"/>
        <c:lblAlgn val="ctr"/>
        <c:lblOffset val="100"/>
        <c:noMultiLvlLbl val="0"/>
      </c:catAx>
      <c:valAx>
        <c:axId val="249117888"/>
        <c:scaling>
          <c:orientation val="minMax"/>
          <c:max val="1"/>
          <c:min val="0"/>
        </c:scaling>
        <c:delete val="0"/>
        <c:axPos val="r"/>
        <c:title>
          <c:tx>
            <c:rich>
              <a:bodyPr/>
              <a:lstStyle/>
              <a:p>
                <a:pPr>
                  <a:defRPr sz="1000" b="0" i="0" u="none" strike="noStrike" baseline="0">
                    <a:solidFill>
                      <a:srgbClr val="000000"/>
                    </a:solidFill>
                    <a:latin typeface="Arial"/>
                    <a:ea typeface="Arial"/>
                    <a:cs typeface="Arial"/>
                  </a:defRPr>
                </a:pPr>
                <a:r>
                  <a:rPr lang="en-US"/>
                  <a:t>Cumulative %</a:t>
                </a:r>
              </a:p>
            </c:rich>
          </c:tx>
          <c:layout>
            <c:manualLayout>
              <c:xMode val="edge"/>
              <c:yMode val="edge"/>
              <c:x val="0.95693908549679629"/>
              <c:y val="0.3523046312759292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48826360"/>
        <c:crosses val="max"/>
        <c:crossBetween val="between"/>
        <c:majorUnit val="0.2"/>
      </c:valAx>
      <c:spPr>
        <a:noFill/>
        <a:ln w="25400">
          <a:noFill/>
        </a:ln>
      </c:spPr>
    </c:plotArea>
    <c:legend>
      <c:legendPos val="r"/>
      <c:legendEntry>
        <c:idx val="2"/>
        <c:delete val="1"/>
      </c:legendEntry>
      <c:layout>
        <c:manualLayout>
          <c:xMode val="edge"/>
          <c:yMode val="edge"/>
          <c:x val="7.0175463100371885E-2"/>
          <c:y val="0.93225213783760896"/>
          <c:w val="0.84051166553183077"/>
          <c:h val="5.962069257471847E-2"/>
        </c:manualLayout>
      </c:layout>
      <c:overlay val="0"/>
      <c:spPr>
        <a:solidFill>
          <a:srgbClr val="FFFFFF"/>
        </a:solidFill>
        <a:ln w="25400">
          <a:noFill/>
        </a:ln>
      </c:spPr>
      <c:txPr>
        <a:bodyPr/>
        <a:lstStyle/>
        <a:p>
          <a:pPr>
            <a:defRPr sz="65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solidFill>
        <a:schemeClr val="tx1"/>
      </a:solid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723900</xdr:colOff>
      <xdr:row>31</xdr:row>
      <xdr:rowOff>66675</xdr:rowOff>
    </xdr:from>
    <xdr:to>
      <xdr:col>17</xdr:col>
      <xdr:colOff>9525</xdr:colOff>
      <xdr:row>45</xdr:row>
      <xdr:rowOff>0</xdr:rowOff>
    </xdr:to>
    <xdr:graphicFrame macro="">
      <xdr:nvGraphicFramePr>
        <xdr:cNvPr id="1292978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869157</xdr:colOff>
      <xdr:row>12</xdr:row>
      <xdr:rowOff>11907</xdr:rowOff>
    </xdr:from>
    <xdr:to>
      <xdr:col>16</xdr:col>
      <xdr:colOff>166688</xdr:colOff>
      <xdr:row>29</xdr:row>
      <xdr:rowOff>71439</xdr:rowOff>
    </xdr:to>
    <xdr:graphicFrame macro="">
      <xdr:nvGraphicFramePr>
        <xdr:cNvPr id="1292978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9525</xdr:colOff>
      <xdr:row>31</xdr:row>
      <xdr:rowOff>66675</xdr:rowOff>
    </xdr:from>
    <xdr:to>
      <xdr:col>4</xdr:col>
      <xdr:colOff>762000</xdr:colOff>
      <xdr:row>44</xdr:row>
      <xdr:rowOff>85725</xdr:rowOff>
    </xdr:to>
    <xdr:graphicFrame macro="">
      <xdr:nvGraphicFramePr>
        <xdr:cNvPr id="1292978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200025</xdr:colOff>
      <xdr:row>13</xdr:row>
      <xdr:rowOff>85725</xdr:rowOff>
    </xdr:from>
    <xdr:to>
      <xdr:col>4</xdr:col>
      <xdr:colOff>0</xdr:colOff>
      <xdr:row>28</xdr:row>
      <xdr:rowOff>9525</xdr:rowOff>
    </xdr:to>
    <xdr:graphicFrame macro="">
      <xdr:nvGraphicFramePr>
        <xdr:cNvPr id="1292978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wsDr>
</file>

<file path=xl/drawings/drawing2.xml><?xml version="1.0" encoding="utf-8"?>
<c:userShapes xmlns:c="http://schemas.openxmlformats.org/drawingml/2006/chart">
  <cdr:relSizeAnchor xmlns:cdr="http://schemas.openxmlformats.org/drawingml/2006/chartDrawing">
    <cdr:from>
      <cdr:x>0.95366</cdr:x>
      <cdr:y>0.98244</cdr:y>
    </cdr:from>
    <cdr:to>
      <cdr:x>0.9823</cdr:x>
      <cdr:y>0.97803</cdr:y>
    </cdr:to>
    <cdr:sp macro="" textlink="">
      <cdr:nvSpPr>
        <cdr:cNvPr id="2049" name="Text Box 1"/>
        <cdr:cNvSpPr txBox="1">
          <a:spLocks xmlns:a="http://schemas.openxmlformats.org/drawingml/2006/main" noChangeArrowheads="1"/>
        </cdr:cNvSpPr>
      </cdr:nvSpPr>
      <cdr:spPr bwMode="auto">
        <a:xfrm xmlns:a="http://schemas.openxmlformats.org/drawingml/2006/main">
          <a:off x="4884712" y="2314609"/>
          <a:ext cx="146707" cy="106889"/>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FFFFFF"/>
              </a:solidFill>
              <a:latin typeface="Arial"/>
              <a:cs typeface="Arial"/>
            </a:rPr>
            <a:t>[42]</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http://vamportal/New%20Templates/LGS-QAG-QA%20Audit%20Repor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viPrasad\Downloads\pareto-char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dit Report"/>
      <sheetName val="Data"/>
    </sheetNames>
    <sheetDataSet>
      <sheetData sheetId="0" refreshError="1"/>
      <sheetData sheetId="1">
        <row r="24">
          <cell r="D24" t="str">
            <v>Requirement Analysis</v>
          </cell>
        </row>
        <row r="25">
          <cell r="D25" t="str">
            <v>Design</v>
          </cell>
        </row>
        <row r="26">
          <cell r="D26" t="str">
            <v>Development</v>
          </cell>
        </row>
        <row r="27">
          <cell r="B27" t="str">
            <v>Development</v>
          </cell>
          <cell r="D27" t="str">
            <v>Testing</v>
          </cell>
        </row>
        <row r="28">
          <cell r="B28" t="str">
            <v>Enhancement</v>
          </cell>
          <cell r="D28" t="str">
            <v>Deployment</v>
          </cell>
        </row>
        <row r="29">
          <cell r="B29" t="str">
            <v>Re-Engineering</v>
          </cell>
          <cell r="D29" t="str">
            <v>Maintenance</v>
          </cell>
        </row>
        <row r="30">
          <cell r="B30" t="str">
            <v>Migration</v>
          </cell>
          <cell r="D30" t="str">
            <v>Support</v>
          </cell>
        </row>
        <row r="31">
          <cell r="B31" t="str">
            <v>Maintenance</v>
          </cell>
        </row>
        <row r="32">
          <cell r="B32" t="str">
            <v>Support</v>
          </cell>
        </row>
        <row r="33">
          <cell r="B33" t="str">
            <v>QA/Testing</v>
          </cell>
        </row>
        <row r="34">
          <cell r="B34" t="str">
            <v>Support</v>
          </cell>
        </row>
        <row r="35">
          <cell r="B35" t="str">
            <v>Staffing</v>
          </cell>
        </row>
        <row r="49">
          <cell r="B49" t="str">
            <v>Green</v>
          </cell>
        </row>
        <row r="50">
          <cell r="B50" t="str">
            <v>Yellow</v>
          </cell>
        </row>
        <row r="51">
          <cell r="B51" t="str">
            <v>Red</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etoChart"/>
    </sheetNames>
    <sheetDataSet>
      <sheetData sheetId="0">
        <row r="32">
          <cell r="E32" t="str">
            <v>Cumulative%</v>
          </cell>
          <cell r="H32" t="str">
            <v>Vital Few</v>
          </cell>
          <cell r="I32" t="str">
            <v>Useful Many</v>
          </cell>
          <cell r="J32" t="str">
            <v>Cut Off %</v>
          </cell>
        </row>
        <row r="33">
          <cell r="C33" t="str">
            <v>Planning</v>
          </cell>
          <cell r="E33">
            <v>0.7</v>
          </cell>
          <cell r="H33">
            <v>7</v>
          </cell>
          <cell r="I33" t="str">
            <v/>
          </cell>
          <cell r="J33">
            <v>0.8</v>
          </cell>
        </row>
        <row r="34">
          <cell r="C34" t="str">
            <v>Monitoring &amp; Control</v>
          </cell>
          <cell r="E34">
            <v>1</v>
          </cell>
          <cell r="H34">
            <v>3</v>
          </cell>
          <cell r="I34" t="str">
            <v/>
          </cell>
          <cell r="J34">
            <v>0.8</v>
          </cell>
        </row>
        <row r="35">
          <cell r="E35">
            <v>1</v>
          </cell>
          <cell r="H35" t="str">
            <v/>
          </cell>
          <cell r="I35">
            <v>0</v>
          </cell>
          <cell r="J35">
            <v>0.8</v>
          </cell>
        </row>
        <row r="36">
          <cell r="E36">
            <v>1</v>
          </cell>
          <cell r="H36" t="str">
            <v/>
          </cell>
          <cell r="I36">
            <v>0</v>
          </cell>
          <cell r="J36">
            <v>0.8</v>
          </cell>
        </row>
        <row r="37">
          <cell r="E37">
            <v>1</v>
          </cell>
          <cell r="H37" t="str">
            <v/>
          </cell>
          <cell r="I37">
            <v>0</v>
          </cell>
          <cell r="J37">
            <v>0.8</v>
          </cell>
        </row>
        <row r="38">
          <cell r="E38">
            <v>1</v>
          </cell>
          <cell r="H38" t="str">
            <v/>
          </cell>
          <cell r="I38">
            <v>0</v>
          </cell>
          <cell r="J38">
            <v>0.8</v>
          </cell>
        </row>
        <row r="39">
          <cell r="E39">
            <v>1</v>
          </cell>
          <cell r="H39" t="str">
            <v/>
          </cell>
          <cell r="I39">
            <v>0</v>
          </cell>
          <cell r="J39">
            <v>0.8</v>
          </cell>
        </row>
        <row r="40">
          <cell r="E40">
            <v>1</v>
          </cell>
          <cell r="H40" t="str">
            <v/>
          </cell>
          <cell r="I40">
            <v>0</v>
          </cell>
          <cell r="J40">
            <v>0.8</v>
          </cell>
        </row>
        <row r="41">
          <cell r="E41">
            <v>1</v>
          </cell>
          <cell r="H41" t="str">
            <v/>
          </cell>
          <cell r="I41">
            <v>0</v>
          </cell>
          <cell r="J41">
            <v>0.8</v>
          </cell>
        </row>
        <row r="42">
          <cell r="E42">
            <v>1</v>
          </cell>
          <cell r="H42" t="str">
            <v/>
          </cell>
          <cell r="I42">
            <v>0</v>
          </cell>
          <cell r="J42">
            <v>0.8</v>
          </cell>
        </row>
        <row r="43">
          <cell r="E43">
            <v>1</v>
          </cell>
          <cell r="H43" t="str">
            <v/>
          </cell>
          <cell r="I43">
            <v>0</v>
          </cell>
          <cell r="J43">
            <v>0.8</v>
          </cell>
        </row>
        <row r="44">
          <cell r="E44">
            <v>1</v>
          </cell>
          <cell r="H44" t="str">
            <v/>
          </cell>
          <cell r="I44">
            <v>0</v>
          </cell>
          <cell r="J44">
            <v>0.8</v>
          </cell>
        </row>
        <row r="45">
          <cell r="E45">
            <v>1</v>
          </cell>
          <cell r="H45" t="str">
            <v/>
          </cell>
          <cell r="I45">
            <v>0</v>
          </cell>
          <cell r="J45">
            <v>0.8</v>
          </cell>
        </row>
        <row r="46">
          <cell r="E46">
            <v>1</v>
          </cell>
          <cell r="H46" t="str">
            <v/>
          </cell>
          <cell r="I46">
            <v>0</v>
          </cell>
          <cell r="J46">
            <v>0.8</v>
          </cell>
        </row>
        <row r="47">
          <cell r="E47">
            <v>1</v>
          </cell>
          <cell r="H47" t="str">
            <v/>
          </cell>
          <cell r="I47">
            <v>0</v>
          </cell>
          <cell r="J47">
            <v>0.8</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zoomScale="80" zoomScaleNormal="80" workbookViewId="0">
      <pane ySplit="2" topLeftCell="A3" activePane="bottomLeft" state="frozen"/>
      <selection pane="bottomLeft" activeCell="C9" sqref="C9"/>
    </sheetView>
  </sheetViews>
  <sheetFormatPr defaultRowHeight="12.75" x14ac:dyDescent="0.2"/>
  <cols>
    <col min="1" max="1" width="9.140625" style="5"/>
    <col min="2" max="2" width="51.85546875" style="5" customWidth="1"/>
    <col min="3" max="8" width="9.140625" style="5"/>
    <col min="9" max="9" width="29.140625" style="5" customWidth="1"/>
    <col min="10" max="16384" width="9.140625" style="5"/>
  </cols>
  <sheetData>
    <row r="1" spans="1:9" x14ac:dyDescent="0.2">
      <c r="A1" s="280" t="s">
        <v>582</v>
      </c>
      <c r="B1" s="281"/>
      <c r="C1" s="281"/>
      <c r="D1" s="281"/>
      <c r="E1" s="281"/>
      <c r="F1" s="281"/>
      <c r="G1" s="281"/>
      <c r="H1" s="281"/>
      <c r="I1" s="282"/>
    </row>
    <row r="2" spans="1:9" ht="18" x14ac:dyDescent="0.2">
      <c r="A2" s="283" t="s">
        <v>603</v>
      </c>
      <c r="B2" s="284"/>
      <c r="C2" s="284"/>
      <c r="D2" s="284"/>
      <c r="E2" s="284"/>
      <c r="F2" s="284"/>
      <c r="G2" s="284"/>
      <c r="H2" s="284"/>
      <c r="I2" s="285"/>
    </row>
    <row r="4" spans="1:9" ht="21" customHeight="1" x14ac:dyDescent="0.2">
      <c r="A4" s="236" t="s">
        <v>591</v>
      </c>
      <c r="B4" s="236" t="s">
        <v>592</v>
      </c>
    </row>
    <row r="5" spans="1:9" ht="25.5" x14ac:dyDescent="0.2">
      <c r="A5" s="3">
        <v>1</v>
      </c>
      <c r="B5" s="237" t="s">
        <v>593</v>
      </c>
    </row>
    <row r="6" spans="1:9" ht="81" customHeight="1" x14ac:dyDescent="0.2">
      <c r="A6" s="3">
        <v>2</v>
      </c>
      <c r="B6" s="237" t="s">
        <v>594</v>
      </c>
    </row>
    <row r="7" spans="1:9" ht="25.5" x14ac:dyDescent="0.2">
      <c r="A7" s="3">
        <v>3</v>
      </c>
      <c r="B7" s="237" t="s">
        <v>595</v>
      </c>
    </row>
    <row r="8" spans="1:9" ht="38.25" x14ac:dyDescent="0.2">
      <c r="A8" s="3">
        <v>4</v>
      </c>
      <c r="B8" s="3" t="s">
        <v>596</v>
      </c>
    </row>
    <row r="9" spans="1:9" ht="25.5" x14ac:dyDescent="0.2">
      <c r="A9" s="3">
        <v>5</v>
      </c>
      <c r="B9" s="3" t="s">
        <v>597</v>
      </c>
    </row>
    <row r="10" spans="1:9" ht="38.25" x14ac:dyDescent="0.2">
      <c r="A10" s="3">
        <v>6</v>
      </c>
      <c r="B10" s="3" t="s">
        <v>598</v>
      </c>
    </row>
    <row r="11" spans="1:9" x14ac:dyDescent="0.2">
      <c r="A11" s="3">
        <v>7</v>
      </c>
      <c r="B11" s="3" t="s">
        <v>599</v>
      </c>
    </row>
    <row r="12" spans="1:9" ht="80.25" customHeight="1" x14ac:dyDescent="0.2">
      <c r="A12" s="3">
        <v>8</v>
      </c>
      <c r="B12" s="3" t="s">
        <v>600</v>
      </c>
    </row>
    <row r="13" spans="1:9" ht="26.25" customHeight="1" x14ac:dyDescent="0.2">
      <c r="A13" s="3">
        <v>9</v>
      </c>
      <c r="B13" s="3" t="s">
        <v>601</v>
      </c>
    </row>
    <row r="14" spans="1:9" ht="51" x14ac:dyDescent="0.2">
      <c r="A14" s="3">
        <v>10</v>
      </c>
      <c r="B14" s="3" t="s">
        <v>602</v>
      </c>
    </row>
    <row r="15" spans="1:9" x14ac:dyDescent="0.2">
      <c r="A15" s="3"/>
      <c r="B15" s="3"/>
    </row>
    <row r="16" spans="1:9" x14ac:dyDescent="0.2">
      <c r="A16" s="3"/>
      <c r="B16" s="3"/>
    </row>
    <row r="17" spans="1:2" x14ac:dyDescent="0.2">
      <c r="A17" s="3"/>
      <c r="B17" s="3"/>
    </row>
    <row r="18" spans="1:2" x14ac:dyDescent="0.2">
      <c r="A18" s="3"/>
      <c r="B18" s="3"/>
    </row>
    <row r="19" spans="1:2" x14ac:dyDescent="0.2">
      <c r="A19" s="3"/>
      <c r="B19" s="3"/>
    </row>
    <row r="20" spans="1:2" x14ac:dyDescent="0.2">
      <c r="A20" s="3"/>
      <c r="B20" s="3"/>
    </row>
    <row r="21" spans="1:2" x14ac:dyDescent="0.2">
      <c r="A21" s="3"/>
      <c r="B21" s="3"/>
    </row>
    <row r="22" spans="1:2" x14ac:dyDescent="0.2">
      <c r="A22" s="3"/>
      <c r="B22" s="3"/>
    </row>
    <row r="23" spans="1:2" x14ac:dyDescent="0.2">
      <c r="A23" s="3"/>
      <c r="B23" s="3"/>
    </row>
    <row r="24" spans="1:2" x14ac:dyDescent="0.2">
      <c r="A24" s="3"/>
      <c r="B24" s="3"/>
    </row>
    <row r="25" spans="1:2" x14ac:dyDescent="0.2">
      <c r="A25" s="3"/>
      <c r="B25" s="3"/>
    </row>
    <row r="26" spans="1:2" x14ac:dyDescent="0.2">
      <c r="A26" s="3"/>
      <c r="B26" s="3"/>
    </row>
    <row r="27" spans="1:2" x14ac:dyDescent="0.2">
      <c r="A27" s="3"/>
      <c r="B27" s="3"/>
    </row>
  </sheetData>
  <mergeCells count="2">
    <mergeCell ref="A1:I1"/>
    <mergeCell ref="A2:I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8"/>
  </sheetPr>
  <dimension ref="A2:U17"/>
  <sheetViews>
    <sheetView showGridLines="0" zoomScale="80" zoomScaleNormal="80" workbookViewId="0">
      <pane ySplit="3" topLeftCell="A10" activePane="bottomLeft" state="frozen"/>
      <selection pane="bottomLeft" activeCell="M5" sqref="M5"/>
    </sheetView>
  </sheetViews>
  <sheetFormatPr defaultRowHeight="12.75" x14ac:dyDescent="0.2"/>
  <cols>
    <col min="1" max="1" width="5.28515625" style="16" bestFit="1" customWidth="1"/>
    <col min="2" max="2" width="50.140625" style="24" customWidth="1"/>
    <col min="3" max="3" width="13.140625" style="24" bestFit="1" customWidth="1"/>
    <col min="4" max="4" width="7.85546875" style="24" hidden="1" customWidth="1"/>
    <col min="5" max="6" width="13.7109375" style="24" hidden="1" customWidth="1"/>
    <col min="7" max="7" width="44.7109375" style="24" customWidth="1"/>
    <col min="8" max="8" width="12.28515625" style="16" customWidth="1"/>
    <col min="9" max="11" width="12.28515625" style="16" hidden="1" customWidth="1"/>
    <col min="12" max="12" width="11" style="16" hidden="1" customWidth="1"/>
    <col min="13" max="13" width="45.85546875" style="16" bestFit="1" customWidth="1"/>
    <col min="14" max="14" width="24.85546875" style="16" customWidth="1"/>
    <col min="15" max="15" width="28.85546875" style="16" customWidth="1"/>
    <col min="16" max="16" width="21.7109375" style="36" customWidth="1"/>
    <col min="17" max="18" width="21.7109375" style="16" customWidth="1"/>
    <col min="19" max="19" width="12.28515625" style="36" hidden="1" customWidth="1"/>
    <col min="20" max="20" width="18.85546875" style="16" hidden="1" customWidth="1"/>
    <col min="21" max="21" width="22.85546875" style="16" hidden="1" customWidth="1"/>
    <col min="22" max="16384" width="9.140625" style="16"/>
  </cols>
  <sheetData>
    <row r="2" spans="1:21" ht="25.5" x14ac:dyDescent="0.2">
      <c r="A2" s="13" t="s">
        <v>14</v>
      </c>
      <c r="B2" s="13" t="s">
        <v>454</v>
      </c>
      <c r="C2" s="13" t="s">
        <v>455</v>
      </c>
      <c r="D2" s="13" t="s">
        <v>158</v>
      </c>
      <c r="E2" s="13" t="s">
        <v>255</v>
      </c>
      <c r="F2" s="13" t="s">
        <v>491</v>
      </c>
      <c r="G2" s="13" t="s">
        <v>358</v>
      </c>
      <c r="H2" s="15" t="s">
        <v>243</v>
      </c>
      <c r="I2" s="15" t="s">
        <v>244</v>
      </c>
      <c r="J2" s="15" t="s">
        <v>251</v>
      </c>
      <c r="K2" s="15" t="s">
        <v>252</v>
      </c>
      <c r="L2" s="15" t="s">
        <v>253</v>
      </c>
      <c r="M2" s="13" t="s">
        <v>4</v>
      </c>
      <c r="N2" s="13" t="s">
        <v>5</v>
      </c>
      <c r="O2" s="13" t="s">
        <v>6</v>
      </c>
      <c r="P2" s="26" t="s">
        <v>91</v>
      </c>
      <c r="Q2" s="13" t="s">
        <v>81</v>
      </c>
      <c r="R2" s="13" t="s">
        <v>564</v>
      </c>
      <c r="S2" s="26" t="s">
        <v>31</v>
      </c>
      <c r="T2" s="13" t="s">
        <v>238</v>
      </c>
      <c r="U2" s="15" t="s">
        <v>239</v>
      </c>
    </row>
    <row r="3" spans="1:21" s="18" customFormat="1" x14ac:dyDescent="0.2">
      <c r="A3" s="17"/>
      <c r="B3" s="17" t="s">
        <v>298</v>
      </c>
      <c r="C3" s="17"/>
      <c r="D3" s="17"/>
      <c r="E3" s="17"/>
      <c r="F3" s="17"/>
      <c r="G3" s="17"/>
      <c r="H3" s="17"/>
      <c r="I3" s="17"/>
      <c r="J3" s="17"/>
      <c r="K3" s="17"/>
      <c r="L3" s="17"/>
      <c r="M3" s="17"/>
      <c r="N3" s="17"/>
      <c r="O3" s="17"/>
      <c r="P3" s="27"/>
      <c r="Q3" s="17"/>
      <c r="R3" s="17"/>
      <c r="S3" s="27"/>
      <c r="T3" s="17"/>
      <c r="U3" s="17"/>
    </row>
    <row r="4" spans="1:21" x14ac:dyDescent="0.2">
      <c r="A4" s="19">
        <v>1</v>
      </c>
      <c r="B4" s="20" t="s">
        <v>299</v>
      </c>
      <c r="C4" s="20" t="s">
        <v>159</v>
      </c>
      <c r="D4" s="20">
        <f>IF(C4="Critical",ISO90012008!B143,IF(C4="Major",ISO90012008!B144,IF(C4="Minor",ISO90012008!B145,"")))</f>
        <v>3</v>
      </c>
      <c r="E4" s="20"/>
      <c r="F4" s="34" t="s">
        <v>493</v>
      </c>
      <c r="G4" s="34" t="s">
        <v>395</v>
      </c>
      <c r="H4" s="1" t="s">
        <v>611</v>
      </c>
      <c r="I4" s="1"/>
      <c r="J4" s="1" t="s">
        <v>462</v>
      </c>
      <c r="K4" s="1" t="s">
        <v>462</v>
      </c>
      <c r="L4" s="1" t="s">
        <v>462</v>
      </c>
      <c r="M4" s="23" t="s">
        <v>644</v>
      </c>
      <c r="N4" s="23"/>
      <c r="O4" s="23"/>
      <c r="P4" s="29"/>
      <c r="Q4" s="21"/>
      <c r="R4" s="21"/>
      <c r="S4" s="37" t="s">
        <v>233</v>
      </c>
      <c r="T4" s="19"/>
      <c r="U4" s="33"/>
    </row>
    <row r="5" spans="1:21" ht="105.75" customHeight="1" x14ac:dyDescent="0.2">
      <c r="A5" s="19">
        <v>2</v>
      </c>
      <c r="B5" s="34" t="s">
        <v>570</v>
      </c>
      <c r="C5" s="34" t="s">
        <v>109</v>
      </c>
      <c r="D5" s="20">
        <f>IF(C5="Critical",ISO90012008!B143,IF(C5="Major",ISO90012008!B144,IF(C5="Minor",ISO90012008!B145,"")))</f>
        <v>5</v>
      </c>
      <c r="E5" s="20"/>
      <c r="F5" s="34" t="s">
        <v>493</v>
      </c>
      <c r="G5" s="34" t="s">
        <v>578</v>
      </c>
      <c r="H5" s="1" t="s">
        <v>611</v>
      </c>
      <c r="I5" s="1"/>
      <c r="J5" s="1" t="s">
        <v>462</v>
      </c>
      <c r="K5" s="1" t="s">
        <v>462</v>
      </c>
      <c r="L5" s="1" t="s">
        <v>462</v>
      </c>
      <c r="M5" s="23"/>
      <c r="N5" s="23"/>
      <c r="O5" s="23"/>
      <c r="P5" s="29"/>
      <c r="Q5" s="21"/>
      <c r="R5" s="21"/>
      <c r="S5" s="37" t="s">
        <v>233</v>
      </c>
      <c r="T5" s="19"/>
      <c r="U5" s="33"/>
    </row>
    <row r="6" spans="1:21" ht="76.5" x14ac:dyDescent="0.2">
      <c r="A6" s="19">
        <v>3</v>
      </c>
      <c r="B6" s="34" t="s">
        <v>571</v>
      </c>
      <c r="C6" s="34" t="s">
        <v>159</v>
      </c>
      <c r="D6" s="20">
        <f>IF(C6="Critical",ISO90012008!B143,IF(C6="Major",ISO90012008!B144,IF(C6="Minor",ISO90012008!B145,"")))</f>
        <v>3</v>
      </c>
      <c r="E6" s="34"/>
      <c r="F6" s="34" t="s">
        <v>493</v>
      </c>
      <c r="G6" s="34" t="s">
        <v>578</v>
      </c>
      <c r="H6" s="1" t="s">
        <v>611</v>
      </c>
      <c r="I6" s="1"/>
      <c r="J6" s="1" t="s">
        <v>462</v>
      </c>
      <c r="K6" s="1" t="s">
        <v>462</v>
      </c>
      <c r="L6" s="1" t="s">
        <v>462</v>
      </c>
      <c r="M6" s="23"/>
      <c r="N6" s="22"/>
      <c r="O6" s="19"/>
      <c r="P6" s="21"/>
      <c r="Q6" s="21"/>
      <c r="R6" s="21"/>
      <c r="S6" s="37" t="s">
        <v>233</v>
      </c>
      <c r="T6" s="19"/>
      <c r="U6" s="33"/>
    </row>
    <row r="7" spans="1:21" x14ac:dyDescent="0.2">
      <c r="A7" s="19">
        <v>4</v>
      </c>
      <c r="B7" s="28" t="s">
        <v>99</v>
      </c>
      <c r="C7" s="34" t="s">
        <v>159</v>
      </c>
      <c r="D7" s="20">
        <f>IF(C7="Critical",ISO90012008!B143,IF(C7="Major",ISO90012008!B144,IF(C7="Minor",ISO90012008!B145,"")))</f>
        <v>3</v>
      </c>
      <c r="E7" s="28"/>
      <c r="F7" s="34" t="s">
        <v>493</v>
      </c>
      <c r="G7" s="34" t="s">
        <v>396</v>
      </c>
      <c r="H7" s="1" t="s">
        <v>611</v>
      </c>
      <c r="I7" s="1"/>
      <c r="J7" s="1" t="s">
        <v>462</v>
      </c>
      <c r="K7" s="1" t="s">
        <v>462</v>
      </c>
      <c r="L7" s="1" t="s">
        <v>462</v>
      </c>
      <c r="M7" s="23" t="s">
        <v>645</v>
      </c>
      <c r="N7" s="22"/>
      <c r="O7" s="19"/>
      <c r="P7" s="21"/>
      <c r="Q7" s="21"/>
      <c r="R7" s="21"/>
      <c r="S7" s="37" t="s">
        <v>233</v>
      </c>
      <c r="T7" s="19"/>
      <c r="U7" s="33"/>
    </row>
    <row r="8" spans="1:21" s="18" customFormat="1" x14ac:dyDescent="0.2">
      <c r="A8" s="17"/>
      <c r="B8" s="17" t="s">
        <v>300</v>
      </c>
      <c r="C8" s="17"/>
      <c r="D8" s="17"/>
      <c r="E8" s="17"/>
      <c r="F8" s="17"/>
      <c r="G8" s="17"/>
      <c r="H8" s="17"/>
      <c r="I8" s="17"/>
      <c r="J8" s="17"/>
      <c r="K8" s="17"/>
      <c r="L8" s="17"/>
      <c r="M8" s="17"/>
      <c r="N8" s="17"/>
      <c r="O8" s="17"/>
      <c r="P8" s="27"/>
      <c r="Q8" s="17"/>
      <c r="R8" s="17"/>
      <c r="S8" s="27"/>
      <c r="T8" s="17"/>
      <c r="U8" s="17"/>
    </row>
    <row r="9" spans="1:21" ht="25.5" x14ac:dyDescent="0.2">
      <c r="A9" s="19">
        <v>1</v>
      </c>
      <c r="B9" s="23" t="s">
        <v>572</v>
      </c>
      <c r="C9" s="34" t="s">
        <v>109</v>
      </c>
      <c r="D9" s="20">
        <f>IF(C9="Critical",ISO90012008!B143,IF(C9="Major",ISO90012008!B144,IF(C9="Minor",ISO90012008!B145,"")))</f>
        <v>5</v>
      </c>
      <c r="E9" s="23"/>
      <c r="F9" s="23" t="s">
        <v>494</v>
      </c>
      <c r="G9" s="23" t="s">
        <v>397</v>
      </c>
      <c r="H9" s="1" t="s">
        <v>611</v>
      </c>
      <c r="I9" s="1"/>
      <c r="J9" s="1" t="s">
        <v>462</v>
      </c>
      <c r="K9" s="1" t="s">
        <v>462</v>
      </c>
      <c r="L9" s="1" t="s">
        <v>462</v>
      </c>
      <c r="M9" s="23"/>
      <c r="N9" s="22"/>
      <c r="O9" s="22"/>
      <c r="P9" s="29"/>
      <c r="Q9" s="21"/>
      <c r="R9" s="21"/>
      <c r="S9" s="38" t="s">
        <v>180</v>
      </c>
      <c r="T9" s="19"/>
      <c r="U9" s="33"/>
    </row>
    <row r="10" spans="1:21" ht="76.5" x14ac:dyDescent="0.2">
      <c r="A10" s="19">
        <v>2</v>
      </c>
      <c r="B10" s="23" t="s">
        <v>573</v>
      </c>
      <c r="C10" s="23" t="s">
        <v>160</v>
      </c>
      <c r="D10" s="20">
        <f>IF(C10="Critical",ISO90012008!B143,IF(C10="Major",ISO90012008!B144,IF(C10="Minor",ISO90012008!B145,"")))</f>
        <v>1</v>
      </c>
      <c r="E10" s="23" t="s">
        <v>427</v>
      </c>
      <c r="F10" s="23" t="s">
        <v>494</v>
      </c>
      <c r="G10" s="23" t="s">
        <v>541</v>
      </c>
      <c r="H10" s="1" t="s">
        <v>462</v>
      </c>
      <c r="I10" s="1"/>
      <c r="J10" s="1" t="s">
        <v>462</v>
      </c>
      <c r="K10" s="1" t="s">
        <v>462</v>
      </c>
      <c r="L10" s="1" t="s">
        <v>462</v>
      </c>
      <c r="M10" s="23"/>
      <c r="N10" s="22"/>
      <c r="O10" s="22"/>
      <c r="P10" s="21"/>
      <c r="Q10" s="29"/>
      <c r="R10" s="29"/>
      <c r="S10" s="38" t="s">
        <v>110</v>
      </c>
      <c r="T10" s="19"/>
      <c r="U10" s="33"/>
    </row>
    <row r="11" spans="1:21" ht="76.5" x14ac:dyDescent="0.2">
      <c r="A11" s="19">
        <v>3</v>
      </c>
      <c r="B11" s="23" t="s">
        <v>574</v>
      </c>
      <c r="C11" s="34" t="s">
        <v>159</v>
      </c>
      <c r="D11" s="20">
        <f>IF(C11="Critical",ISO90012008!B143,IF(C11="Major",ISO90012008!B144,IF(C11="Minor",ISO90012008!B145,"")))</f>
        <v>3</v>
      </c>
      <c r="E11" s="23" t="s">
        <v>427</v>
      </c>
      <c r="F11" s="23" t="s">
        <v>494</v>
      </c>
      <c r="G11" s="23" t="s">
        <v>542</v>
      </c>
      <c r="H11" s="1" t="s">
        <v>462</v>
      </c>
      <c r="I11" s="1"/>
      <c r="J11" s="1" t="s">
        <v>462</v>
      </c>
      <c r="K11" s="1" t="s">
        <v>462</v>
      </c>
      <c r="L11" s="1" t="s">
        <v>462</v>
      </c>
      <c r="M11" s="23"/>
      <c r="N11" s="19"/>
      <c r="O11" s="22"/>
      <c r="P11" s="21"/>
      <c r="Q11" s="33"/>
      <c r="R11" s="33"/>
      <c r="S11" s="38" t="s">
        <v>110</v>
      </c>
      <c r="T11" s="19"/>
      <c r="U11" s="33"/>
    </row>
    <row r="12" spans="1:21" ht="76.5" x14ac:dyDescent="0.2">
      <c r="A12" s="19">
        <v>4</v>
      </c>
      <c r="B12" s="23" t="s">
        <v>575</v>
      </c>
      <c r="C12" s="34" t="s">
        <v>109</v>
      </c>
      <c r="D12" s="20">
        <f>IF(C12="Critical",ISO90012008!B143,IF(C12="Major",ISO90012008!B144,IF(C12="Minor",ISO90012008!B145,"")))</f>
        <v>5</v>
      </c>
      <c r="E12" s="23" t="s">
        <v>427</v>
      </c>
      <c r="F12" s="23" t="s">
        <v>494</v>
      </c>
      <c r="G12" s="23" t="s">
        <v>544</v>
      </c>
      <c r="H12" s="1" t="s">
        <v>462</v>
      </c>
      <c r="I12" s="1"/>
      <c r="J12" s="1" t="s">
        <v>462</v>
      </c>
      <c r="K12" s="1" t="s">
        <v>462</v>
      </c>
      <c r="L12" s="1" t="s">
        <v>462</v>
      </c>
      <c r="M12" s="23"/>
      <c r="N12" s="19"/>
      <c r="O12" s="22"/>
      <c r="P12" s="29"/>
      <c r="Q12" s="21"/>
      <c r="R12" s="21"/>
      <c r="S12" s="38" t="s">
        <v>110</v>
      </c>
      <c r="T12" s="19"/>
      <c r="U12" s="33"/>
    </row>
    <row r="13" spans="1:21" ht="51" x14ac:dyDescent="0.2">
      <c r="A13" s="19">
        <v>5</v>
      </c>
      <c r="B13" s="23" t="s">
        <v>576</v>
      </c>
      <c r="C13" s="23" t="s">
        <v>160</v>
      </c>
      <c r="D13" s="20">
        <f>IF(C13="Critical",ISO90012008!B143,IF(C13="Major",ISO90012008!B144,IF(C13="Minor",ISO90012008!B145,"")))</f>
        <v>1</v>
      </c>
      <c r="E13" s="22"/>
      <c r="F13" s="23" t="s">
        <v>494</v>
      </c>
      <c r="G13" s="23" t="s">
        <v>543</v>
      </c>
      <c r="H13" s="1" t="s">
        <v>462</v>
      </c>
      <c r="I13" s="1"/>
      <c r="J13" s="1" t="s">
        <v>462</v>
      </c>
      <c r="K13" s="1" t="s">
        <v>462</v>
      </c>
      <c r="L13" s="1" t="s">
        <v>462</v>
      </c>
      <c r="M13" s="23"/>
      <c r="N13" s="19"/>
      <c r="O13" s="22"/>
      <c r="P13" s="29"/>
      <c r="Q13" s="33"/>
      <c r="R13" s="33"/>
      <c r="S13" s="38" t="s">
        <v>110</v>
      </c>
      <c r="T13" s="19"/>
      <c r="U13" s="33"/>
    </row>
    <row r="14" spans="1:21" x14ac:dyDescent="0.2">
      <c r="A14" s="19">
        <v>6</v>
      </c>
      <c r="B14" s="23" t="s">
        <v>452</v>
      </c>
      <c r="C14" s="23" t="s">
        <v>159</v>
      </c>
      <c r="D14" s="20">
        <f>IF(C14="Critical",ISO90012008!B143,IF(C14="Major",ISO90012008!B144,IF(C14="Minor",ISO90012008!B145,"")))</f>
        <v>3</v>
      </c>
      <c r="E14" s="23" t="s">
        <v>451</v>
      </c>
      <c r="F14" s="23" t="s">
        <v>494</v>
      </c>
      <c r="G14" s="23" t="s">
        <v>453</v>
      </c>
      <c r="H14" s="1" t="s">
        <v>462</v>
      </c>
      <c r="I14" s="1"/>
      <c r="J14" s="1" t="s">
        <v>462</v>
      </c>
      <c r="K14" s="1" t="s">
        <v>462</v>
      </c>
      <c r="L14" s="1" t="s">
        <v>462</v>
      </c>
      <c r="M14" s="23"/>
      <c r="N14" s="22"/>
      <c r="O14" s="22"/>
      <c r="P14" s="21"/>
      <c r="Q14" s="33"/>
      <c r="R14" s="33"/>
      <c r="S14" s="38" t="s">
        <v>512</v>
      </c>
      <c r="T14" s="19"/>
      <c r="U14" s="33"/>
    </row>
    <row r="15" spans="1:21" ht="25.5" x14ac:dyDescent="0.2">
      <c r="A15" s="19">
        <v>7</v>
      </c>
      <c r="B15" s="23" t="s">
        <v>577</v>
      </c>
      <c r="C15" s="23" t="s">
        <v>160</v>
      </c>
      <c r="D15" s="20">
        <f>IF(C15="Critical",ISO90012008!B143,IF(C15="Major",ISO90012008!B144,IF(C15="Minor",ISO90012008!B145,"")))</f>
        <v>1</v>
      </c>
      <c r="E15" s="23"/>
      <c r="F15" s="23" t="s">
        <v>494</v>
      </c>
      <c r="G15" s="23" t="s">
        <v>398</v>
      </c>
      <c r="H15" s="1" t="s">
        <v>462</v>
      </c>
      <c r="I15" s="1"/>
      <c r="J15" s="1" t="s">
        <v>462</v>
      </c>
      <c r="K15" s="1" t="s">
        <v>462</v>
      </c>
      <c r="L15" s="1" t="s">
        <v>462</v>
      </c>
      <c r="M15" s="19"/>
      <c r="N15" s="22"/>
      <c r="O15" s="22"/>
      <c r="P15" s="21"/>
      <c r="Q15" s="21"/>
      <c r="R15" s="21"/>
      <c r="S15" s="38" t="s">
        <v>180</v>
      </c>
      <c r="T15" s="19"/>
      <c r="U15" s="33"/>
    </row>
    <row r="16" spans="1:21" s="18" customFormat="1" x14ac:dyDescent="0.2">
      <c r="A16" s="17"/>
      <c r="B16" s="17" t="s">
        <v>301</v>
      </c>
      <c r="C16" s="17"/>
      <c r="D16" s="17"/>
      <c r="E16" s="17"/>
      <c r="F16" s="17"/>
      <c r="G16" s="17"/>
      <c r="H16" s="17"/>
      <c r="I16" s="17"/>
      <c r="J16" s="17"/>
      <c r="K16" s="17"/>
      <c r="L16" s="17"/>
      <c r="M16" s="17"/>
      <c r="N16" s="17"/>
      <c r="O16" s="17"/>
      <c r="P16" s="27"/>
      <c r="Q16" s="17"/>
      <c r="R16" s="17"/>
      <c r="S16" s="27"/>
      <c r="T16" s="17"/>
      <c r="U16" s="17"/>
    </row>
    <row r="17" spans="1:21" s="24" customFormat="1" x14ac:dyDescent="0.2">
      <c r="A17" s="19">
        <v>1</v>
      </c>
      <c r="B17" s="23" t="s">
        <v>302</v>
      </c>
      <c r="C17" s="34" t="s">
        <v>109</v>
      </c>
      <c r="D17" s="20">
        <f>IF(C17="Critical",ISO90012008!B143,IF(C17="Major",ISO90012008!B144,IF(C17="Minor",ISO90012008!B145,"")))</f>
        <v>5</v>
      </c>
      <c r="E17" s="23"/>
      <c r="F17" s="23" t="s">
        <v>493</v>
      </c>
      <c r="G17" s="23" t="s">
        <v>399</v>
      </c>
      <c r="H17" s="1" t="s">
        <v>611</v>
      </c>
      <c r="I17" s="1"/>
      <c r="J17" s="1" t="s">
        <v>462</v>
      </c>
      <c r="K17" s="1" t="s">
        <v>462</v>
      </c>
      <c r="L17" s="1" t="s">
        <v>462</v>
      </c>
      <c r="M17" s="23"/>
      <c r="N17" s="19"/>
      <c r="O17" s="19"/>
      <c r="P17" s="29"/>
      <c r="Q17" s="21"/>
      <c r="R17" s="21"/>
      <c r="S17" s="38" t="s">
        <v>181</v>
      </c>
      <c r="T17" s="19"/>
      <c r="U17" s="33"/>
    </row>
  </sheetData>
  <autoFilter ref="A2:T17"/>
  <phoneticPr fontId="2" type="noConversion"/>
  <conditionalFormatting sqref="S9:T10 S12:T15 Q13:T15 M6:P7 M17 M14:T14 M10:S11 M9:O9 Q9:S9 M14:S15 M12:O12 M4:M5 M13 O13 O17 Q4:S7 Q12:S13 Q17:T17">
    <cfRule type="cellIs" dxfId="179" priority="589" stopIfTrue="1" operator="equal">
      <formula>"Yes"</formula>
    </cfRule>
    <cfRule type="cellIs" dxfId="178" priority="590" stopIfTrue="1" operator="equal">
      <formula>"No"</formula>
    </cfRule>
    <cfRule type="cellIs" dxfId="177" priority="591" stopIfTrue="1" operator="equal">
      <formula>"N/A"</formula>
    </cfRule>
  </conditionalFormatting>
  <conditionalFormatting sqref="N4:O5">
    <cfRule type="cellIs" dxfId="176" priority="7" stopIfTrue="1" operator="equal">
      <formula>"Yes"</formula>
    </cfRule>
    <cfRule type="cellIs" dxfId="175" priority="8" stopIfTrue="1" operator="equal">
      <formula>"No"</formula>
    </cfRule>
    <cfRule type="cellIs" dxfId="174" priority="9" stopIfTrue="1" operator="equal">
      <formula>"N/A"</formula>
    </cfRule>
  </conditionalFormatting>
  <conditionalFormatting sqref="N13">
    <cfRule type="cellIs" dxfId="173" priority="4" stopIfTrue="1" operator="equal">
      <formula>"Yes"</formula>
    </cfRule>
    <cfRule type="cellIs" dxfId="172" priority="5" stopIfTrue="1" operator="equal">
      <formula>"No"</formula>
    </cfRule>
    <cfRule type="cellIs" dxfId="171" priority="6" stopIfTrue="1" operator="equal">
      <formula>"N/A"</formula>
    </cfRule>
  </conditionalFormatting>
  <conditionalFormatting sqref="N17">
    <cfRule type="cellIs" dxfId="170" priority="1" stopIfTrue="1" operator="equal">
      <formula>"Yes"</formula>
    </cfRule>
    <cfRule type="cellIs" dxfId="169" priority="2" stopIfTrue="1" operator="equal">
      <formula>"No"</formula>
    </cfRule>
    <cfRule type="cellIs" dxfId="168" priority="3" stopIfTrue="1" operator="equal">
      <formula>"N/A"</formula>
    </cfRule>
  </conditionalFormatting>
  <dataValidations count="5">
    <dataValidation allowBlank="1" showInputMessage="1" showErrorMessage="1" sqref="M14 N17"/>
    <dataValidation type="list" allowBlank="1" showInputMessage="1" showErrorMessage="1" sqref="T13:T14 U17 T10:T11 T4:T7">
      <formula1>"Open,Closed"</formula1>
    </dataValidation>
    <dataValidation type="list" allowBlank="1" showInputMessage="1" showErrorMessage="1" sqref="T17">
      <formula1>$M$96:$M$98</formula1>
    </dataValidation>
    <dataValidation type="list" allowBlank="1" showInputMessage="1" showErrorMessage="1" sqref="T12 T9 T15">
      <formula1>$H$68:$H$70</formula1>
    </dataValidation>
    <dataValidation type="list" allowBlank="1" showInputMessage="1" showErrorMessage="1" sqref="H4:L7 H9:L15 H17:L17">
      <formula1>"Yes, No, NA"</formula1>
    </dataValidation>
  </dataValidations>
  <pageMargins left="0.75" right="0.75" top="1" bottom="1" header="0.5" footer="0.5"/>
  <pageSetup paperSize="9"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8"/>
  </sheetPr>
  <dimension ref="A2:U70"/>
  <sheetViews>
    <sheetView showGridLines="0" zoomScale="80" zoomScaleNormal="80" workbookViewId="0">
      <pane ySplit="2" topLeftCell="A6" activePane="bottomLeft" state="frozen"/>
      <selection pane="bottomLeft" activeCell="G61" sqref="G61"/>
    </sheetView>
  </sheetViews>
  <sheetFormatPr defaultRowHeight="12.75" x14ac:dyDescent="0.2"/>
  <cols>
    <col min="1" max="1" width="5.28515625" style="24" customWidth="1"/>
    <col min="2" max="2" width="50.140625" style="24" customWidth="1"/>
    <col min="3" max="3" width="13.140625" style="24" bestFit="1" customWidth="1"/>
    <col min="4" max="4" width="7.85546875" style="24" hidden="1" customWidth="1"/>
    <col min="5" max="6" width="13.7109375" style="24" hidden="1" customWidth="1"/>
    <col min="7" max="7" width="26.5703125" style="24" customWidth="1"/>
    <col min="8" max="8" width="11" style="24" bestFit="1" customWidth="1"/>
    <col min="9" max="12" width="11" style="24" hidden="1" customWidth="1"/>
    <col min="13" max="13" width="37" style="24" customWidth="1"/>
    <col min="14" max="14" width="25.42578125" style="24" customWidth="1"/>
    <col min="15" max="15" width="30.28515625" style="24" customWidth="1"/>
    <col min="16" max="18" width="21.7109375" style="24" customWidth="1"/>
    <col min="19" max="19" width="14.7109375" style="57" hidden="1" customWidth="1"/>
    <col min="20" max="20" width="18.85546875" style="24" hidden="1" customWidth="1"/>
    <col min="21" max="21" width="22.85546875" style="24" hidden="1" customWidth="1"/>
    <col min="22" max="16384" width="9.140625" style="24"/>
  </cols>
  <sheetData>
    <row r="2" spans="1:21" x14ac:dyDescent="0.2">
      <c r="A2" s="13" t="s">
        <v>14</v>
      </c>
      <c r="B2" s="13" t="s">
        <v>454</v>
      </c>
      <c r="C2" s="13" t="s">
        <v>455</v>
      </c>
      <c r="D2" s="13" t="s">
        <v>158</v>
      </c>
      <c r="E2" s="13" t="s">
        <v>255</v>
      </c>
      <c r="F2" s="13" t="s">
        <v>491</v>
      </c>
      <c r="G2" s="13" t="s">
        <v>358</v>
      </c>
      <c r="H2" s="15" t="s">
        <v>243</v>
      </c>
      <c r="I2" s="15" t="s">
        <v>244</v>
      </c>
      <c r="J2" s="15" t="s">
        <v>251</v>
      </c>
      <c r="K2" s="15" t="s">
        <v>252</v>
      </c>
      <c r="L2" s="15" t="s">
        <v>253</v>
      </c>
      <c r="M2" s="13" t="s">
        <v>4</v>
      </c>
      <c r="N2" s="13" t="s">
        <v>5</v>
      </c>
      <c r="O2" s="13" t="s">
        <v>6</v>
      </c>
      <c r="P2" s="13" t="s">
        <v>91</v>
      </c>
      <c r="Q2" s="13" t="s">
        <v>81</v>
      </c>
      <c r="R2" s="13" t="s">
        <v>564</v>
      </c>
      <c r="S2" s="26" t="s">
        <v>31</v>
      </c>
      <c r="T2" s="13" t="s">
        <v>238</v>
      </c>
      <c r="U2" s="15" t="s">
        <v>239</v>
      </c>
    </row>
    <row r="3" spans="1:21" s="40" customFormat="1" x14ac:dyDescent="0.2">
      <c r="A3" s="17"/>
      <c r="B3" s="17" t="s">
        <v>303</v>
      </c>
      <c r="C3" s="17"/>
      <c r="D3" s="17"/>
      <c r="E3" s="17"/>
      <c r="F3" s="17"/>
      <c r="G3" s="17"/>
      <c r="H3" s="17"/>
      <c r="I3" s="17"/>
      <c r="J3" s="17"/>
      <c r="K3" s="17"/>
      <c r="L3" s="17"/>
      <c r="M3" s="17"/>
      <c r="N3" s="17"/>
      <c r="O3" s="17"/>
      <c r="P3" s="17"/>
      <c r="Q3" s="17"/>
      <c r="R3" s="17"/>
      <c r="S3" s="27"/>
      <c r="T3" s="17"/>
      <c r="U3" s="17"/>
    </row>
    <row r="4" spans="1:21" ht="25.5" x14ac:dyDescent="0.2">
      <c r="A4" s="19">
        <v>1</v>
      </c>
      <c r="B4" s="20" t="s">
        <v>32</v>
      </c>
      <c r="C4" s="20" t="s">
        <v>159</v>
      </c>
      <c r="D4" s="20">
        <f>IF(C4="Critical",ISO90012008!B143,IF(C4="Major",ISO90012008!B144,IF(C4="Minor",ISO90012008!B145,"")))</f>
        <v>3</v>
      </c>
      <c r="E4" s="20"/>
      <c r="F4" s="34" t="s">
        <v>493</v>
      </c>
      <c r="G4" s="34" t="s">
        <v>400</v>
      </c>
      <c r="H4" s="1" t="s">
        <v>462</v>
      </c>
      <c r="I4" s="1"/>
      <c r="J4" s="1"/>
      <c r="K4" s="1"/>
      <c r="L4" s="1"/>
      <c r="M4" s="320"/>
      <c r="N4" s="323"/>
      <c r="O4" s="22"/>
      <c r="P4" s="326"/>
      <c r="Q4" s="21"/>
      <c r="R4" s="21"/>
      <c r="S4" s="38" t="s">
        <v>182</v>
      </c>
      <c r="T4" s="19"/>
      <c r="U4" s="19"/>
    </row>
    <row r="5" spans="1:21" x14ac:dyDescent="0.2">
      <c r="A5" s="19">
        <v>2</v>
      </c>
      <c r="B5" s="20" t="s">
        <v>33</v>
      </c>
      <c r="C5" s="20" t="s">
        <v>159</v>
      </c>
      <c r="D5" s="20">
        <f>IF(C5="Critical",ISO90012008!B143,IF(C5="Major",ISO90012008!B144,IF(C5="Minor",ISO90012008!B145,"")))</f>
        <v>3</v>
      </c>
      <c r="E5" s="20"/>
      <c r="F5" s="34" t="s">
        <v>493</v>
      </c>
      <c r="G5" s="34" t="s">
        <v>400</v>
      </c>
      <c r="H5" s="1" t="s">
        <v>462</v>
      </c>
      <c r="I5" s="1"/>
      <c r="J5" s="1"/>
      <c r="K5" s="1"/>
      <c r="L5" s="1"/>
      <c r="M5" s="321"/>
      <c r="N5" s="324"/>
      <c r="O5" s="22"/>
      <c r="P5" s="327"/>
      <c r="Q5" s="21"/>
      <c r="R5" s="21"/>
      <c r="S5" s="38" t="s">
        <v>182</v>
      </c>
      <c r="T5" s="19"/>
      <c r="U5" s="19"/>
    </row>
    <row r="6" spans="1:21" ht="25.5" x14ac:dyDescent="0.2">
      <c r="A6" s="19">
        <v>3</v>
      </c>
      <c r="B6" s="20" t="s">
        <v>34</v>
      </c>
      <c r="C6" s="20" t="s">
        <v>159</v>
      </c>
      <c r="D6" s="20">
        <f>IF(C6="Critical",ISO90012008!B143,IF(C6="Major",ISO90012008!B144,IF(C6="Minor",ISO90012008!B145,"")))</f>
        <v>3</v>
      </c>
      <c r="E6" s="20"/>
      <c r="F6" s="34" t="s">
        <v>493</v>
      </c>
      <c r="G6" s="34" t="s">
        <v>400</v>
      </c>
      <c r="H6" s="1" t="s">
        <v>462</v>
      </c>
      <c r="I6" s="1"/>
      <c r="J6" s="1"/>
      <c r="K6" s="1"/>
      <c r="L6" s="1"/>
      <c r="M6" s="322"/>
      <c r="N6" s="325"/>
      <c r="O6" s="22"/>
      <c r="P6" s="328"/>
      <c r="Q6" s="21"/>
      <c r="R6" s="21"/>
      <c r="S6" s="38" t="s">
        <v>182</v>
      </c>
      <c r="T6" s="19"/>
      <c r="U6" s="19"/>
    </row>
    <row r="7" spans="1:21" s="40" customFormat="1" x14ac:dyDescent="0.2">
      <c r="A7" s="61"/>
      <c r="B7" s="61" t="s">
        <v>304</v>
      </c>
      <c r="C7" s="61"/>
      <c r="D7" s="61"/>
      <c r="E7" s="61"/>
      <c r="F7" s="61"/>
      <c r="G7" s="61"/>
      <c r="H7" s="61"/>
      <c r="I7" s="61"/>
      <c r="J7" s="61"/>
      <c r="K7" s="61"/>
      <c r="L7" s="61"/>
      <c r="M7" s="61"/>
      <c r="N7" s="61"/>
      <c r="O7" s="61"/>
      <c r="P7" s="46"/>
      <c r="Q7" s="46"/>
      <c r="R7" s="230"/>
      <c r="S7" s="66"/>
      <c r="T7" s="61"/>
      <c r="U7" s="80"/>
    </row>
    <row r="8" spans="1:21" ht="25.5" x14ac:dyDescent="0.2">
      <c r="A8" s="19">
        <v>1</v>
      </c>
      <c r="B8" s="19" t="s">
        <v>103</v>
      </c>
      <c r="C8" s="23" t="s">
        <v>109</v>
      </c>
      <c r="D8" s="20">
        <f>IF(C8="Critical",ISO90012008!B143,IF(C8="Major",ISO90012008!B144,IF(C8="Minor",ISO90012008!B145,"")))</f>
        <v>5</v>
      </c>
      <c r="E8" s="19"/>
      <c r="F8" s="19" t="s">
        <v>492</v>
      </c>
      <c r="G8" s="23" t="s">
        <v>304</v>
      </c>
      <c r="H8" s="1" t="s">
        <v>462</v>
      </c>
      <c r="I8" s="1"/>
      <c r="J8" s="1"/>
      <c r="K8" s="1"/>
      <c r="L8" s="1"/>
      <c r="M8" s="248"/>
      <c r="N8" s="19"/>
      <c r="O8" s="21"/>
      <c r="P8" s="29"/>
      <c r="Q8" s="52"/>
      <c r="R8" s="52"/>
      <c r="S8" s="37" t="s">
        <v>440</v>
      </c>
      <c r="T8" s="19"/>
      <c r="U8" s="19"/>
    </row>
    <row r="9" spans="1:21" ht="38.25" x14ac:dyDescent="0.2">
      <c r="A9" s="19">
        <v>2</v>
      </c>
      <c r="B9" s="23" t="s">
        <v>305</v>
      </c>
      <c r="C9" s="23" t="s">
        <v>160</v>
      </c>
      <c r="D9" s="20">
        <f>IF(C9="Critical",ISO90012008!B143,IF(C9="Major",ISO90012008!B144,IF(C9="Minor",ISO90012008!B145,"")))</f>
        <v>1</v>
      </c>
      <c r="E9" s="23" t="s">
        <v>427</v>
      </c>
      <c r="F9" s="23" t="s">
        <v>494</v>
      </c>
      <c r="G9" s="23" t="s">
        <v>401</v>
      </c>
      <c r="H9" s="1" t="s">
        <v>462</v>
      </c>
      <c r="I9" s="1"/>
      <c r="J9" s="1"/>
      <c r="K9" s="1"/>
      <c r="L9" s="1"/>
      <c r="M9" s="248"/>
      <c r="N9" s="23"/>
      <c r="O9" s="21"/>
      <c r="P9" s="29"/>
      <c r="Q9" s="29"/>
      <c r="R9" s="29"/>
      <c r="S9" s="37" t="s">
        <v>110</v>
      </c>
      <c r="T9" s="19"/>
      <c r="U9" s="19"/>
    </row>
    <row r="10" spans="1:21" ht="38.25" x14ac:dyDescent="0.2">
      <c r="A10" s="19">
        <v>3</v>
      </c>
      <c r="B10" s="23" t="s">
        <v>306</v>
      </c>
      <c r="C10" s="23" t="s">
        <v>159</v>
      </c>
      <c r="D10" s="20">
        <f>IF(C10="Critical",ISO90012008!B143,IF(C10="Major",ISO90012008!B144,IF(C10="Minor",ISO90012008!B145,"")))</f>
        <v>3</v>
      </c>
      <c r="E10" s="23" t="s">
        <v>427</v>
      </c>
      <c r="F10" s="23" t="s">
        <v>494</v>
      </c>
      <c r="G10" s="23" t="s">
        <v>401</v>
      </c>
      <c r="H10" s="1" t="s">
        <v>462</v>
      </c>
      <c r="I10" s="1"/>
      <c r="J10" s="1"/>
      <c r="K10" s="1"/>
      <c r="L10" s="1"/>
      <c r="M10" s="248"/>
      <c r="N10" s="23"/>
      <c r="O10" s="21"/>
      <c r="P10" s="29"/>
      <c r="Q10" s="52"/>
      <c r="R10" s="52"/>
      <c r="S10" s="37" t="s">
        <v>110</v>
      </c>
      <c r="T10" s="19"/>
      <c r="U10" s="19"/>
    </row>
    <row r="11" spans="1:21" ht="38.25" x14ac:dyDescent="0.2">
      <c r="A11" s="19">
        <v>4</v>
      </c>
      <c r="B11" s="23" t="s">
        <v>179</v>
      </c>
      <c r="C11" s="23" t="s">
        <v>160</v>
      </c>
      <c r="D11" s="20">
        <f>IF(C11="Critical",ISO90012008!B143,IF(C11="Major",ISO90012008!B144,IF(C11="Minor",ISO90012008!B145,"")))</f>
        <v>1</v>
      </c>
      <c r="E11" s="23"/>
      <c r="F11" s="23" t="s">
        <v>494</v>
      </c>
      <c r="G11" s="23" t="s">
        <v>402</v>
      </c>
      <c r="H11" s="1" t="s">
        <v>462</v>
      </c>
      <c r="I11" s="1"/>
      <c r="J11" s="1"/>
      <c r="K11" s="1"/>
      <c r="L11" s="1"/>
      <c r="M11" s="248"/>
      <c r="N11" s="22"/>
      <c r="O11" s="21"/>
      <c r="P11" s="29"/>
      <c r="Q11" s="19"/>
      <c r="R11" s="19"/>
      <c r="S11" s="38" t="s">
        <v>110</v>
      </c>
      <c r="T11" s="19"/>
      <c r="U11" s="19"/>
    </row>
    <row r="12" spans="1:21" s="16" customFormat="1" ht="25.5" x14ac:dyDescent="0.2">
      <c r="A12" s="19">
        <v>5</v>
      </c>
      <c r="B12" s="23" t="s">
        <v>452</v>
      </c>
      <c r="C12" s="23" t="s">
        <v>159</v>
      </c>
      <c r="D12" s="20">
        <f>IF(C12="Critical",ISO90012008!B143,IF(C12="Major",ISO90012008!B144,IF(C12="Minor",ISO90012008!B145,"")))</f>
        <v>3</v>
      </c>
      <c r="E12" s="23" t="s">
        <v>451</v>
      </c>
      <c r="F12" s="23" t="s">
        <v>494</v>
      </c>
      <c r="G12" s="23" t="s">
        <v>453</v>
      </c>
      <c r="H12" s="1" t="s">
        <v>462</v>
      </c>
      <c r="I12" s="1"/>
      <c r="J12" s="1"/>
      <c r="K12" s="1"/>
      <c r="L12" s="1"/>
      <c r="M12" s="248"/>
      <c r="N12" s="22"/>
      <c r="O12" s="22"/>
      <c r="P12" s="21"/>
      <c r="Q12" s="33"/>
      <c r="R12" s="33"/>
      <c r="S12" s="38" t="s">
        <v>512</v>
      </c>
      <c r="T12" s="19"/>
      <c r="U12" s="33"/>
    </row>
    <row r="13" spans="1:21" s="40" customFormat="1" x14ac:dyDescent="0.2">
      <c r="A13" s="61"/>
      <c r="B13" s="61" t="s">
        <v>403</v>
      </c>
      <c r="C13" s="61"/>
      <c r="D13" s="61"/>
      <c r="E13" s="61"/>
      <c r="F13" s="61"/>
      <c r="G13" s="61"/>
      <c r="H13" s="61"/>
      <c r="I13" s="61"/>
      <c r="J13" s="61"/>
      <c r="K13" s="61"/>
      <c r="L13" s="61"/>
      <c r="M13" s="61"/>
      <c r="N13" s="61"/>
      <c r="O13" s="61"/>
      <c r="P13" s="46"/>
      <c r="Q13" s="46"/>
      <c r="R13" s="230"/>
      <c r="S13" s="66"/>
      <c r="T13" s="61"/>
      <c r="U13" s="80"/>
    </row>
    <row r="14" spans="1:21" x14ac:dyDescent="0.2">
      <c r="A14" s="19">
        <v>1</v>
      </c>
      <c r="B14" s="19" t="s">
        <v>79</v>
      </c>
      <c r="C14" s="23" t="s">
        <v>109</v>
      </c>
      <c r="D14" s="20">
        <f>IF(C14="Critical",ISO90012008!B143,IF(C14="Major",ISO90012008!B144,IF(C14="Minor",ISO90012008!B145,"")))</f>
        <v>5</v>
      </c>
      <c r="E14" s="19"/>
      <c r="F14" s="19" t="s">
        <v>492</v>
      </c>
      <c r="G14" s="23" t="s">
        <v>403</v>
      </c>
      <c r="H14" s="1" t="s">
        <v>611</v>
      </c>
      <c r="I14" s="1"/>
      <c r="J14" s="1"/>
      <c r="K14" s="1"/>
      <c r="L14" s="1"/>
      <c r="M14" s="23"/>
      <c r="N14" s="23"/>
      <c r="O14" s="21"/>
      <c r="P14" s="29"/>
      <c r="Q14" s="52"/>
      <c r="R14" s="52"/>
      <c r="S14" s="37" t="s">
        <v>440</v>
      </c>
      <c r="T14" s="19"/>
      <c r="U14" s="19"/>
    </row>
    <row r="15" spans="1:21" ht="38.25" x14ac:dyDescent="0.2">
      <c r="A15" s="19">
        <v>2</v>
      </c>
      <c r="B15" s="23" t="s">
        <v>307</v>
      </c>
      <c r="C15" s="23" t="s">
        <v>160</v>
      </c>
      <c r="D15" s="20">
        <f>IF(C15="Critical",ISO90012008!B143,IF(C15="Major",ISO90012008!B144,IF(C15="Minor",ISO90012008!B145,"")))</f>
        <v>1</v>
      </c>
      <c r="E15" s="23" t="s">
        <v>427</v>
      </c>
      <c r="F15" s="23" t="s">
        <v>494</v>
      </c>
      <c r="G15" s="23" t="s">
        <v>404</v>
      </c>
      <c r="H15" s="1" t="s">
        <v>462</v>
      </c>
      <c r="I15" s="1"/>
      <c r="J15" s="1"/>
      <c r="K15" s="1"/>
      <c r="L15" s="1"/>
      <c r="M15" s="23"/>
      <c r="N15" s="23"/>
      <c r="O15" s="21"/>
      <c r="P15" s="29"/>
      <c r="Q15" s="29"/>
      <c r="R15" s="29"/>
      <c r="S15" s="37" t="s">
        <v>110</v>
      </c>
      <c r="T15" s="19"/>
      <c r="U15" s="19"/>
    </row>
    <row r="16" spans="1:21" ht="38.25" x14ac:dyDescent="0.2">
      <c r="A16" s="19">
        <v>3</v>
      </c>
      <c r="B16" s="23" t="s">
        <v>308</v>
      </c>
      <c r="C16" s="23" t="s">
        <v>159</v>
      </c>
      <c r="D16" s="20">
        <f>IF(C16="Critical",ISO90012008!B143,IF(C16="Major",ISO90012008!B144,IF(C16="Minor",ISO90012008!B145,"")))</f>
        <v>3</v>
      </c>
      <c r="E16" s="23" t="s">
        <v>427</v>
      </c>
      <c r="F16" s="23" t="s">
        <v>494</v>
      </c>
      <c r="G16" s="23" t="s">
        <v>404</v>
      </c>
      <c r="H16" s="1" t="s">
        <v>612</v>
      </c>
      <c r="I16" s="1"/>
      <c r="J16" s="1"/>
      <c r="K16" s="1"/>
      <c r="L16" s="1"/>
      <c r="M16" s="23" t="s">
        <v>642</v>
      </c>
      <c r="N16" s="23"/>
      <c r="O16" s="23"/>
      <c r="P16" s="29"/>
      <c r="Q16" s="19"/>
      <c r="R16" s="19"/>
      <c r="S16" s="37" t="s">
        <v>110</v>
      </c>
      <c r="T16" s="19"/>
      <c r="U16" s="19"/>
    </row>
    <row r="17" spans="1:21" ht="38.25" x14ac:dyDescent="0.2">
      <c r="A17" s="19">
        <v>4</v>
      </c>
      <c r="B17" s="23" t="s">
        <v>441</v>
      </c>
      <c r="C17" s="23" t="s">
        <v>109</v>
      </c>
      <c r="D17" s="20">
        <f>IF(C17="Critical",ISO90012008!B143,IF(C17="Major",ISO90012008!B144,IF(C17="Minor",ISO90012008!B145,"")))</f>
        <v>5</v>
      </c>
      <c r="E17" s="23" t="s">
        <v>427</v>
      </c>
      <c r="F17" s="23" t="s">
        <v>494</v>
      </c>
      <c r="G17" s="23" t="s">
        <v>404</v>
      </c>
      <c r="H17" s="1" t="s">
        <v>462</v>
      </c>
      <c r="I17" s="1"/>
      <c r="J17" s="1"/>
      <c r="K17" s="1"/>
      <c r="L17" s="1"/>
      <c r="M17" s="23"/>
      <c r="N17" s="23"/>
      <c r="O17" s="23"/>
      <c r="P17" s="29"/>
      <c r="Q17" s="19"/>
      <c r="R17" s="19"/>
      <c r="S17" s="37" t="s">
        <v>110</v>
      </c>
      <c r="T17" s="19"/>
      <c r="U17" s="19"/>
    </row>
    <row r="18" spans="1:21" ht="25.5" x14ac:dyDescent="0.2">
      <c r="A18" s="19">
        <v>5</v>
      </c>
      <c r="B18" s="22" t="s">
        <v>80</v>
      </c>
      <c r="C18" s="23" t="s">
        <v>160</v>
      </c>
      <c r="D18" s="20">
        <f>IF(C18="Critical",ISO90012008!B143,IF(C18="Major",ISO90012008!B144,IF(C18="Minor",ISO90012008!B145,"")))</f>
        <v>1</v>
      </c>
      <c r="E18" s="22"/>
      <c r="F18" s="23" t="s">
        <v>494</v>
      </c>
      <c r="G18" s="23" t="s">
        <v>405</v>
      </c>
      <c r="H18" s="1" t="s">
        <v>612</v>
      </c>
      <c r="I18" s="1"/>
      <c r="J18" s="1"/>
      <c r="K18" s="1"/>
      <c r="L18" s="1"/>
      <c r="M18" s="23" t="s">
        <v>643</v>
      </c>
      <c r="N18" s="22"/>
      <c r="O18" s="22"/>
      <c r="P18" s="270"/>
      <c r="Q18" s="19"/>
      <c r="R18" s="19"/>
      <c r="S18" s="38" t="s">
        <v>110</v>
      </c>
      <c r="T18" s="19"/>
      <c r="U18" s="19"/>
    </row>
    <row r="19" spans="1:21" s="16" customFormat="1" ht="25.5" x14ac:dyDescent="0.2">
      <c r="A19" s="19">
        <v>6</v>
      </c>
      <c r="B19" s="23" t="s">
        <v>452</v>
      </c>
      <c r="C19" s="23" t="s">
        <v>159</v>
      </c>
      <c r="D19" s="20">
        <f>IF(C19="Critical",ISO90012008!B143,IF(C19="Major",ISO90012008!B144,IF(C19="Minor",ISO90012008!B145,"")))</f>
        <v>3</v>
      </c>
      <c r="E19" s="23" t="s">
        <v>451</v>
      </c>
      <c r="F19" s="23" t="s">
        <v>494</v>
      </c>
      <c r="G19" s="23" t="s">
        <v>453</v>
      </c>
      <c r="H19" s="1" t="s">
        <v>462</v>
      </c>
      <c r="I19" s="1"/>
      <c r="J19" s="1"/>
      <c r="K19" s="1"/>
      <c r="L19" s="1"/>
      <c r="M19" s="23"/>
      <c r="N19" s="22"/>
      <c r="O19" s="22"/>
      <c r="P19" s="21"/>
      <c r="Q19" s="33"/>
      <c r="R19" s="33"/>
      <c r="S19" s="38" t="s">
        <v>512</v>
      </c>
      <c r="T19" s="19"/>
      <c r="U19" s="33"/>
    </row>
    <row r="20" spans="1:21" s="40" customFormat="1" x14ac:dyDescent="0.2">
      <c r="A20" s="62"/>
      <c r="B20" s="62" t="s">
        <v>312</v>
      </c>
      <c r="C20" s="62"/>
      <c r="D20" s="62"/>
      <c r="E20" s="62"/>
      <c r="F20" s="62"/>
      <c r="G20" s="62"/>
      <c r="H20" s="62"/>
      <c r="I20" s="62"/>
      <c r="J20" s="62"/>
      <c r="K20" s="62"/>
      <c r="L20" s="62"/>
      <c r="M20" s="61"/>
      <c r="N20" s="62"/>
      <c r="O20" s="62"/>
      <c r="P20" s="46"/>
      <c r="Q20" s="46"/>
      <c r="R20" s="231"/>
      <c r="S20" s="67"/>
      <c r="T20" s="62"/>
      <c r="U20" s="80"/>
    </row>
    <row r="21" spans="1:21" ht="25.5" x14ac:dyDescent="0.2">
      <c r="A21" s="54">
        <v>1</v>
      </c>
      <c r="B21" s="54" t="s">
        <v>104</v>
      </c>
      <c r="C21" s="54" t="s">
        <v>159</v>
      </c>
      <c r="D21" s="224">
        <f>IF(C21="Critical",ISO90012008!B143,IF(C21="Major",ISO90012008!B144,IF(C21="Minor",ISO90012008!B145,"")))</f>
        <v>3</v>
      </c>
      <c r="E21" s="54"/>
      <c r="F21" s="54" t="s">
        <v>493</v>
      </c>
      <c r="G21" s="225" t="s">
        <v>545</v>
      </c>
      <c r="H21" s="1" t="s">
        <v>462</v>
      </c>
      <c r="I21" s="1"/>
      <c r="J21" s="1"/>
      <c r="K21" s="1"/>
      <c r="L21" s="1"/>
      <c r="M21" s="23"/>
      <c r="N21" s="19"/>
      <c r="O21" s="21"/>
      <c r="P21" s="21"/>
      <c r="Q21" s="19"/>
      <c r="R21" s="19"/>
      <c r="S21" s="38" t="s">
        <v>184</v>
      </c>
      <c r="T21" s="19"/>
      <c r="U21" s="19"/>
    </row>
    <row r="22" spans="1:21" ht="63.75" x14ac:dyDescent="0.2">
      <c r="A22" s="54">
        <v>2</v>
      </c>
      <c r="B22" s="225" t="s">
        <v>311</v>
      </c>
      <c r="C22" s="225" t="s">
        <v>160</v>
      </c>
      <c r="D22" s="224">
        <f>IF(C22="Critical",ISO90012008!B143,IF(C22="Major",ISO90012008!B144,IF(C22="Minor",ISO90012008!B145,"")))</f>
        <v>1</v>
      </c>
      <c r="E22" s="225" t="s">
        <v>427</v>
      </c>
      <c r="F22" s="225" t="s">
        <v>494</v>
      </c>
      <c r="G22" s="225" t="s">
        <v>547</v>
      </c>
      <c r="H22" s="1" t="s">
        <v>462</v>
      </c>
      <c r="I22" s="1"/>
      <c r="J22" s="1"/>
      <c r="K22" s="1"/>
      <c r="L22" s="1"/>
      <c r="M22" s="23"/>
      <c r="N22" s="22"/>
      <c r="O22" s="21"/>
      <c r="P22" s="21"/>
      <c r="Q22" s="29"/>
      <c r="R22" s="29"/>
      <c r="S22" s="38" t="s">
        <v>110</v>
      </c>
      <c r="T22" s="19"/>
      <c r="U22" s="19"/>
    </row>
    <row r="23" spans="1:21" ht="63.75" x14ac:dyDescent="0.2">
      <c r="A23" s="54">
        <v>3</v>
      </c>
      <c r="B23" s="225" t="s">
        <v>309</v>
      </c>
      <c r="C23" s="225" t="s">
        <v>159</v>
      </c>
      <c r="D23" s="224">
        <f>IF(C23="Critical",ISO90012008!B143,IF(C23="Major",ISO90012008!B144,IF(C23="Minor",ISO90012008!B145,"")))</f>
        <v>3</v>
      </c>
      <c r="E23" s="225" t="s">
        <v>427</v>
      </c>
      <c r="F23" s="225" t="s">
        <v>494</v>
      </c>
      <c r="G23" s="225" t="s">
        <v>547</v>
      </c>
      <c r="H23" s="1" t="s">
        <v>462</v>
      </c>
      <c r="I23" s="1"/>
      <c r="J23" s="1"/>
      <c r="K23" s="1"/>
      <c r="L23" s="1"/>
      <c r="M23" s="23"/>
      <c r="N23" s="19"/>
      <c r="O23" s="21"/>
      <c r="P23" s="21"/>
      <c r="Q23" s="19"/>
      <c r="R23" s="19"/>
      <c r="S23" s="38" t="s">
        <v>183</v>
      </c>
      <c r="T23" s="19"/>
      <c r="U23" s="19"/>
    </row>
    <row r="24" spans="1:21" ht="63.75" x14ac:dyDescent="0.2">
      <c r="A24" s="54">
        <v>4</v>
      </c>
      <c r="B24" s="225" t="s">
        <v>310</v>
      </c>
      <c r="C24" s="225" t="s">
        <v>109</v>
      </c>
      <c r="D24" s="224">
        <f>IF(C24="Critical",ISO90012008!B143,IF(C24="Major",ISO90012008!B144,IF(C24="Minor",ISO90012008!B145,"")))</f>
        <v>5</v>
      </c>
      <c r="E24" s="225" t="s">
        <v>427</v>
      </c>
      <c r="F24" s="225" t="s">
        <v>494</v>
      </c>
      <c r="G24" s="225" t="s">
        <v>548</v>
      </c>
      <c r="H24" s="1" t="s">
        <v>462</v>
      </c>
      <c r="I24" s="1"/>
      <c r="J24" s="1"/>
      <c r="K24" s="1"/>
      <c r="L24" s="1"/>
      <c r="M24" s="23"/>
      <c r="N24" s="19"/>
      <c r="O24" s="21"/>
      <c r="P24" s="21"/>
      <c r="Q24" s="19"/>
      <c r="R24" s="19"/>
      <c r="S24" s="38" t="s">
        <v>231</v>
      </c>
      <c r="T24" s="19"/>
      <c r="U24" s="19"/>
    </row>
    <row r="25" spans="1:21" ht="38.25" x14ac:dyDescent="0.2">
      <c r="A25" s="54">
        <v>5</v>
      </c>
      <c r="B25" s="226" t="s">
        <v>74</v>
      </c>
      <c r="C25" s="225" t="s">
        <v>160</v>
      </c>
      <c r="D25" s="224">
        <f>IF(C25="Critical",ISO90012008!B143,IF(C25="Major",ISO90012008!B144,IF(C25="Minor",ISO90012008!B145,"")))</f>
        <v>1</v>
      </c>
      <c r="E25" s="226"/>
      <c r="F25" s="225" t="s">
        <v>494</v>
      </c>
      <c r="G25" s="225" t="s">
        <v>546</v>
      </c>
      <c r="H25" s="1" t="s">
        <v>462</v>
      </c>
      <c r="I25" s="1"/>
      <c r="J25" s="1"/>
      <c r="K25" s="1"/>
      <c r="L25" s="1"/>
      <c r="M25" s="23"/>
      <c r="N25" s="19"/>
      <c r="O25" s="21"/>
      <c r="P25" s="21"/>
      <c r="Q25" s="19"/>
      <c r="R25" s="19"/>
      <c r="S25" s="38" t="s">
        <v>110</v>
      </c>
      <c r="T25" s="19"/>
      <c r="U25" s="19"/>
    </row>
    <row r="26" spans="1:21" s="16" customFormat="1" ht="25.5" x14ac:dyDescent="0.2">
      <c r="A26" s="54">
        <v>6</v>
      </c>
      <c r="B26" s="225" t="s">
        <v>452</v>
      </c>
      <c r="C26" s="225" t="s">
        <v>159</v>
      </c>
      <c r="D26" s="224">
        <f>IF(C26="Critical",ISO90012008!B143,IF(C26="Major",ISO90012008!B144,IF(C26="Minor",ISO90012008!B145,"")))</f>
        <v>3</v>
      </c>
      <c r="E26" s="225" t="s">
        <v>451</v>
      </c>
      <c r="F26" s="225" t="s">
        <v>494</v>
      </c>
      <c r="G26" s="225" t="s">
        <v>453</v>
      </c>
      <c r="H26" s="1" t="s">
        <v>462</v>
      </c>
      <c r="I26" s="1"/>
      <c r="J26" s="1"/>
      <c r="K26" s="1"/>
      <c r="L26" s="1"/>
      <c r="M26" s="23"/>
      <c r="N26" s="22"/>
      <c r="O26" s="22"/>
      <c r="P26" s="21"/>
      <c r="Q26" s="33"/>
      <c r="R26" s="33"/>
      <c r="S26" s="38" t="s">
        <v>512</v>
      </c>
      <c r="T26" s="19"/>
      <c r="U26" s="33"/>
    </row>
    <row r="27" spans="1:21" ht="25.5" x14ac:dyDescent="0.2">
      <c r="A27" s="54">
        <v>7</v>
      </c>
      <c r="B27" s="225" t="s">
        <v>326</v>
      </c>
      <c r="C27" s="225" t="s">
        <v>160</v>
      </c>
      <c r="D27" s="224">
        <f>IF(C27="Critical",ISO90012008!B143,IF(C27="Major",ISO90012008!B144,IF(C27="Minor",ISO90012008!B145,"")))</f>
        <v>1</v>
      </c>
      <c r="E27" s="225"/>
      <c r="F27" s="225" t="s">
        <v>494</v>
      </c>
      <c r="G27" s="225" t="s">
        <v>399</v>
      </c>
      <c r="H27" s="1" t="s">
        <v>462</v>
      </c>
      <c r="I27" s="1"/>
      <c r="J27" s="1"/>
      <c r="K27" s="1"/>
      <c r="L27" s="1"/>
      <c r="M27" s="23"/>
      <c r="N27" s="19"/>
      <c r="O27" s="21"/>
      <c r="P27" s="21"/>
      <c r="Q27" s="29"/>
      <c r="R27" s="29"/>
      <c r="S27" s="38" t="s">
        <v>110</v>
      </c>
      <c r="T27" s="19"/>
      <c r="U27" s="19"/>
    </row>
    <row r="28" spans="1:21" s="40" customFormat="1" x14ac:dyDescent="0.2">
      <c r="A28" s="62"/>
      <c r="B28" s="62" t="s">
        <v>313</v>
      </c>
      <c r="C28" s="62"/>
      <c r="D28" s="62"/>
      <c r="E28" s="62"/>
      <c r="F28" s="62"/>
      <c r="G28" s="62"/>
      <c r="H28" s="62"/>
      <c r="I28" s="62"/>
      <c r="J28" s="62"/>
      <c r="K28" s="62"/>
      <c r="L28" s="62"/>
      <c r="M28" s="61"/>
      <c r="N28" s="62"/>
      <c r="O28" s="62"/>
      <c r="P28" s="46"/>
      <c r="Q28" s="46"/>
      <c r="R28" s="231"/>
      <c r="S28" s="67"/>
      <c r="T28" s="62"/>
      <c r="U28" s="80"/>
    </row>
    <row r="29" spans="1:21" ht="25.5" x14ac:dyDescent="0.2">
      <c r="A29" s="19">
        <v>1</v>
      </c>
      <c r="B29" s="19" t="s">
        <v>226</v>
      </c>
      <c r="C29" s="23" t="s">
        <v>109</v>
      </c>
      <c r="D29" s="20">
        <f>IF(C29="Critical",ISO90012008!B143,IF(C29="Major",ISO90012008!B144,IF(C29="Minor",ISO90012008!B145,"")))</f>
        <v>5</v>
      </c>
      <c r="E29" s="19"/>
      <c r="F29" s="19" t="s">
        <v>493</v>
      </c>
      <c r="G29" s="23" t="s">
        <v>549</v>
      </c>
      <c r="H29" s="1" t="s">
        <v>462</v>
      </c>
      <c r="I29" s="12"/>
      <c r="J29" s="12"/>
      <c r="K29" s="12"/>
      <c r="L29" s="12"/>
      <c r="M29" s="23"/>
      <c r="N29" s="19"/>
      <c r="O29" s="21"/>
      <c r="P29" s="21"/>
      <c r="Q29" s="19"/>
      <c r="R29" s="19"/>
      <c r="S29" s="38" t="s">
        <v>184</v>
      </c>
      <c r="T29" s="19"/>
      <c r="U29" s="19"/>
    </row>
    <row r="30" spans="1:21" ht="51" x14ac:dyDescent="0.2">
      <c r="A30" s="19">
        <v>2</v>
      </c>
      <c r="B30" s="23" t="s">
        <v>314</v>
      </c>
      <c r="C30" s="23" t="s">
        <v>160</v>
      </c>
      <c r="D30" s="20">
        <f>IF(C30="Critical",ISO90012008!B143,IF(C30="Major",ISO90012008!B144,IF(C30="Minor",ISO90012008!B145,"")))</f>
        <v>1</v>
      </c>
      <c r="E30" s="23" t="s">
        <v>427</v>
      </c>
      <c r="F30" s="23" t="s">
        <v>494</v>
      </c>
      <c r="G30" s="23" t="s">
        <v>550</v>
      </c>
      <c r="H30" s="1" t="s">
        <v>462</v>
      </c>
      <c r="I30" s="12"/>
      <c r="J30" s="12"/>
      <c r="K30" s="12"/>
      <c r="L30" s="12"/>
      <c r="M30" s="23"/>
      <c r="N30" s="22"/>
      <c r="O30" s="21"/>
      <c r="P30" s="21"/>
      <c r="Q30" s="29"/>
      <c r="R30" s="29"/>
      <c r="S30" s="38" t="s">
        <v>110</v>
      </c>
      <c r="T30" s="19"/>
      <c r="U30" s="19"/>
    </row>
    <row r="31" spans="1:21" ht="51" x14ac:dyDescent="0.2">
      <c r="A31" s="19">
        <v>3</v>
      </c>
      <c r="B31" s="23" t="s">
        <v>315</v>
      </c>
      <c r="C31" s="23" t="s">
        <v>159</v>
      </c>
      <c r="D31" s="20">
        <f>IF(C31="Critical",ISO90012008!B143,IF(C31="Major",ISO90012008!B144,IF(C31="Minor",ISO90012008!B145,"")))</f>
        <v>3</v>
      </c>
      <c r="E31" s="23" t="s">
        <v>427</v>
      </c>
      <c r="F31" s="23" t="s">
        <v>494</v>
      </c>
      <c r="G31" s="23" t="s">
        <v>550</v>
      </c>
      <c r="H31" s="1" t="s">
        <v>462</v>
      </c>
      <c r="I31" s="12"/>
      <c r="J31" s="12"/>
      <c r="K31" s="12"/>
      <c r="L31" s="12"/>
      <c r="M31" s="23"/>
      <c r="N31" s="19"/>
      <c r="O31" s="21"/>
      <c r="P31" s="21"/>
      <c r="Q31" s="19"/>
      <c r="R31" s="19"/>
      <c r="S31" s="38" t="s">
        <v>183</v>
      </c>
      <c r="T31" s="19"/>
      <c r="U31" s="19"/>
    </row>
    <row r="32" spans="1:21" ht="51" x14ac:dyDescent="0.2">
      <c r="A32" s="19">
        <v>4</v>
      </c>
      <c r="B32" s="23" t="s">
        <v>316</v>
      </c>
      <c r="C32" s="23" t="s">
        <v>109</v>
      </c>
      <c r="D32" s="20">
        <f>IF(C32="Critical",ISO90012008!B143,IF(C32="Major",ISO90012008!B144,IF(C32="Minor",ISO90012008!B145,"")))</f>
        <v>5</v>
      </c>
      <c r="E32" s="23" t="s">
        <v>427</v>
      </c>
      <c r="F32" s="23" t="s">
        <v>494</v>
      </c>
      <c r="G32" s="23" t="s">
        <v>550</v>
      </c>
      <c r="H32" s="1" t="s">
        <v>462</v>
      </c>
      <c r="I32" s="12"/>
      <c r="J32" s="12"/>
      <c r="K32" s="12"/>
      <c r="L32" s="12"/>
      <c r="M32" s="23"/>
      <c r="N32" s="19"/>
      <c r="O32" s="21"/>
      <c r="P32" s="21"/>
      <c r="Q32" s="19"/>
      <c r="R32" s="19"/>
      <c r="S32" s="38" t="s">
        <v>231</v>
      </c>
      <c r="T32" s="19"/>
      <c r="U32" s="19"/>
    </row>
    <row r="33" spans="1:21" ht="38.25" x14ac:dyDescent="0.2">
      <c r="A33" s="19">
        <v>5</v>
      </c>
      <c r="B33" s="23" t="s">
        <v>225</v>
      </c>
      <c r="C33" s="23" t="s">
        <v>160</v>
      </c>
      <c r="D33" s="20">
        <f>IF(C33="Critical",ISO90012008!B143,IF(C33="Major",ISO90012008!B144,IF(C33="Minor",ISO90012008!B145,"")))</f>
        <v>1</v>
      </c>
      <c r="E33" s="23"/>
      <c r="F33" s="23" t="s">
        <v>494</v>
      </c>
      <c r="G33" s="23" t="s">
        <v>406</v>
      </c>
      <c r="H33" s="1" t="s">
        <v>462</v>
      </c>
      <c r="I33" s="12"/>
      <c r="J33" s="12"/>
      <c r="K33" s="12"/>
      <c r="L33" s="12"/>
      <c r="M33" s="23"/>
      <c r="N33" s="19"/>
      <c r="O33" s="21"/>
      <c r="P33" s="21"/>
      <c r="Q33" s="19"/>
      <c r="R33" s="19"/>
      <c r="S33" s="38" t="s">
        <v>110</v>
      </c>
      <c r="T33" s="19"/>
      <c r="U33" s="19"/>
    </row>
    <row r="34" spans="1:21" s="16" customFormat="1" ht="25.5" x14ac:dyDescent="0.2">
      <c r="A34" s="19">
        <v>6</v>
      </c>
      <c r="B34" s="23" t="s">
        <v>452</v>
      </c>
      <c r="C34" s="23" t="s">
        <v>159</v>
      </c>
      <c r="D34" s="20">
        <f>IF(C34="Critical",ISO90012008!B143,IF(C34="Major",ISO90012008!B144,IF(C34="Minor",ISO90012008!B145,"")))</f>
        <v>3</v>
      </c>
      <c r="E34" s="23" t="s">
        <v>451</v>
      </c>
      <c r="F34" s="23" t="s">
        <v>494</v>
      </c>
      <c r="G34" s="23" t="s">
        <v>453</v>
      </c>
      <c r="H34" s="1" t="s">
        <v>462</v>
      </c>
      <c r="I34" s="12"/>
      <c r="J34" s="12"/>
      <c r="K34" s="12"/>
      <c r="L34" s="12"/>
      <c r="M34" s="23"/>
      <c r="N34" s="22"/>
      <c r="O34" s="22"/>
      <c r="P34" s="21"/>
      <c r="Q34" s="33"/>
      <c r="R34" s="33"/>
      <c r="S34" s="38" t="s">
        <v>512</v>
      </c>
      <c r="T34" s="19"/>
      <c r="U34" s="33"/>
    </row>
    <row r="35" spans="1:21" ht="25.5" x14ac:dyDescent="0.2">
      <c r="A35" s="19">
        <v>7</v>
      </c>
      <c r="B35" s="23" t="s">
        <v>327</v>
      </c>
      <c r="C35" s="23" t="s">
        <v>160</v>
      </c>
      <c r="D35" s="20">
        <f>IF(C35="Critical",ISO90012008!B143,IF(C35="Major",ISO90012008!B144,IF(C35="Minor",ISO90012008!B145,"")))</f>
        <v>1</v>
      </c>
      <c r="E35" s="23"/>
      <c r="F35" s="23" t="s">
        <v>494</v>
      </c>
      <c r="G35" s="23" t="s">
        <v>399</v>
      </c>
      <c r="H35" s="1" t="s">
        <v>462</v>
      </c>
      <c r="I35" s="12"/>
      <c r="J35" s="12"/>
      <c r="K35" s="12"/>
      <c r="L35" s="12"/>
      <c r="M35" s="23"/>
      <c r="N35" s="19"/>
      <c r="O35" s="21"/>
      <c r="P35" s="21"/>
      <c r="Q35" s="29"/>
      <c r="R35" s="29"/>
      <c r="S35" s="38" t="s">
        <v>110</v>
      </c>
      <c r="T35" s="19"/>
      <c r="U35" s="19"/>
    </row>
    <row r="36" spans="1:21" s="40" customFormat="1" x14ac:dyDescent="0.2">
      <c r="A36" s="62"/>
      <c r="B36" s="62" t="s">
        <v>317</v>
      </c>
      <c r="C36" s="62"/>
      <c r="D36" s="62"/>
      <c r="E36" s="62"/>
      <c r="F36" s="62"/>
      <c r="G36" s="62"/>
      <c r="H36" s="62"/>
      <c r="I36" s="62"/>
      <c r="J36" s="62"/>
      <c r="K36" s="62"/>
      <c r="L36" s="62"/>
      <c r="M36" s="61"/>
      <c r="N36" s="62"/>
      <c r="O36" s="62"/>
      <c r="P36" s="46"/>
      <c r="Q36" s="46"/>
      <c r="R36" s="231"/>
      <c r="S36" s="67"/>
      <c r="T36" s="62"/>
      <c r="U36" s="80"/>
    </row>
    <row r="37" spans="1:21" ht="25.5" x14ac:dyDescent="0.2">
      <c r="A37" s="19">
        <v>1</v>
      </c>
      <c r="B37" s="19" t="s">
        <v>318</v>
      </c>
      <c r="C37" s="23" t="s">
        <v>109</v>
      </c>
      <c r="D37" s="20">
        <f>IF(C37="Critical",ISO90012008!B143,IF(C37="Major",ISO90012008!B144,IF(C37="Minor",ISO90012008!B145,"")))</f>
        <v>5</v>
      </c>
      <c r="E37" s="19"/>
      <c r="F37" s="19" t="s">
        <v>493</v>
      </c>
      <c r="G37" s="23" t="s">
        <v>551</v>
      </c>
      <c r="H37" s="1" t="s">
        <v>611</v>
      </c>
      <c r="I37" s="1"/>
      <c r="J37" s="1"/>
      <c r="K37" s="1"/>
      <c r="L37" s="1"/>
      <c r="M37" s="23"/>
      <c r="N37" s="23"/>
      <c r="O37" s="23"/>
      <c r="P37" s="29"/>
      <c r="Q37" s="52"/>
      <c r="R37" s="52"/>
      <c r="S37" s="38" t="s">
        <v>184</v>
      </c>
      <c r="T37" s="19"/>
      <c r="U37" s="19"/>
    </row>
    <row r="38" spans="1:21" ht="51" x14ac:dyDescent="0.2">
      <c r="A38" s="19">
        <v>2</v>
      </c>
      <c r="B38" s="23" t="s">
        <v>319</v>
      </c>
      <c r="C38" s="23" t="s">
        <v>160</v>
      </c>
      <c r="D38" s="20">
        <f>IF(C38="Critical",ISO90012008!B143,IF(C38="Major",ISO90012008!B144,IF(C38="Minor",ISO90012008!B145,"")))</f>
        <v>1</v>
      </c>
      <c r="E38" s="23" t="s">
        <v>427</v>
      </c>
      <c r="F38" s="23" t="s">
        <v>494</v>
      </c>
      <c r="G38" s="23" t="s">
        <v>552</v>
      </c>
      <c r="H38" s="1" t="s">
        <v>462</v>
      </c>
      <c r="I38" s="1"/>
      <c r="J38" s="1"/>
      <c r="K38" s="1"/>
      <c r="L38" s="1"/>
      <c r="M38" s="23"/>
      <c r="N38" s="23"/>
      <c r="O38" s="23"/>
      <c r="P38" s="29"/>
      <c r="Q38" s="19"/>
      <c r="R38" s="19"/>
      <c r="S38" s="38" t="s">
        <v>110</v>
      </c>
      <c r="T38" s="19"/>
      <c r="U38" s="19"/>
    </row>
    <row r="39" spans="1:21" ht="51" x14ac:dyDescent="0.2">
      <c r="A39" s="19">
        <v>3</v>
      </c>
      <c r="B39" s="23" t="s">
        <v>320</v>
      </c>
      <c r="C39" s="23" t="s">
        <v>159</v>
      </c>
      <c r="D39" s="20">
        <f>IF(C39="Critical",ISO90012008!B143,IF(C39="Major",ISO90012008!B144,IF(C39="Minor",ISO90012008!B145,"")))</f>
        <v>3</v>
      </c>
      <c r="E39" s="23" t="s">
        <v>427</v>
      </c>
      <c r="F39" s="23" t="s">
        <v>494</v>
      </c>
      <c r="G39" s="23" t="s">
        <v>552</v>
      </c>
      <c r="H39" s="1" t="s">
        <v>462</v>
      </c>
      <c r="I39" s="1"/>
      <c r="J39" s="1"/>
      <c r="K39" s="1"/>
      <c r="L39" s="1"/>
      <c r="M39" s="23"/>
      <c r="N39" s="23"/>
      <c r="O39" s="23"/>
      <c r="P39" s="270"/>
      <c r="Q39" s="19"/>
      <c r="R39" s="19"/>
      <c r="S39" s="38" t="s">
        <v>183</v>
      </c>
      <c r="T39" s="19"/>
      <c r="U39" s="19"/>
    </row>
    <row r="40" spans="1:21" ht="51" x14ac:dyDescent="0.2">
      <c r="A40" s="19">
        <v>4</v>
      </c>
      <c r="B40" s="23" t="s">
        <v>321</v>
      </c>
      <c r="C40" s="23" t="s">
        <v>109</v>
      </c>
      <c r="D40" s="20">
        <f>IF(C40="Critical",ISO90012008!B143,IF(C40="Major",ISO90012008!B144,IF(C40="Minor",ISO90012008!B145,"")))</f>
        <v>5</v>
      </c>
      <c r="E40" s="23" t="s">
        <v>427</v>
      </c>
      <c r="F40" s="23" t="s">
        <v>494</v>
      </c>
      <c r="G40" s="23" t="s">
        <v>552</v>
      </c>
      <c r="H40" s="1" t="s">
        <v>462</v>
      </c>
      <c r="I40" s="1"/>
      <c r="J40" s="1"/>
      <c r="K40" s="1"/>
      <c r="L40" s="1"/>
      <c r="M40" s="23"/>
      <c r="N40" s="22"/>
      <c r="O40" s="22"/>
      <c r="P40" s="29"/>
      <c r="Q40" s="19"/>
      <c r="R40" s="19"/>
      <c r="S40" s="38" t="s">
        <v>231</v>
      </c>
      <c r="T40" s="19"/>
      <c r="U40" s="19"/>
    </row>
    <row r="41" spans="1:21" ht="38.25" x14ac:dyDescent="0.2">
      <c r="A41" s="19">
        <v>5</v>
      </c>
      <c r="B41" s="23" t="s">
        <v>227</v>
      </c>
      <c r="C41" s="23" t="s">
        <v>160</v>
      </c>
      <c r="D41" s="20">
        <f>IF(C41="Critical",ISO90012008!B143,IF(C41="Major",ISO90012008!B144,IF(C41="Minor",ISO90012008!B145,"")))</f>
        <v>1</v>
      </c>
      <c r="E41" s="23"/>
      <c r="F41" s="23" t="s">
        <v>494</v>
      </c>
      <c r="G41" s="23" t="s">
        <v>407</v>
      </c>
      <c r="H41" s="1" t="s">
        <v>462</v>
      </c>
      <c r="I41" s="1"/>
      <c r="J41" s="1"/>
      <c r="K41" s="1"/>
      <c r="L41" s="1"/>
      <c r="M41" s="23"/>
      <c r="N41" s="22"/>
      <c r="O41" s="22"/>
      <c r="P41" s="270"/>
      <c r="Q41" s="19"/>
      <c r="R41" s="19"/>
      <c r="S41" s="38" t="s">
        <v>110</v>
      </c>
      <c r="T41" s="19"/>
      <c r="U41" s="19"/>
    </row>
    <row r="42" spans="1:21" s="16" customFormat="1" ht="25.5" x14ac:dyDescent="0.2">
      <c r="A42" s="19">
        <v>6</v>
      </c>
      <c r="B42" s="23" t="s">
        <v>452</v>
      </c>
      <c r="C42" s="23" t="s">
        <v>159</v>
      </c>
      <c r="D42" s="20">
        <f>IF(C42="Critical",ISO90012008!B143,IF(C42="Major",ISO90012008!B144,IF(C42="Minor",ISO90012008!B145,"")))</f>
        <v>3</v>
      </c>
      <c r="E42" s="23" t="s">
        <v>451</v>
      </c>
      <c r="F42" s="23" t="s">
        <v>494</v>
      </c>
      <c r="G42" s="23" t="s">
        <v>453</v>
      </c>
      <c r="H42" s="1" t="s">
        <v>462</v>
      </c>
      <c r="I42" s="1"/>
      <c r="J42" s="1"/>
      <c r="K42" s="1"/>
      <c r="L42" s="1"/>
      <c r="M42" s="23"/>
      <c r="N42" s="22"/>
      <c r="O42" s="22"/>
      <c r="P42" s="21"/>
      <c r="Q42" s="33"/>
      <c r="R42" s="33"/>
      <c r="S42" s="38" t="s">
        <v>512</v>
      </c>
      <c r="T42" s="19"/>
      <c r="U42" s="33"/>
    </row>
    <row r="43" spans="1:21" ht="25.5" x14ac:dyDescent="0.2">
      <c r="A43" s="19">
        <v>7</v>
      </c>
      <c r="B43" s="23" t="s">
        <v>328</v>
      </c>
      <c r="C43" s="23" t="s">
        <v>160</v>
      </c>
      <c r="D43" s="20">
        <f>IF(C43="Critical",ISO90012008!B143,IF(C43="Major",ISO90012008!B144,IF(C43="Minor",ISO90012008!B145,"")))</f>
        <v>1</v>
      </c>
      <c r="E43" s="23"/>
      <c r="F43" s="23" t="s">
        <v>494</v>
      </c>
      <c r="G43" s="23" t="s">
        <v>399</v>
      </c>
      <c r="H43" s="1" t="s">
        <v>462</v>
      </c>
      <c r="I43" s="1"/>
      <c r="J43" s="1"/>
      <c r="K43" s="1"/>
      <c r="L43" s="1"/>
      <c r="M43" s="23"/>
      <c r="N43" s="23"/>
      <c r="O43" s="229"/>
      <c r="P43" s="29"/>
      <c r="Q43" s="52"/>
      <c r="R43" s="52"/>
      <c r="S43" s="38" t="s">
        <v>110</v>
      </c>
      <c r="T43" s="19"/>
      <c r="U43" s="19"/>
    </row>
    <row r="44" spans="1:21" s="40" customFormat="1" x14ac:dyDescent="0.2">
      <c r="A44" s="62"/>
      <c r="B44" s="62" t="s">
        <v>322</v>
      </c>
      <c r="C44" s="62"/>
      <c r="D44" s="62"/>
      <c r="E44" s="62"/>
      <c r="F44" s="62"/>
      <c r="G44" s="62"/>
      <c r="H44" s="62"/>
      <c r="I44" s="62"/>
      <c r="J44" s="62"/>
      <c r="K44" s="62"/>
      <c r="L44" s="62"/>
      <c r="M44" s="61"/>
      <c r="N44" s="62"/>
      <c r="O44" s="62"/>
      <c r="P44" s="46"/>
      <c r="Q44" s="46"/>
      <c r="R44" s="231"/>
      <c r="S44" s="67"/>
      <c r="T44" s="62"/>
      <c r="U44" s="80"/>
    </row>
    <row r="45" spans="1:21" ht="25.5" x14ac:dyDescent="0.2">
      <c r="A45" s="19">
        <v>1</v>
      </c>
      <c r="B45" s="19" t="s">
        <v>213</v>
      </c>
      <c r="C45" s="23" t="s">
        <v>109</v>
      </c>
      <c r="D45" s="20">
        <f>IF(C45="Critical",ISO90012008!B143,IF(C45="Major",ISO90012008!B144,IF(C45="Minor",ISO90012008!B145,"")))</f>
        <v>5</v>
      </c>
      <c r="E45" s="19"/>
      <c r="F45" s="19" t="s">
        <v>493</v>
      </c>
      <c r="G45" s="23" t="s">
        <v>553</v>
      </c>
      <c r="H45" s="1" t="s">
        <v>462</v>
      </c>
      <c r="I45" s="1"/>
      <c r="J45" s="1"/>
      <c r="K45" s="1"/>
      <c r="L45" s="1"/>
      <c r="M45" s="23"/>
      <c r="N45" s="19"/>
      <c r="O45" s="22"/>
      <c r="P45" s="29"/>
      <c r="Q45" s="19"/>
      <c r="R45" s="19"/>
      <c r="S45" s="38" t="s">
        <v>184</v>
      </c>
      <c r="T45" s="19"/>
      <c r="U45" s="19"/>
    </row>
    <row r="46" spans="1:21" ht="51" x14ac:dyDescent="0.2">
      <c r="A46" s="19">
        <v>2</v>
      </c>
      <c r="B46" s="23" t="s">
        <v>323</v>
      </c>
      <c r="C46" s="23" t="s">
        <v>160</v>
      </c>
      <c r="D46" s="20">
        <f>IF(C46="Critical",ISO90012008!B143,IF(C46="Major",ISO90012008!B144,IF(C46="Minor",ISO90012008!B145,"")))</f>
        <v>1</v>
      </c>
      <c r="E46" s="23" t="s">
        <v>427</v>
      </c>
      <c r="F46" s="23" t="s">
        <v>494</v>
      </c>
      <c r="G46" s="23" t="s">
        <v>554</v>
      </c>
      <c r="H46" s="1" t="s">
        <v>462</v>
      </c>
      <c r="I46" s="1"/>
      <c r="J46" s="1"/>
      <c r="K46" s="1"/>
      <c r="L46" s="1"/>
      <c r="M46" s="23"/>
      <c r="N46" s="22"/>
      <c r="O46" s="22"/>
      <c r="P46" s="29"/>
      <c r="Q46" s="19"/>
      <c r="R46" s="19"/>
      <c r="S46" s="38" t="s">
        <v>110</v>
      </c>
      <c r="T46" s="19"/>
      <c r="U46" s="19"/>
    </row>
    <row r="47" spans="1:21" ht="51" x14ac:dyDescent="0.2">
      <c r="A47" s="19">
        <v>3</v>
      </c>
      <c r="B47" s="23" t="s">
        <v>324</v>
      </c>
      <c r="C47" s="23" t="s">
        <v>159</v>
      </c>
      <c r="D47" s="20">
        <f>IF(C47="Critical",ISO90012008!B143,IF(C47="Major",ISO90012008!B144,IF(C47="Minor",ISO90012008!B145,"")))</f>
        <v>3</v>
      </c>
      <c r="E47" s="23" t="s">
        <v>427</v>
      </c>
      <c r="F47" s="23" t="s">
        <v>494</v>
      </c>
      <c r="G47" s="23" t="s">
        <v>554</v>
      </c>
      <c r="H47" s="1" t="s">
        <v>462</v>
      </c>
      <c r="I47" s="1"/>
      <c r="J47" s="1"/>
      <c r="K47" s="1"/>
      <c r="L47" s="1"/>
      <c r="M47" s="23"/>
      <c r="N47" s="22"/>
      <c r="O47" s="22"/>
      <c r="P47" s="29"/>
      <c r="Q47" s="19"/>
      <c r="R47" s="19"/>
      <c r="S47" s="38" t="s">
        <v>183</v>
      </c>
      <c r="T47" s="19"/>
      <c r="U47" s="19"/>
    </row>
    <row r="48" spans="1:21" ht="51" x14ac:dyDescent="0.2">
      <c r="A48" s="19">
        <v>4</v>
      </c>
      <c r="B48" s="23" t="s">
        <v>325</v>
      </c>
      <c r="C48" s="23" t="s">
        <v>109</v>
      </c>
      <c r="D48" s="20">
        <f>IF(C48="Critical",ISO90012008!B143,IF(C48="Major",ISO90012008!B144,IF(C48="Minor",ISO90012008!B145,"")))</f>
        <v>5</v>
      </c>
      <c r="E48" s="23" t="s">
        <v>427</v>
      </c>
      <c r="F48" s="23" t="s">
        <v>494</v>
      </c>
      <c r="G48" s="23" t="s">
        <v>554</v>
      </c>
      <c r="H48" s="1" t="s">
        <v>462</v>
      </c>
      <c r="I48" s="1"/>
      <c r="J48" s="1"/>
      <c r="K48" s="1"/>
      <c r="L48" s="1"/>
      <c r="M48" s="23"/>
      <c r="N48" s="22"/>
      <c r="O48" s="22"/>
      <c r="P48" s="29"/>
      <c r="Q48" s="19"/>
      <c r="R48" s="19"/>
      <c r="S48" s="38" t="s">
        <v>231</v>
      </c>
      <c r="T48" s="19"/>
      <c r="U48" s="19"/>
    </row>
    <row r="49" spans="1:21" ht="38.25" x14ac:dyDescent="0.2">
      <c r="A49" s="19">
        <v>5</v>
      </c>
      <c r="B49" s="23" t="s">
        <v>214</v>
      </c>
      <c r="C49" s="23" t="s">
        <v>160</v>
      </c>
      <c r="D49" s="20">
        <f>IF(C49="Critical",ISO90012008!B143,IF(C49="Major",ISO90012008!B144,IF(C49="Minor",ISO90012008!B145,"")))</f>
        <v>1</v>
      </c>
      <c r="E49" s="23"/>
      <c r="F49" s="23" t="s">
        <v>494</v>
      </c>
      <c r="G49" s="23" t="s">
        <v>408</v>
      </c>
      <c r="H49" s="1" t="s">
        <v>462</v>
      </c>
      <c r="I49" s="1"/>
      <c r="J49" s="1"/>
      <c r="K49" s="1"/>
      <c r="L49" s="1"/>
      <c r="M49" s="23"/>
      <c r="N49" s="22"/>
      <c r="O49" s="22"/>
      <c r="P49" s="21"/>
      <c r="Q49" s="19"/>
      <c r="R49" s="19"/>
      <c r="S49" s="38" t="s">
        <v>110</v>
      </c>
      <c r="T49" s="19"/>
      <c r="U49" s="19"/>
    </row>
    <row r="50" spans="1:21" s="16" customFormat="1" ht="25.5" x14ac:dyDescent="0.2">
      <c r="A50" s="19">
        <v>6</v>
      </c>
      <c r="B50" s="23" t="s">
        <v>452</v>
      </c>
      <c r="C50" s="23" t="s">
        <v>159</v>
      </c>
      <c r="D50" s="20">
        <f>IF(C50="Critical",ISO90012008!B143,IF(C50="Major",ISO90012008!B144,IF(C50="Minor",ISO90012008!B145,"")))</f>
        <v>3</v>
      </c>
      <c r="E50" s="23" t="s">
        <v>451</v>
      </c>
      <c r="F50" s="23" t="s">
        <v>494</v>
      </c>
      <c r="G50" s="23" t="s">
        <v>453</v>
      </c>
      <c r="H50" s="1" t="s">
        <v>462</v>
      </c>
      <c r="I50" s="1"/>
      <c r="J50" s="1"/>
      <c r="K50" s="1"/>
      <c r="L50" s="1"/>
      <c r="M50" s="23"/>
      <c r="N50" s="22"/>
      <c r="O50" s="22"/>
      <c r="P50" s="21"/>
      <c r="Q50" s="33"/>
      <c r="R50" s="33"/>
      <c r="S50" s="38" t="s">
        <v>512</v>
      </c>
      <c r="T50" s="19"/>
      <c r="U50" s="33"/>
    </row>
    <row r="51" spans="1:21" ht="25.5" x14ac:dyDescent="0.2">
      <c r="A51" s="19">
        <v>7</v>
      </c>
      <c r="B51" s="23" t="s">
        <v>329</v>
      </c>
      <c r="C51" s="23" t="s">
        <v>160</v>
      </c>
      <c r="D51" s="20">
        <f>IF(C51="Critical",ISO90012008!B143,IF(C51="Major",ISO90012008!B144,IF(C51="Minor",ISO90012008!B145,"")))</f>
        <v>1</v>
      </c>
      <c r="E51" s="23"/>
      <c r="F51" s="23" t="s">
        <v>494</v>
      </c>
      <c r="G51" s="23" t="s">
        <v>399</v>
      </c>
      <c r="H51" s="1" t="s">
        <v>462</v>
      </c>
      <c r="I51" s="1"/>
      <c r="J51" s="1"/>
      <c r="K51" s="1"/>
      <c r="L51" s="1"/>
      <c r="M51" s="23"/>
      <c r="N51" s="19"/>
      <c r="O51" s="21"/>
      <c r="P51" s="21"/>
      <c r="Q51" s="29"/>
      <c r="R51" s="29"/>
      <c r="S51" s="38" t="s">
        <v>110</v>
      </c>
      <c r="T51" s="19"/>
      <c r="U51" s="19"/>
    </row>
    <row r="52" spans="1:21" s="40" customFormat="1" x14ac:dyDescent="0.2">
      <c r="A52" s="62"/>
      <c r="B52" s="62" t="s">
        <v>351</v>
      </c>
      <c r="C52" s="62"/>
      <c r="D52" s="62"/>
      <c r="E52" s="62"/>
      <c r="F52" s="62"/>
      <c r="G52" s="62"/>
      <c r="H52" s="62"/>
      <c r="I52" s="62"/>
      <c r="J52" s="62"/>
      <c r="K52" s="62"/>
      <c r="L52" s="62"/>
      <c r="M52" s="61"/>
      <c r="N52" s="62"/>
      <c r="O52" s="62"/>
      <c r="P52" s="46"/>
      <c r="Q52" s="46"/>
      <c r="R52" s="231"/>
      <c r="S52" s="67"/>
      <c r="T52" s="62"/>
      <c r="U52" s="80"/>
    </row>
    <row r="53" spans="1:21" ht="25.5" x14ac:dyDescent="0.2">
      <c r="A53" s="19">
        <v>1</v>
      </c>
      <c r="B53" s="23" t="s">
        <v>352</v>
      </c>
      <c r="C53" s="23" t="s">
        <v>109</v>
      </c>
      <c r="D53" s="20">
        <f>IF(C53="Critical",ISO90012008!B143,IF(C53="Major",ISO90012008!B144,IF(C53="Minor",ISO90012008!B145,"")))</f>
        <v>5</v>
      </c>
      <c r="E53" s="23"/>
      <c r="F53" s="23" t="s">
        <v>493</v>
      </c>
      <c r="G53" s="23" t="s">
        <v>409</v>
      </c>
      <c r="H53" s="1" t="s">
        <v>462</v>
      </c>
      <c r="I53" s="1"/>
      <c r="J53" s="1"/>
      <c r="K53" s="1"/>
      <c r="L53" s="1"/>
      <c r="M53" s="23"/>
      <c r="N53" s="19"/>
      <c r="O53" s="22"/>
      <c r="P53" s="29"/>
      <c r="Q53" s="19"/>
      <c r="R53" s="19"/>
      <c r="S53" s="38" t="s">
        <v>184</v>
      </c>
      <c r="T53" s="19"/>
      <c r="U53" s="19"/>
    </row>
    <row r="54" spans="1:21" ht="63.75" x14ac:dyDescent="0.2">
      <c r="A54" s="19">
        <v>2</v>
      </c>
      <c r="B54" s="23" t="s">
        <v>353</v>
      </c>
      <c r="C54" s="23" t="s">
        <v>160</v>
      </c>
      <c r="D54" s="20">
        <f>IF(C54="Critical",ISO90012008!B143,IF(C54="Major",ISO90012008!B144,IF(C54="Minor",ISO90012008!B145,"")))</f>
        <v>1</v>
      </c>
      <c r="E54" s="23" t="s">
        <v>427</v>
      </c>
      <c r="F54" s="23" t="s">
        <v>494</v>
      </c>
      <c r="G54" s="23" t="s">
        <v>555</v>
      </c>
      <c r="H54" s="1" t="s">
        <v>462</v>
      </c>
      <c r="I54" s="1"/>
      <c r="J54" s="1"/>
      <c r="K54" s="1"/>
      <c r="L54" s="1"/>
      <c r="M54" s="23"/>
      <c r="N54" s="22"/>
      <c r="O54" s="22"/>
      <c r="P54" s="29"/>
      <c r="Q54" s="19"/>
      <c r="R54" s="19"/>
      <c r="S54" s="38" t="s">
        <v>110</v>
      </c>
      <c r="T54" s="19"/>
      <c r="U54" s="19"/>
    </row>
    <row r="55" spans="1:21" ht="63.75" x14ac:dyDescent="0.2">
      <c r="A55" s="19">
        <v>3</v>
      </c>
      <c r="B55" s="23" t="s">
        <v>354</v>
      </c>
      <c r="C55" s="23" t="s">
        <v>159</v>
      </c>
      <c r="D55" s="20">
        <f>IF(C55="Critical",ISO90012008!B143,IF(C55="Major",ISO90012008!B144,IF(C55="Minor",ISO90012008!B145,"")))</f>
        <v>3</v>
      </c>
      <c r="E55" s="23" t="s">
        <v>427</v>
      </c>
      <c r="F55" s="23" t="s">
        <v>494</v>
      </c>
      <c r="G55" s="23" t="s">
        <v>555</v>
      </c>
      <c r="H55" s="1" t="s">
        <v>462</v>
      </c>
      <c r="I55" s="1"/>
      <c r="J55" s="1"/>
      <c r="K55" s="1"/>
      <c r="L55" s="1"/>
      <c r="M55" s="23"/>
      <c r="N55" s="22"/>
      <c r="O55" s="22"/>
      <c r="P55" s="29"/>
      <c r="Q55" s="19"/>
      <c r="R55" s="19"/>
      <c r="S55" s="38" t="s">
        <v>183</v>
      </c>
      <c r="T55" s="19"/>
      <c r="U55" s="19"/>
    </row>
    <row r="56" spans="1:21" ht="63.75" x14ac:dyDescent="0.2">
      <c r="A56" s="19">
        <v>4</v>
      </c>
      <c r="B56" s="23" t="s">
        <v>355</v>
      </c>
      <c r="C56" s="23" t="s">
        <v>109</v>
      </c>
      <c r="D56" s="20">
        <f>IF(C56="Critical",ISO90012008!B143,IF(C56="Major",ISO90012008!B144,IF(C56="Minor",ISO90012008!B145,"")))</f>
        <v>5</v>
      </c>
      <c r="E56" s="23" t="s">
        <v>427</v>
      </c>
      <c r="F56" s="23" t="s">
        <v>494</v>
      </c>
      <c r="G56" s="23" t="s">
        <v>555</v>
      </c>
      <c r="H56" s="1" t="s">
        <v>462</v>
      </c>
      <c r="I56" s="1"/>
      <c r="J56" s="1"/>
      <c r="K56" s="1"/>
      <c r="L56" s="1"/>
      <c r="M56" s="23"/>
      <c r="N56" s="22"/>
      <c r="O56" s="22"/>
      <c r="P56" s="29"/>
      <c r="Q56" s="19"/>
      <c r="R56" s="19"/>
      <c r="S56" s="38" t="s">
        <v>231</v>
      </c>
      <c r="T56" s="19"/>
      <c r="U56" s="19"/>
    </row>
    <row r="57" spans="1:21" ht="51" x14ac:dyDescent="0.2">
      <c r="A57" s="19">
        <v>5</v>
      </c>
      <c r="B57" s="23" t="s">
        <v>356</v>
      </c>
      <c r="C57" s="23" t="s">
        <v>160</v>
      </c>
      <c r="D57" s="20">
        <f>IF(C57="Critical",ISO90012008!B143,IF(C57="Major",ISO90012008!B144,IF(C57="Minor",ISO90012008!B145,"")))</f>
        <v>1</v>
      </c>
      <c r="E57" s="23"/>
      <c r="F57" s="23" t="s">
        <v>494</v>
      </c>
      <c r="G57" s="23" t="s">
        <v>410</v>
      </c>
      <c r="H57" s="1" t="s">
        <v>462</v>
      </c>
      <c r="I57" s="1"/>
      <c r="J57" s="1"/>
      <c r="K57" s="1"/>
      <c r="L57" s="1"/>
      <c r="M57" s="23"/>
      <c r="N57" s="22"/>
      <c r="O57" s="22"/>
      <c r="P57" s="21"/>
      <c r="Q57" s="19"/>
      <c r="R57" s="19"/>
      <c r="S57" s="38" t="s">
        <v>110</v>
      </c>
      <c r="T57" s="19"/>
      <c r="U57" s="19"/>
    </row>
    <row r="58" spans="1:21" s="16" customFormat="1" ht="25.5" x14ac:dyDescent="0.2">
      <c r="A58" s="19">
        <v>6</v>
      </c>
      <c r="B58" s="23" t="s">
        <v>452</v>
      </c>
      <c r="C58" s="23" t="s">
        <v>159</v>
      </c>
      <c r="D58" s="20">
        <f>IF(C58="Critical",ISO90012008!B143,IF(C58="Major",ISO90012008!B144,IF(C58="Minor",ISO90012008!B145,"")))</f>
        <v>3</v>
      </c>
      <c r="E58" s="23" t="s">
        <v>451</v>
      </c>
      <c r="F58" s="23" t="s">
        <v>494</v>
      </c>
      <c r="G58" s="23" t="s">
        <v>453</v>
      </c>
      <c r="H58" s="1" t="s">
        <v>462</v>
      </c>
      <c r="I58" s="1"/>
      <c r="J58" s="1"/>
      <c r="K58" s="1"/>
      <c r="L58" s="1"/>
      <c r="M58" s="23"/>
      <c r="N58" s="22"/>
      <c r="O58" s="22"/>
      <c r="P58" s="21"/>
      <c r="Q58" s="33"/>
      <c r="R58" s="33"/>
      <c r="S58" s="38" t="s">
        <v>512</v>
      </c>
      <c r="T58" s="19"/>
      <c r="U58" s="33"/>
    </row>
    <row r="59" spans="1:21" ht="25.5" x14ac:dyDescent="0.2">
      <c r="A59" s="19">
        <v>7</v>
      </c>
      <c r="B59" s="23" t="s">
        <v>357</v>
      </c>
      <c r="C59" s="23" t="s">
        <v>160</v>
      </c>
      <c r="D59" s="20">
        <f>IF(C59="Critical",ISO90012008!B143,IF(C59="Major",ISO90012008!B144,IF(C59="Minor",ISO90012008!B145,"")))</f>
        <v>1</v>
      </c>
      <c r="E59" s="23"/>
      <c r="F59" s="23" t="s">
        <v>494</v>
      </c>
      <c r="G59" s="23" t="s">
        <v>399</v>
      </c>
      <c r="H59" s="1" t="s">
        <v>462</v>
      </c>
      <c r="I59" s="1"/>
      <c r="J59" s="1"/>
      <c r="K59" s="1"/>
      <c r="L59" s="1"/>
      <c r="M59" s="23"/>
      <c r="N59" s="19"/>
      <c r="O59" s="21"/>
      <c r="P59" s="21"/>
      <c r="Q59" s="29"/>
      <c r="R59" s="29"/>
      <c r="S59" s="38" t="s">
        <v>110</v>
      </c>
      <c r="T59" s="19"/>
      <c r="U59" s="19"/>
    </row>
    <row r="60" spans="1:21" s="40" customFormat="1" x14ac:dyDescent="0.2">
      <c r="A60" s="63"/>
      <c r="B60" s="63" t="s">
        <v>565</v>
      </c>
      <c r="C60" s="63"/>
      <c r="D60" s="63"/>
      <c r="E60" s="63"/>
      <c r="F60" s="63"/>
      <c r="G60" s="63"/>
      <c r="H60" s="63"/>
      <c r="I60" s="63"/>
      <c r="J60" s="63"/>
      <c r="K60" s="63"/>
      <c r="L60" s="63"/>
      <c r="M60" s="63"/>
      <c r="N60" s="63"/>
      <c r="O60" s="63"/>
      <c r="P60" s="46"/>
      <c r="Q60" s="46"/>
      <c r="R60" s="232"/>
      <c r="S60" s="68"/>
      <c r="T60" s="63"/>
      <c r="U60" s="80"/>
    </row>
    <row r="61" spans="1:21" ht="25.5" x14ac:dyDescent="0.2">
      <c r="A61" s="54">
        <v>1</v>
      </c>
      <c r="B61" s="225" t="s">
        <v>567</v>
      </c>
      <c r="C61" s="54" t="s">
        <v>159</v>
      </c>
      <c r="D61" s="224">
        <f>IF(C61="Critical",ISO90012008!B143,IF(C61="Major",ISO90012008!B144,IF(C61="Minor",ISO90012008!B145,"")))</f>
        <v>3</v>
      </c>
      <c r="E61" s="225" t="s">
        <v>427</v>
      </c>
      <c r="F61" s="225" t="s">
        <v>494</v>
      </c>
      <c r="G61" s="225" t="s">
        <v>569</v>
      </c>
      <c r="H61" s="226" t="s">
        <v>462</v>
      </c>
      <c r="I61" s="226"/>
      <c r="J61" s="226"/>
      <c r="K61" s="226"/>
      <c r="L61" s="226"/>
      <c r="M61" s="23"/>
      <c r="N61" s="19"/>
      <c r="O61" s="19"/>
      <c r="P61" s="21"/>
      <c r="Q61" s="19"/>
      <c r="R61" s="19"/>
      <c r="S61" s="38" t="s">
        <v>230</v>
      </c>
      <c r="T61" s="19"/>
      <c r="U61" s="19"/>
    </row>
    <row r="62" spans="1:21" ht="38.25" x14ac:dyDescent="0.2">
      <c r="A62" s="54">
        <v>2</v>
      </c>
      <c r="B62" s="225" t="s">
        <v>566</v>
      </c>
      <c r="C62" s="54" t="s">
        <v>159</v>
      </c>
      <c r="D62" s="224">
        <f>IF(C62="Critical",ISO90012008!B143,IF(C62="Major",ISO90012008!B144,IF(C62="Minor",ISO90012008!B145,"")))</f>
        <v>3</v>
      </c>
      <c r="E62" s="225" t="s">
        <v>427</v>
      </c>
      <c r="F62" s="225" t="s">
        <v>494</v>
      </c>
      <c r="G62" s="225" t="s">
        <v>411</v>
      </c>
      <c r="H62" s="226" t="s">
        <v>611</v>
      </c>
      <c r="I62" s="226"/>
      <c r="J62" s="226"/>
      <c r="K62" s="226"/>
      <c r="L62" s="226"/>
      <c r="M62" s="23"/>
      <c r="N62" s="19"/>
      <c r="O62" s="19"/>
      <c r="P62" s="21"/>
      <c r="Q62" s="19"/>
      <c r="R62" s="19"/>
      <c r="S62" s="38">
        <v>8.3000000000000007</v>
      </c>
      <c r="T62" s="19"/>
      <c r="U62" s="19"/>
    </row>
    <row r="63" spans="1:21" s="16" customFormat="1" ht="25.5" x14ac:dyDescent="0.2">
      <c r="A63" s="54">
        <v>3</v>
      </c>
      <c r="B63" s="225" t="s">
        <v>568</v>
      </c>
      <c r="C63" s="54" t="s">
        <v>159</v>
      </c>
      <c r="D63" s="224">
        <f>IF(C63="Critical",ISO90012008!B143,IF(C63="Major",ISO90012008!B144,IF(C63="Minor",ISO90012008!B145,"")))</f>
        <v>3</v>
      </c>
      <c r="E63" s="225" t="s">
        <v>451</v>
      </c>
      <c r="F63" s="225" t="s">
        <v>494</v>
      </c>
      <c r="G63" s="225" t="s">
        <v>453</v>
      </c>
      <c r="H63" s="226" t="s">
        <v>462</v>
      </c>
      <c r="I63" s="226"/>
      <c r="J63" s="226"/>
      <c r="K63" s="226"/>
      <c r="L63" s="226"/>
      <c r="M63" s="23"/>
      <c r="N63" s="22"/>
      <c r="O63" s="22"/>
      <c r="P63" s="21"/>
      <c r="Q63" s="33"/>
      <c r="R63" s="33"/>
      <c r="S63" s="38" t="s">
        <v>512</v>
      </c>
      <c r="T63" s="19"/>
      <c r="U63" s="33"/>
    </row>
    <row r="64" spans="1:21" s="40" customFormat="1" x14ac:dyDescent="0.2">
      <c r="A64" s="61"/>
      <c r="B64" s="61" t="s">
        <v>446</v>
      </c>
      <c r="C64" s="61"/>
      <c r="D64" s="61"/>
      <c r="E64" s="61"/>
      <c r="F64" s="61"/>
      <c r="G64" s="61"/>
      <c r="H64" s="61"/>
      <c r="I64" s="61"/>
      <c r="J64" s="61"/>
      <c r="K64" s="61"/>
      <c r="L64" s="61"/>
      <c r="M64" s="63"/>
      <c r="N64" s="61"/>
      <c r="O64" s="61"/>
      <c r="P64" s="46"/>
      <c r="Q64" s="46"/>
      <c r="R64" s="230"/>
      <c r="S64" s="66"/>
      <c r="T64" s="61"/>
      <c r="U64" s="80"/>
    </row>
    <row r="65" spans="1:21" s="64" customFormat="1" ht="38.25" x14ac:dyDescent="0.2">
      <c r="A65" s="54">
        <v>1</v>
      </c>
      <c r="B65" s="19" t="s">
        <v>331</v>
      </c>
      <c r="C65" s="19" t="s">
        <v>109</v>
      </c>
      <c r="D65" s="20">
        <f>IF(C65="Critical",ISO90012008!B143,IF(C65="Major",ISO90012008!B143,IF(C65="Minor",ISO90012008!B145,"")))</f>
        <v>5</v>
      </c>
      <c r="E65" s="19"/>
      <c r="F65" s="19" t="s">
        <v>493</v>
      </c>
      <c r="G65" s="23" t="s">
        <v>413</v>
      </c>
      <c r="H65" s="1" t="s">
        <v>462</v>
      </c>
      <c r="I65" s="1"/>
      <c r="J65" s="1"/>
      <c r="K65" s="1"/>
      <c r="L65" s="1"/>
      <c r="M65" s="23"/>
      <c r="N65" s="23"/>
      <c r="O65" s="23"/>
      <c r="P65" s="29"/>
      <c r="Q65" s="52"/>
      <c r="R65" s="52"/>
      <c r="S65" s="37" t="s">
        <v>184</v>
      </c>
      <c r="T65" s="19"/>
      <c r="U65" s="19"/>
    </row>
    <row r="66" spans="1:21" ht="38.25" x14ac:dyDescent="0.2">
      <c r="A66" s="19">
        <v>2</v>
      </c>
      <c r="B66" s="19" t="s">
        <v>332</v>
      </c>
      <c r="C66" s="19" t="s">
        <v>160</v>
      </c>
      <c r="D66" s="20">
        <f>IF(C66="Critical",ISO90012008!B143,IF(C66="Major",ISO90012008!B144,IF(C66="Minor",ISO90012008!B145,"")))</f>
        <v>1</v>
      </c>
      <c r="E66" s="23" t="s">
        <v>427</v>
      </c>
      <c r="F66" s="23" t="s">
        <v>494</v>
      </c>
      <c r="G66" s="23" t="s">
        <v>414</v>
      </c>
      <c r="H66" s="1" t="s">
        <v>462</v>
      </c>
      <c r="I66" s="1"/>
      <c r="J66" s="1"/>
      <c r="K66" s="1"/>
      <c r="L66" s="1"/>
      <c r="M66" s="23"/>
      <c r="N66" s="23"/>
      <c r="O66" s="23"/>
      <c r="P66" s="29"/>
      <c r="Q66" s="19"/>
      <c r="R66" s="19"/>
      <c r="S66" s="38" t="s">
        <v>110</v>
      </c>
      <c r="T66" s="19"/>
      <c r="U66" s="19"/>
    </row>
    <row r="67" spans="1:21" ht="38.25" x14ac:dyDescent="0.2">
      <c r="A67" s="54">
        <v>3</v>
      </c>
      <c r="B67" s="19" t="s">
        <v>333</v>
      </c>
      <c r="C67" s="19" t="s">
        <v>159</v>
      </c>
      <c r="D67" s="20">
        <f>IF(C67="Critical",ISO90012008!B143,IF(C67="Major",ISO90012008!B144,IF(C67="Minor",ISO90012008!B145,"")))</f>
        <v>3</v>
      </c>
      <c r="E67" s="23" t="s">
        <v>427</v>
      </c>
      <c r="F67" s="23" t="s">
        <v>494</v>
      </c>
      <c r="G67" s="23" t="s">
        <v>414</v>
      </c>
      <c r="H67" s="1" t="s">
        <v>462</v>
      </c>
      <c r="I67" s="1"/>
      <c r="J67" s="1"/>
      <c r="K67" s="1"/>
      <c r="L67" s="1"/>
      <c r="M67" s="23"/>
      <c r="N67" s="23"/>
      <c r="O67" s="23"/>
      <c r="P67" s="29"/>
      <c r="Q67" s="19"/>
      <c r="R67" s="19"/>
      <c r="S67" s="38" t="s">
        <v>183</v>
      </c>
      <c r="T67" s="19"/>
      <c r="U67" s="19"/>
    </row>
    <row r="68" spans="1:21" ht="38.25" x14ac:dyDescent="0.2">
      <c r="A68" s="54">
        <v>4</v>
      </c>
      <c r="B68" s="19" t="s">
        <v>334</v>
      </c>
      <c r="C68" s="19" t="s">
        <v>160</v>
      </c>
      <c r="D68" s="20">
        <f>IF(C68="Critical",ISO90012008!B143,IF(C68="Major",ISO90012008!B144,IF(C68="Minor",ISO90012008!B145,"")))</f>
        <v>1</v>
      </c>
      <c r="E68" s="19"/>
      <c r="F68" s="23" t="s">
        <v>494</v>
      </c>
      <c r="G68" s="23" t="s">
        <v>415</v>
      </c>
      <c r="H68" s="1" t="s">
        <v>462</v>
      </c>
      <c r="I68" s="1"/>
      <c r="J68" s="1"/>
      <c r="K68" s="1"/>
      <c r="L68" s="1"/>
      <c r="M68" s="23"/>
      <c r="N68" s="23"/>
      <c r="O68" s="23"/>
      <c r="P68" s="29"/>
      <c r="Q68" s="19"/>
      <c r="R68" s="19"/>
      <c r="S68" s="37" t="s">
        <v>110</v>
      </c>
      <c r="T68" s="19"/>
      <c r="U68" s="19"/>
    </row>
    <row r="69" spans="1:21" s="16" customFormat="1" ht="25.5" x14ac:dyDescent="0.2">
      <c r="A69" s="19">
        <v>5</v>
      </c>
      <c r="B69" s="23" t="s">
        <v>452</v>
      </c>
      <c r="C69" s="23" t="s">
        <v>159</v>
      </c>
      <c r="D69" s="20">
        <f>IF(C69="Critical",ISO90012008!B143,IF(C69="Major",ISO90012008!B144,IF(C69="Minor",ISO90012008!B145,"")))</f>
        <v>3</v>
      </c>
      <c r="E69" s="23" t="s">
        <v>451</v>
      </c>
      <c r="F69" s="23" t="s">
        <v>494</v>
      </c>
      <c r="G69" s="23" t="s">
        <v>453</v>
      </c>
      <c r="H69" s="1" t="s">
        <v>462</v>
      </c>
      <c r="I69" s="1"/>
      <c r="J69" s="1"/>
      <c r="K69" s="1"/>
      <c r="L69" s="1"/>
      <c r="M69" s="23"/>
      <c r="N69" s="23"/>
      <c r="O69" s="23"/>
      <c r="P69" s="21"/>
      <c r="Q69" s="33"/>
      <c r="R69" s="33"/>
      <c r="S69" s="38" t="s">
        <v>512</v>
      </c>
      <c r="T69" s="19"/>
      <c r="U69" s="33"/>
    </row>
    <row r="70" spans="1:21" ht="25.5" x14ac:dyDescent="0.2">
      <c r="A70" s="54">
        <v>6</v>
      </c>
      <c r="B70" s="23" t="s">
        <v>335</v>
      </c>
      <c r="C70" s="23" t="s">
        <v>160</v>
      </c>
      <c r="D70" s="20">
        <f>IF(C70="Critical",ISO90012008!B143,IF(C70="Major",ISO90012008!B144,IF(C70="Minor",ISO90012008!B145,"")))</f>
        <v>1</v>
      </c>
      <c r="E70" s="23"/>
      <c r="F70" s="23" t="s">
        <v>494</v>
      </c>
      <c r="G70" s="23" t="s">
        <v>399</v>
      </c>
      <c r="H70" s="1" t="s">
        <v>462</v>
      </c>
      <c r="I70" s="1"/>
      <c r="J70" s="1"/>
      <c r="K70" s="1"/>
      <c r="L70" s="1"/>
      <c r="M70" s="23"/>
      <c r="N70" s="23"/>
      <c r="O70" s="23"/>
      <c r="P70" s="29"/>
      <c r="Q70" s="19"/>
      <c r="R70" s="19"/>
      <c r="S70" s="38" t="s">
        <v>110</v>
      </c>
      <c r="T70" s="19"/>
      <c r="U70" s="19"/>
    </row>
  </sheetData>
  <autoFilter ref="A2:T70"/>
  <mergeCells count="3">
    <mergeCell ref="M4:M6"/>
    <mergeCell ref="N4:N6"/>
    <mergeCell ref="P4:P6"/>
  </mergeCells>
  <phoneticPr fontId="2" type="noConversion"/>
  <conditionalFormatting sqref="M65:M66 M59:R59 M53:O53 N55:O55 M57:O58 M54:N59 Q53:S53 Q57:S58 S23 Q45:S45 Q49:S50 N40:N42 N41:O41 Q37:S37 Q41:S42 P28:R28 Q29:S30 O30:P30 M27:P27 M22:P22 P13 Q8:S9 Q4:S6 Q53:R55 P66:R66 Q21:S22 M35:R36 M44:R52 N11:O13 M19:O19 M26:S26 M34:S34 M50:S50 M58:S58 M61:S63 S9:S10 Q13:S19 H52:L52 H13:L13 H28:L28 H36:L36 H44:L44 P7 M8 M21:O36 N42:S42 M44:M55 P19:P36 P44:P59 M69 Q70:S70 N18:O19 N44:N54 P69:S69 M4:O4 Q7:R38 Q43:R43 O5 M13:M19">
    <cfRule type="cellIs" dxfId="167" priority="1069" stopIfTrue="1" operator="equal">
      <formula>"Yes"</formula>
    </cfRule>
    <cfRule type="cellIs" dxfId="166" priority="1070" stopIfTrue="1" operator="equal">
      <formula>"No"</formula>
    </cfRule>
    <cfRule type="cellIs" dxfId="165" priority="1071" stopIfTrue="1" operator="equal">
      <formula>"N/A"</formula>
    </cfRule>
  </conditionalFormatting>
  <conditionalFormatting sqref="N12:T12">
    <cfRule type="cellIs" dxfId="164" priority="103" stopIfTrue="1" operator="equal">
      <formula>"Yes"</formula>
    </cfRule>
    <cfRule type="cellIs" dxfId="163" priority="104" stopIfTrue="1" operator="equal">
      <formula>"No"</formula>
    </cfRule>
    <cfRule type="cellIs" dxfId="162" priority="105" stopIfTrue="1" operator="equal">
      <formula>"N/A"</formula>
    </cfRule>
  </conditionalFormatting>
  <conditionalFormatting sqref="M19:T19">
    <cfRule type="cellIs" dxfId="161" priority="100" stopIfTrue="1" operator="equal">
      <formula>"Yes"</formula>
    </cfRule>
    <cfRule type="cellIs" dxfId="160" priority="101" stopIfTrue="1" operator="equal">
      <formula>"No"</formula>
    </cfRule>
    <cfRule type="cellIs" dxfId="159" priority="102" stopIfTrue="1" operator="equal">
      <formula>"N/A"</formula>
    </cfRule>
  </conditionalFormatting>
  <conditionalFormatting sqref="M26:T26">
    <cfRule type="cellIs" dxfId="158" priority="97" stopIfTrue="1" operator="equal">
      <formula>"Yes"</formula>
    </cfRule>
    <cfRule type="cellIs" dxfId="157" priority="98" stopIfTrue="1" operator="equal">
      <formula>"No"</formula>
    </cfRule>
    <cfRule type="cellIs" dxfId="156" priority="99" stopIfTrue="1" operator="equal">
      <formula>"N/A"</formula>
    </cfRule>
  </conditionalFormatting>
  <conditionalFormatting sqref="M34:T34">
    <cfRule type="cellIs" dxfId="155" priority="94" stopIfTrue="1" operator="equal">
      <formula>"Yes"</formula>
    </cfRule>
    <cfRule type="cellIs" dxfId="154" priority="95" stopIfTrue="1" operator="equal">
      <formula>"No"</formula>
    </cfRule>
    <cfRule type="cellIs" dxfId="153" priority="96" stopIfTrue="1" operator="equal">
      <formula>"N/A"</formula>
    </cfRule>
  </conditionalFormatting>
  <conditionalFormatting sqref="N42:T42">
    <cfRule type="cellIs" dxfId="152" priority="91" stopIfTrue="1" operator="equal">
      <formula>"Yes"</formula>
    </cfRule>
    <cfRule type="cellIs" dxfId="151" priority="92" stopIfTrue="1" operator="equal">
      <formula>"No"</formula>
    </cfRule>
    <cfRule type="cellIs" dxfId="150" priority="93" stopIfTrue="1" operator="equal">
      <formula>"N/A"</formula>
    </cfRule>
  </conditionalFormatting>
  <conditionalFormatting sqref="M50:T50">
    <cfRule type="cellIs" dxfId="149" priority="88" stopIfTrue="1" operator="equal">
      <formula>"Yes"</formula>
    </cfRule>
    <cfRule type="cellIs" dxfId="148" priority="89" stopIfTrue="1" operator="equal">
      <formula>"No"</formula>
    </cfRule>
    <cfRule type="cellIs" dxfId="147" priority="90" stopIfTrue="1" operator="equal">
      <formula>"N/A"</formula>
    </cfRule>
  </conditionalFormatting>
  <conditionalFormatting sqref="M58:T58">
    <cfRule type="cellIs" dxfId="146" priority="85" stopIfTrue="1" operator="equal">
      <formula>"Yes"</formula>
    </cfRule>
    <cfRule type="cellIs" dxfId="145" priority="86" stopIfTrue="1" operator="equal">
      <formula>"No"</formula>
    </cfRule>
    <cfRule type="cellIs" dxfId="144" priority="87" stopIfTrue="1" operator="equal">
      <formula>"N/A"</formula>
    </cfRule>
  </conditionalFormatting>
  <conditionalFormatting sqref="M63:T63">
    <cfRule type="cellIs" dxfId="143" priority="76" stopIfTrue="1" operator="equal">
      <formula>"Yes"</formula>
    </cfRule>
    <cfRule type="cellIs" dxfId="142" priority="77" stopIfTrue="1" operator="equal">
      <formula>"No"</formula>
    </cfRule>
    <cfRule type="cellIs" dxfId="141" priority="78" stopIfTrue="1" operator="equal">
      <formula>"N/A"</formula>
    </cfRule>
  </conditionalFormatting>
  <conditionalFormatting sqref="M69 P69:T69">
    <cfRule type="cellIs" dxfId="140" priority="73" stopIfTrue="1" operator="equal">
      <formula>"Yes"</formula>
    </cfRule>
    <cfRule type="cellIs" dxfId="139" priority="74" stopIfTrue="1" operator="equal">
      <formula>"No"</formula>
    </cfRule>
    <cfRule type="cellIs" dxfId="138" priority="75" stopIfTrue="1" operator="equal">
      <formula>"N/A"</formula>
    </cfRule>
  </conditionalFormatting>
  <conditionalFormatting sqref="S12">
    <cfRule type="cellIs" dxfId="137" priority="70" stopIfTrue="1" operator="equal">
      <formula>"Yes"</formula>
    </cfRule>
    <cfRule type="cellIs" dxfId="136" priority="71" stopIfTrue="1" operator="equal">
      <formula>"No"</formula>
    </cfRule>
    <cfRule type="cellIs" dxfId="135" priority="72" stopIfTrue="1" operator="equal">
      <formula>"N/A"</formula>
    </cfRule>
  </conditionalFormatting>
  <conditionalFormatting sqref="S19">
    <cfRule type="cellIs" dxfId="134" priority="67" stopIfTrue="1" operator="equal">
      <formula>"Yes"</formula>
    </cfRule>
    <cfRule type="cellIs" dxfId="133" priority="68" stopIfTrue="1" operator="equal">
      <formula>"No"</formula>
    </cfRule>
    <cfRule type="cellIs" dxfId="132" priority="69" stopIfTrue="1" operator="equal">
      <formula>"N/A"</formula>
    </cfRule>
  </conditionalFormatting>
  <conditionalFormatting sqref="S26">
    <cfRule type="cellIs" dxfId="131" priority="64" stopIfTrue="1" operator="equal">
      <formula>"Yes"</formula>
    </cfRule>
    <cfRule type="cellIs" dxfId="130" priority="65" stopIfTrue="1" operator="equal">
      <formula>"No"</formula>
    </cfRule>
    <cfRule type="cellIs" dxfId="129" priority="66" stopIfTrue="1" operator="equal">
      <formula>"N/A"</formula>
    </cfRule>
  </conditionalFormatting>
  <conditionalFormatting sqref="S34">
    <cfRule type="cellIs" dxfId="128" priority="61" stopIfTrue="1" operator="equal">
      <formula>"Yes"</formula>
    </cfRule>
    <cfRule type="cellIs" dxfId="127" priority="62" stopIfTrue="1" operator="equal">
      <formula>"No"</formula>
    </cfRule>
    <cfRule type="cellIs" dxfId="126" priority="63" stopIfTrue="1" operator="equal">
      <formula>"N/A"</formula>
    </cfRule>
  </conditionalFormatting>
  <conditionalFormatting sqref="S42">
    <cfRule type="cellIs" dxfId="125" priority="58" stopIfTrue="1" operator="equal">
      <formula>"Yes"</formula>
    </cfRule>
    <cfRule type="cellIs" dxfId="124" priority="59" stopIfTrue="1" operator="equal">
      <formula>"No"</formula>
    </cfRule>
    <cfRule type="cellIs" dxfId="123" priority="60" stopIfTrue="1" operator="equal">
      <formula>"N/A"</formula>
    </cfRule>
  </conditionalFormatting>
  <conditionalFormatting sqref="S50">
    <cfRule type="cellIs" dxfId="122" priority="55" stopIfTrue="1" operator="equal">
      <formula>"Yes"</formula>
    </cfRule>
    <cfRule type="cellIs" dxfId="121" priority="56" stopIfTrue="1" operator="equal">
      <formula>"No"</formula>
    </cfRule>
    <cfRule type="cellIs" dxfId="120" priority="57" stopIfTrue="1" operator="equal">
      <formula>"N/A"</formula>
    </cfRule>
  </conditionalFormatting>
  <conditionalFormatting sqref="S58">
    <cfRule type="cellIs" dxfId="119" priority="52" stopIfTrue="1" operator="equal">
      <formula>"Yes"</formula>
    </cfRule>
    <cfRule type="cellIs" dxfId="118" priority="53" stopIfTrue="1" operator="equal">
      <formula>"No"</formula>
    </cfRule>
    <cfRule type="cellIs" dxfId="117" priority="54" stopIfTrue="1" operator="equal">
      <formula>"N/A"</formula>
    </cfRule>
  </conditionalFormatting>
  <conditionalFormatting sqref="S63">
    <cfRule type="cellIs" dxfId="116" priority="43" stopIfTrue="1" operator="equal">
      <formula>"Yes"</formula>
    </cfRule>
    <cfRule type="cellIs" dxfId="115" priority="44" stopIfTrue="1" operator="equal">
      <formula>"No"</formula>
    </cfRule>
    <cfRule type="cellIs" dxfId="114" priority="45" stopIfTrue="1" operator="equal">
      <formula>"N/A"</formula>
    </cfRule>
  </conditionalFormatting>
  <conditionalFormatting sqref="S69">
    <cfRule type="cellIs" dxfId="113" priority="40" stopIfTrue="1" operator="equal">
      <formula>"Yes"</formula>
    </cfRule>
    <cfRule type="cellIs" dxfId="112" priority="41" stopIfTrue="1" operator="equal">
      <formula>"No"</formula>
    </cfRule>
    <cfRule type="cellIs" dxfId="111" priority="42" stopIfTrue="1" operator="equal">
      <formula>"N/A"</formula>
    </cfRule>
  </conditionalFormatting>
  <conditionalFormatting sqref="M37:M43">
    <cfRule type="cellIs" dxfId="110" priority="37" stopIfTrue="1" operator="equal">
      <formula>"Yes"</formula>
    </cfRule>
    <cfRule type="cellIs" dxfId="109" priority="38" stopIfTrue="1" operator="equal">
      <formula>"No"</formula>
    </cfRule>
    <cfRule type="cellIs" dxfId="108" priority="39" stopIfTrue="1" operator="equal">
      <formula>"N/A"</formula>
    </cfRule>
  </conditionalFormatting>
  <conditionalFormatting sqref="M42">
    <cfRule type="cellIs" dxfId="107" priority="34" stopIfTrue="1" operator="equal">
      <formula>"Yes"</formula>
    </cfRule>
    <cfRule type="cellIs" dxfId="106" priority="35" stopIfTrue="1" operator="equal">
      <formula>"No"</formula>
    </cfRule>
    <cfRule type="cellIs" dxfId="105" priority="36" stopIfTrue="1" operator="equal">
      <formula>"N/A"</formula>
    </cfRule>
  </conditionalFormatting>
  <conditionalFormatting sqref="M67">
    <cfRule type="cellIs" dxfId="104" priority="31" stopIfTrue="1" operator="equal">
      <formula>"Yes"</formula>
    </cfRule>
    <cfRule type="cellIs" dxfId="103" priority="32" stopIfTrue="1" operator="equal">
      <formula>"No"</formula>
    </cfRule>
    <cfRule type="cellIs" dxfId="102" priority="33" stopIfTrue="1" operator="equal">
      <formula>"N/A"</formula>
    </cfRule>
  </conditionalFormatting>
  <conditionalFormatting sqref="M68">
    <cfRule type="cellIs" dxfId="101" priority="28" stopIfTrue="1" operator="equal">
      <formula>"Yes"</formula>
    </cfRule>
    <cfRule type="cellIs" dxfId="100" priority="29" stopIfTrue="1" operator="equal">
      <formula>"No"</formula>
    </cfRule>
    <cfRule type="cellIs" dxfId="99" priority="30" stopIfTrue="1" operator="equal">
      <formula>"N/A"</formula>
    </cfRule>
  </conditionalFormatting>
  <conditionalFormatting sqref="M70">
    <cfRule type="cellIs" dxfId="98" priority="25" stopIfTrue="1" operator="equal">
      <formula>"Yes"</formula>
    </cfRule>
    <cfRule type="cellIs" dxfId="97" priority="26" stopIfTrue="1" operator="equal">
      <formula>"No"</formula>
    </cfRule>
    <cfRule type="cellIs" dxfId="96" priority="27" stopIfTrue="1" operator="equal">
      <formula>"N/A"</formula>
    </cfRule>
  </conditionalFormatting>
  <conditionalFormatting sqref="N8:O10">
    <cfRule type="cellIs" dxfId="95" priority="22" stopIfTrue="1" operator="equal">
      <formula>"Yes"</formula>
    </cfRule>
    <cfRule type="cellIs" dxfId="94" priority="23" stopIfTrue="1" operator="equal">
      <formula>"No"</formula>
    </cfRule>
    <cfRule type="cellIs" dxfId="93" priority="24" stopIfTrue="1" operator="equal">
      <formula>"N/A"</formula>
    </cfRule>
  </conditionalFormatting>
  <conditionalFormatting sqref="N14:O17">
    <cfRule type="cellIs" dxfId="92" priority="19" stopIfTrue="1" operator="equal">
      <formula>"Yes"</formula>
    </cfRule>
    <cfRule type="cellIs" dxfId="91" priority="20" stopIfTrue="1" operator="equal">
      <formula>"No"</formula>
    </cfRule>
    <cfRule type="cellIs" dxfId="90" priority="21" stopIfTrue="1" operator="equal">
      <formula>"N/A"</formula>
    </cfRule>
  </conditionalFormatting>
  <conditionalFormatting sqref="N38:N39 N37:O37">
    <cfRule type="cellIs" dxfId="89" priority="16" stopIfTrue="1" operator="equal">
      <formula>"Yes"</formula>
    </cfRule>
    <cfRule type="cellIs" dxfId="88" priority="17" stopIfTrue="1" operator="equal">
      <formula>"No"</formula>
    </cfRule>
    <cfRule type="cellIs" dxfId="87" priority="18" stopIfTrue="1" operator="equal">
      <formula>"N/A"</formula>
    </cfRule>
  </conditionalFormatting>
  <conditionalFormatting sqref="O39">
    <cfRule type="cellIs" dxfId="86" priority="13" stopIfTrue="1" operator="equal">
      <formula>"Yes"</formula>
    </cfRule>
    <cfRule type="cellIs" dxfId="85" priority="14" stopIfTrue="1" operator="equal">
      <formula>"No"</formula>
    </cfRule>
    <cfRule type="cellIs" dxfId="84" priority="15" stopIfTrue="1" operator="equal">
      <formula>"N/A"</formula>
    </cfRule>
  </conditionalFormatting>
  <conditionalFormatting sqref="N43:O43">
    <cfRule type="cellIs" dxfId="83" priority="10" stopIfTrue="1" operator="equal">
      <formula>"Yes"</formula>
    </cfRule>
    <cfRule type="cellIs" dxfId="82" priority="11" stopIfTrue="1" operator="equal">
      <formula>"No"</formula>
    </cfRule>
    <cfRule type="cellIs" dxfId="81" priority="12" stopIfTrue="1" operator="equal">
      <formula>"N/A"</formula>
    </cfRule>
  </conditionalFormatting>
  <conditionalFormatting sqref="N69:O69 N66">
    <cfRule type="cellIs" dxfId="80" priority="7" stopIfTrue="1" operator="equal">
      <formula>"Yes"</formula>
    </cfRule>
    <cfRule type="cellIs" dxfId="79" priority="8" stopIfTrue="1" operator="equal">
      <formula>"No"</formula>
    </cfRule>
    <cfRule type="cellIs" dxfId="78" priority="9" stopIfTrue="1" operator="equal">
      <formula>"N/A"</formula>
    </cfRule>
  </conditionalFormatting>
  <conditionalFormatting sqref="N69:O69">
    <cfRule type="cellIs" dxfId="77" priority="4" stopIfTrue="1" operator="equal">
      <formula>"Yes"</formula>
    </cfRule>
    <cfRule type="cellIs" dxfId="76" priority="5" stopIfTrue="1" operator="equal">
      <formula>"No"</formula>
    </cfRule>
    <cfRule type="cellIs" dxfId="75" priority="6" stopIfTrue="1" operator="equal">
      <formula>"N/A"</formula>
    </cfRule>
  </conditionalFormatting>
  <conditionalFormatting sqref="Q65:R65">
    <cfRule type="cellIs" dxfId="74" priority="1" stopIfTrue="1" operator="equal">
      <formula>"Yes"</formula>
    </cfRule>
    <cfRule type="cellIs" dxfId="73" priority="2" stopIfTrue="1" operator="equal">
      <formula>"No"</formula>
    </cfRule>
    <cfRule type="cellIs" dxfId="72" priority="3" stopIfTrue="1" operator="equal">
      <formula>"N/A"</formula>
    </cfRule>
  </conditionalFormatting>
  <dataValidations count="4">
    <dataValidation allowBlank="1" showInputMessage="1" showErrorMessage="1" sqref="M58 M30 M69 M22 M42 M62:M63 M26 M34 M19 M50 M38"/>
    <dataValidation type="list" allowBlank="1" showInputMessage="1" showErrorMessage="1" sqref="T61:T64 T66:T70 T4:T59">
      <formula1>"Open,Closed"</formula1>
    </dataValidation>
    <dataValidation type="list" allowBlank="1" showInputMessage="1" showErrorMessage="1" sqref="H52:L52 H64:L64 H44:L44 H36:L36 H28:L28 H20:L20 H13:L13 H7:L7">
      <formula1>"Major NC, Minor NC,Observation"</formula1>
    </dataValidation>
    <dataValidation type="list" allowBlank="1" showInputMessage="1" showErrorMessage="1" sqref="H14:L19 H45:L51 H4:L6 H21:L27 H29:L35 H37:L43 H53:L59 H8:L12 H65:L70 H61:L63">
      <formula1>"Yes, No, NA"</formula1>
    </dataValidation>
  </dataValidations>
  <pageMargins left="0.75" right="0.75" top="1" bottom="1" header="0.5" footer="0.5"/>
  <pageSetup paperSize="9" orientation="landscape"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8"/>
  </sheetPr>
  <dimension ref="A2:U39"/>
  <sheetViews>
    <sheetView showGridLines="0" zoomScale="80" zoomScaleNormal="80" workbookViewId="0">
      <pane ySplit="2" topLeftCell="A3" activePane="bottomLeft" state="frozen"/>
      <selection pane="bottomLeft" activeCell="A14" sqref="A14"/>
    </sheetView>
  </sheetViews>
  <sheetFormatPr defaultRowHeight="12.75" x14ac:dyDescent="0.2"/>
  <cols>
    <col min="1" max="1" width="5.28515625" style="24" bestFit="1" customWidth="1"/>
    <col min="2" max="2" width="50.140625" style="24" customWidth="1"/>
    <col min="3" max="3" width="13.140625" style="24" bestFit="1" customWidth="1"/>
    <col min="4" max="4" width="7.85546875" style="24" hidden="1" customWidth="1"/>
    <col min="5" max="6" width="13.7109375" style="24" hidden="1" customWidth="1"/>
    <col min="7" max="7" width="24.140625" style="24" customWidth="1"/>
    <col min="8" max="8" width="11" style="24" bestFit="1" customWidth="1"/>
    <col min="9" max="12" width="11" style="24" hidden="1" customWidth="1"/>
    <col min="13" max="13" width="37" style="24" customWidth="1"/>
    <col min="14" max="14" width="26" style="24" customWidth="1"/>
    <col min="15" max="15" width="29.140625" style="24" customWidth="1"/>
    <col min="16" max="18" width="21.7109375" style="16" customWidth="1"/>
    <col min="19" max="19" width="12.28515625" style="24" hidden="1" customWidth="1"/>
    <col min="20" max="20" width="17.85546875" style="24" hidden="1" customWidth="1"/>
    <col min="21" max="21" width="22.85546875" style="24" hidden="1" customWidth="1"/>
    <col min="22" max="16384" width="9.140625" style="24"/>
  </cols>
  <sheetData>
    <row r="2" spans="1:21" ht="25.5" x14ac:dyDescent="0.2">
      <c r="A2" s="13" t="s">
        <v>14</v>
      </c>
      <c r="B2" s="13" t="s">
        <v>454</v>
      </c>
      <c r="C2" s="13" t="s">
        <v>455</v>
      </c>
      <c r="D2" s="13" t="s">
        <v>158</v>
      </c>
      <c r="E2" s="13" t="s">
        <v>255</v>
      </c>
      <c r="F2" s="13" t="s">
        <v>491</v>
      </c>
      <c r="G2" s="13" t="s">
        <v>358</v>
      </c>
      <c r="H2" s="15" t="s">
        <v>243</v>
      </c>
      <c r="I2" s="15" t="s">
        <v>244</v>
      </c>
      <c r="J2" s="15" t="s">
        <v>251</v>
      </c>
      <c r="K2" s="15" t="s">
        <v>252</v>
      </c>
      <c r="L2" s="15" t="s">
        <v>253</v>
      </c>
      <c r="M2" s="13" t="s">
        <v>4</v>
      </c>
      <c r="N2" s="13" t="s">
        <v>5</v>
      </c>
      <c r="O2" s="13" t="s">
        <v>6</v>
      </c>
      <c r="P2" s="13" t="s">
        <v>91</v>
      </c>
      <c r="Q2" s="13" t="s">
        <v>81</v>
      </c>
      <c r="R2" s="13" t="s">
        <v>564</v>
      </c>
      <c r="S2" s="13" t="s">
        <v>31</v>
      </c>
      <c r="T2" s="15" t="s">
        <v>238</v>
      </c>
      <c r="U2" s="15" t="s">
        <v>239</v>
      </c>
    </row>
    <row r="3" spans="1:21" s="40" customFormat="1" x14ac:dyDescent="0.2">
      <c r="A3" s="17"/>
      <c r="B3" s="17" t="s">
        <v>336</v>
      </c>
      <c r="C3" s="17"/>
      <c r="D3" s="17"/>
      <c r="E3" s="17"/>
      <c r="F3" s="17"/>
      <c r="G3" s="17"/>
      <c r="H3" s="17"/>
      <c r="I3" s="17"/>
      <c r="J3" s="17"/>
      <c r="K3" s="17"/>
      <c r="L3" s="17"/>
      <c r="M3" s="17"/>
      <c r="N3" s="17"/>
      <c r="O3" s="17"/>
      <c r="P3" s="17"/>
      <c r="Q3" s="17"/>
      <c r="R3" s="17"/>
      <c r="S3" s="17"/>
      <c r="T3" s="80"/>
      <c r="U3" s="80"/>
    </row>
    <row r="4" spans="1:21" ht="25.5" x14ac:dyDescent="0.2">
      <c r="A4" s="69">
        <v>1</v>
      </c>
      <c r="B4" s="71" t="s">
        <v>337</v>
      </c>
      <c r="C4" s="71" t="s">
        <v>160</v>
      </c>
      <c r="D4" s="20">
        <f>IF(C4="Critical",ISO90012008!B143,IF(C4="Major",ISO90012008!B144,IF(C4="Minor",ISO90012008!B145,"")))</f>
        <v>1</v>
      </c>
      <c r="E4" s="71"/>
      <c r="F4" s="71" t="s">
        <v>493</v>
      </c>
      <c r="G4" s="71" t="s">
        <v>416</v>
      </c>
      <c r="H4" s="1" t="s">
        <v>462</v>
      </c>
      <c r="I4" s="1"/>
      <c r="J4" s="1"/>
      <c r="K4" s="1"/>
      <c r="L4" s="1"/>
      <c r="M4" s="71"/>
      <c r="N4" s="69"/>
      <c r="O4" s="69"/>
      <c r="P4" s="29"/>
      <c r="Q4" s="21"/>
      <c r="R4" s="21"/>
      <c r="S4" s="73"/>
      <c r="T4" s="19"/>
      <c r="U4" s="19"/>
    </row>
    <row r="5" spans="1:21" ht="51" x14ac:dyDescent="0.2">
      <c r="A5" s="69">
        <v>2</v>
      </c>
      <c r="B5" s="23" t="s">
        <v>417</v>
      </c>
      <c r="C5" s="23" t="s">
        <v>159</v>
      </c>
      <c r="D5" s="20">
        <f>IF(C5="Critical",ISO90012008!B143,IF(C5="Major",ISO90012008!B143,IF(C5="Minor",ISO90012008!B145,"")))</f>
        <v>5</v>
      </c>
      <c r="E5" s="23" t="s">
        <v>427</v>
      </c>
      <c r="F5" s="71" t="s">
        <v>494</v>
      </c>
      <c r="G5" s="71" t="s">
        <v>556</v>
      </c>
      <c r="H5" s="1" t="s">
        <v>462</v>
      </c>
      <c r="I5" s="1"/>
      <c r="J5" s="1"/>
      <c r="K5" s="1"/>
      <c r="L5" s="1"/>
      <c r="M5" s="23"/>
      <c r="N5" s="19"/>
      <c r="O5" s="19"/>
      <c r="P5" s="21"/>
      <c r="Q5" s="21"/>
      <c r="R5" s="21"/>
      <c r="S5" s="73"/>
      <c r="T5" s="19"/>
      <c r="U5" s="19"/>
    </row>
    <row r="6" spans="1:21" s="40" customFormat="1" ht="25.5" x14ac:dyDescent="0.2">
      <c r="A6" s="69">
        <v>3</v>
      </c>
      <c r="B6" s="23" t="s">
        <v>228</v>
      </c>
      <c r="C6" s="71" t="s">
        <v>160</v>
      </c>
      <c r="D6" s="20">
        <f>IF(C6="Critical",ISO90012008!B143,IF(C6="Major",ISO90012008!B144,IF(C6="Minor",ISO90012008!B145,"")))</f>
        <v>1</v>
      </c>
      <c r="E6" s="71"/>
      <c r="F6" s="71" t="s">
        <v>493</v>
      </c>
      <c r="G6" s="71" t="s">
        <v>418</v>
      </c>
      <c r="H6" s="1" t="s">
        <v>462</v>
      </c>
      <c r="I6" s="1"/>
      <c r="J6" s="1"/>
      <c r="K6" s="1"/>
      <c r="L6" s="1"/>
      <c r="M6" s="34"/>
      <c r="N6" s="20"/>
      <c r="O6" s="20"/>
      <c r="P6" s="21"/>
      <c r="Q6" s="21"/>
      <c r="R6" s="21"/>
      <c r="S6" s="73"/>
      <c r="T6" s="28"/>
      <c r="U6" s="15"/>
    </row>
    <row r="7" spans="1:21" s="40" customFormat="1" x14ac:dyDescent="0.2">
      <c r="A7" s="17"/>
      <c r="B7" s="17" t="s">
        <v>338</v>
      </c>
      <c r="C7" s="17"/>
      <c r="D7" s="17"/>
      <c r="E7" s="17"/>
      <c r="F7" s="17"/>
      <c r="G7" s="17"/>
      <c r="H7" s="17"/>
      <c r="I7" s="17"/>
      <c r="J7" s="17"/>
      <c r="K7" s="17"/>
      <c r="L7" s="17"/>
      <c r="M7" s="17"/>
      <c r="N7" s="17"/>
      <c r="O7" s="17"/>
      <c r="P7" s="60"/>
      <c r="Q7" s="60"/>
      <c r="R7" s="60"/>
      <c r="S7" s="65"/>
      <c r="T7" s="80"/>
      <c r="U7" s="80"/>
    </row>
    <row r="8" spans="1:21" ht="38.25" x14ac:dyDescent="0.2">
      <c r="A8" s="69">
        <v>1</v>
      </c>
      <c r="B8" s="23" t="s">
        <v>229</v>
      </c>
      <c r="C8" s="23" t="s">
        <v>109</v>
      </c>
      <c r="D8" s="20">
        <f>IF(C8="Critical",ISO90012008!B143,IF(C8="Major",ISO90012008!B144,IF(C8="Minor",ISO90012008!B145,"")))</f>
        <v>5</v>
      </c>
      <c r="E8" s="23" t="s">
        <v>427</v>
      </c>
      <c r="F8" s="71" t="s">
        <v>494</v>
      </c>
      <c r="G8" s="71" t="s">
        <v>423</v>
      </c>
      <c r="H8" s="1" t="s">
        <v>462</v>
      </c>
      <c r="I8" s="1"/>
      <c r="J8" s="1"/>
      <c r="K8" s="1"/>
      <c r="L8" s="1"/>
      <c r="M8" s="23"/>
      <c r="N8" s="19"/>
      <c r="O8" s="19"/>
      <c r="P8" s="29"/>
      <c r="Q8" s="33"/>
      <c r="R8" s="33"/>
      <c r="S8" s="73"/>
      <c r="T8" s="19"/>
      <c r="U8" s="19"/>
    </row>
    <row r="9" spans="1:21" ht="25.5" x14ac:dyDescent="0.2">
      <c r="A9" s="69">
        <v>2</v>
      </c>
      <c r="B9" s="23" t="s">
        <v>339</v>
      </c>
      <c r="C9" s="71" t="s">
        <v>159</v>
      </c>
      <c r="D9" s="20">
        <f>IF(C9="Critical",ISO90012008!B143,IF(C9="Major",ISO90012008!B144,IF(C9="Minor",ISO90012008!B145,"")))</f>
        <v>3</v>
      </c>
      <c r="E9" s="71" t="s">
        <v>451</v>
      </c>
      <c r="F9" s="71" t="s">
        <v>494</v>
      </c>
      <c r="G9" s="71" t="s">
        <v>412</v>
      </c>
      <c r="H9" s="1" t="s">
        <v>462</v>
      </c>
      <c r="I9" s="1"/>
      <c r="J9" s="1"/>
      <c r="K9" s="1"/>
      <c r="L9" s="1"/>
      <c r="M9" s="23"/>
      <c r="N9" s="19"/>
      <c r="O9" s="19"/>
      <c r="P9" s="29"/>
      <c r="Q9" s="21"/>
      <c r="R9" s="21"/>
      <c r="S9" s="73"/>
      <c r="T9" s="19"/>
      <c r="U9" s="19"/>
    </row>
    <row r="10" spans="1:21" s="16" customFormat="1" ht="25.5" x14ac:dyDescent="0.2">
      <c r="A10" s="19">
        <v>3</v>
      </c>
      <c r="B10" s="23" t="s">
        <v>452</v>
      </c>
      <c r="C10" s="71" t="s">
        <v>159</v>
      </c>
      <c r="D10" s="20">
        <f>IF(C10="Critical",ISO90012008!B143,IF(C10="Major",ISO90012008!B144,IF(C10="Minor",ISO90012008!B145,"")))</f>
        <v>3</v>
      </c>
      <c r="E10" s="23" t="s">
        <v>451</v>
      </c>
      <c r="F10" s="71" t="s">
        <v>494</v>
      </c>
      <c r="G10" s="23" t="s">
        <v>453</v>
      </c>
      <c r="H10" s="1" t="s">
        <v>462</v>
      </c>
      <c r="I10" s="1"/>
      <c r="J10" s="1"/>
      <c r="K10" s="1"/>
      <c r="L10" s="1"/>
      <c r="M10" s="23"/>
      <c r="N10" s="22"/>
      <c r="O10" s="22"/>
      <c r="P10" s="21"/>
      <c r="Q10" s="33"/>
      <c r="R10" s="33"/>
      <c r="S10" s="38"/>
      <c r="T10" s="19"/>
      <c r="U10" s="33"/>
    </row>
    <row r="11" spans="1:21" ht="25.5" x14ac:dyDescent="0.2">
      <c r="A11" s="69">
        <v>4</v>
      </c>
      <c r="B11" s="22" t="s">
        <v>75</v>
      </c>
      <c r="C11" s="71" t="s">
        <v>159</v>
      </c>
      <c r="D11" s="20">
        <f>IF(C11="Critical",ISO90012008!B143,IF(C11="Major",ISO90012008!B144,IF(C11="Minor",ISO90012008!B145,"")))</f>
        <v>3</v>
      </c>
      <c r="E11" s="71" t="s">
        <v>451</v>
      </c>
      <c r="F11" s="71" t="s">
        <v>495</v>
      </c>
      <c r="G11" s="71" t="s">
        <v>412</v>
      </c>
      <c r="H11" s="1" t="s">
        <v>462</v>
      </c>
      <c r="I11" s="1"/>
      <c r="J11" s="1"/>
      <c r="K11" s="1"/>
      <c r="L11" s="1"/>
      <c r="M11" s="23"/>
      <c r="N11" s="19"/>
      <c r="O11" s="19"/>
      <c r="P11" s="29"/>
      <c r="Q11" s="21"/>
      <c r="R11" s="21"/>
      <c r="S11" s="73"/>
      <c r="T11" s="19"/>
      <c r="U11" s="19"/>
    </row>
    <row r="12" spans="1:21" s="40" customFormat="1" x14ac:dyDescent="0.2">
      <c r="A12" s="17"/>
      <c r="B12" s="17" t="s">
        <v>340</v>
      </c>
      <c r="C12" s="17"/>
      <c r="D12" s="17"/>
      <c r="E12" s="17"/>
      <c r="F12" s="17"/>
      <c r="G12" s="17"/>
      <c r="H12" s="17"/>
      <c r="I12" s="17"/>
      <c r="J12" s="17"/>
      <c r="K12" s="17"/>
      <c r="L12" s="17"/>
      <c r="M12" s="17"/>
      <c r="N12" s="17"/>
      <c r="O12" s="17"/>
      <c r="P12" s="59"/>
      <c r="Q12" s="59"/>
      <c r="R12" s="59"/>
      <c r="S12" s="65"/>
      <c r="T12" s="80"/>
      <c r="U12" s="80"/>
    </row>
    <row r="13" spans="1:21" ht="25.5" x14ac:dyDescent="0.2">
      <c r="A13" s="69">
        <v>1</v>
      </c>
      <c r="B13" s="70" t="s">
        <v>76</v>
      </c>
      <c r="C13" s="71" t="s">
        <v>160</v>
      </c>
      <c r="D13" s="20">
        <f>IF(C13="Critical",ISO90012008!B143,IF(C13="Major",ISO90012008!B144,IF(C13="Minor",ISO90012008!B145,"")))</f>
        <v>1</v>
      </c>
      <c r="E13" s="70"/>
      <c r="F13" s="71" t="s">
        <v>493</v>
      </c>
      <c r="G13" s="71" t="s">
        <v>416</v>
      </c>
      <c r="H13" s="1" t="s">
        <v>462</v>
      </c>
      <c r="I13" s="1"/>
      <c r="J13" s="1"/>
      <c r="K13" s="1"/>
      <c r="L13" s="1"/>
      <c r="M13" s="71"/>
      <c r="N13" s="71"/>
      <c r="O13" s="71"/>
      <c r="P13" s="29"/>
      <c r="Q13" s="33"/>
      <c r="R13" s="33"/>
      <c r="S13" s="73"/>
      <c r="T13" s="19"/>
      <c r="U13" s="19"/>
    </row>
    <row r="14" spans="1:21" ht="51" x14ac:dyDescent="0.2">
      <c r="A14" s="69">
        <v>2</v>
      </c>
      <c r="B14" s="23" t="s">
        <v>419</v>
      </c>
      <c r="C14" s="23" t="s">
        <v>159</v>
      </c>
      <c r="D14" s="20">
        <f>IF(C14="Critical",ISO90012008!B143,IF(C14="Major",ISO90012008!B144,IF(C14="Minor",ISO90012008!B145,"")))</f>
        <v>3</v>
      </c>
      <c r="E14" s="23" t="s">
        <v>427</v>
      </c>
      <c r="F14" s="71" t="s">
        <v>494</v>
      </c>
      <c r="G14" s="71" t="s">
        <v>556</v>
      </c>
      <c r="H14" s="1" t="s">
        <v>462</v>
      </c>
      <c r="I14" s="1"/>
      <c r="J14" s="1"/>
      <c r="K14" s="1"/>
      <c r="L14" s="1"/>
      <c r="M14" s="23"/>
      <c r="N14" s="23"/>
      <c r="O14" s="23"/>
      <c r="P14" s="21"/>
      <c r="Q14" s="33"/>
      <c r="R14" s="33"/>
      <c r="S14" s="73"/>
      <c r="T14" s="19"/>
      <c r="U14" s="19"/>
    </row>
    <row r="15" spans="1:21" s="40" customFormat="1" ht="25.5" x14ac:dyDescent="0.2">
      <c r="A15" s="69">
        <v>3</v>
      </c>
      <c r="B15" s="22" t="s">
        <v>77</v>
      </c>
      <c r="C15" s="71" t="s">
        <v>160</v>
      </c>
      <c r="D15" s="20">
        <f>IF(C15="Critical",ISO90012008!B143,IF(C15="Major",ISO90012008!B144,IF(C15="Minor",ISO90012008!B145,"")))</f>
        <v>1</v>
      </c>
      <c r="E15" s="70"/>
      <c r="F15" s="71" t="s">
        <v>493</v>
      </c>
      <c r="G15" s="71" t="s">
        <v>418</v>
      </c>
      <c r="H15" s="1" t="s">
        <v>462</v>
      </c>
      <c r="I15" s="1"/>
      <c r="J15" s="1"/>
      <c r="K15" s="1"/>
      <c r="L15" s="1"/>
      <c r="M15" s="34"/>
      <c r="N15" s="34"/>
      <c r="O15" s="34"/>
      <c r="P15" s="21"/>
      <c r="Q15" s="33"/>
      <c r="R15" s="33"/>
      <c r="S15" s="73"/>
      <c r="T15" s="34"/>
      <c r="U15" s="15"/>
    </row>
    <row r="16" spans="1:21" s="40" customFormat="1" x14ac:dyDescent="0.2">
      <c r="A16" s="17"/>
      <c r="B16" s="17" t="s">
        <v>344</v>
      </c>
      <c r="C16" s="17"/>
      <c r="D16" s="17"/>
      <c r="E16" s="17"/>
      <c r="F16" s="17"/>
      <c r="G16" s="17"/>
      <c r="H16" s="17"/>
      <c r="I16" s="17"/>
      <c r="J16" s="17"/>
      <c r="K16" s="17"/>
      <c r="L16" s="17"/>
      <c r="M16" s="17"/>
      <c r="N16" s="17"/>
      <c r="O16" s="17"/>
      <c r="P16" s="59"/>
      <c r="Q16" s="59"/>
      <c r="R16" s="59"/>
      <c r="S16" s="65"/>
      <c r="T16" s="80"/>
      <c r="U16" s="80"/>
    </row>
    <row r="17" spans="1:21" ht="38.25" x14ac:dyDescent="0.2">
      <c r="A17" s="69">
        <v>1</v>
      </c>
      <c r="B17" s="22" t="s">
        <v>78</v>
      </c>
      <c r="C17" s="23" t="s">
        <v>109</v>
      </c>
      <c r="D17" s="20">
        <f>IF(C17="Critical",ISO90012008!B143,IF(C17="Major",ISO90012008!B144,IF(C17="Minor",ISO90012008!B145,"")))</f>
        <v>5</v>
      </c>
      <c r="E17" s="23" t="s">
        <v>427</v>
      </c>
      <c r="F17" s="71" t="s">
        <v>494</v>
      </c>
      <c r="G17" s="71" t="s">
        <v>424</v>
      </c>
      <c r="H17" s="1" t="s">
        <v>611</v>
      </c>
      <c r="I17" s="1"/>
      <c r="J17" s="1"/>
      <c r="K17" s="1"/>
      <c r="L17" s="1"/>
      <c r="M17" s="23"/>
      <c r="N17" s="19"/>
      <c r="O17" s="19"/>
      <c r="P17" s="29"/>
      <c r="Q17" s="31"/>
      <c r="R17" s="31"/>
      <c r="S17" s="38"/>
      <c r="T17" s="19"/>
      <c r="U17" s="19"/>
    </row>
    <row r="18" spans="1:21" ht="25.5" x14ac:dyDescent="0.2">
      <c r="A18" s="69">
        <v>2</v>
      </c>
      <c r="B18" s="23" t="s">
        <v>339</v>
      </c>
      <c r="C18" s="71" t="s">
        <v>159</v>
      </c>
      <c r="D18" s="20">
        <f>IF(C18="Critical",ISO90012008!B143,IF(C18="Major",ISO90012008!B144,IF(C18="Minor",ISO90012008!B145,"")))</f>
        <v>3</v>
      </c>
      <c r="E18" s="71" t="s">
        <v>451</v>
      </c>
      <c r="F18" s="71" t="s">
        <v>494</v>
      </c>
      <c r="G18" s="71" t="s">
        <v>412</v>
      </c>
      <c r="H18" s="1" t="s">
        <v>462</v>
      </c>
      <c r="I18" s="1"/>
      <c r="J18" s="1"/>
      <c r="K18" s="1"/>
      <c r="L18" s="1"/>
      <c r="M18" s="23"/>
      <c r="N18" s="19"/>
      <c r="O18" s="19"/>
      <c r="P18" s="29"/>
      <c r="Q18" s="31"/>
      <c r="R18" s="31"/>
      <c r="S18" s="37"/>
      <c r="T18" s="22"/>
      <c r="U18" s="19"/>
    </row>
    <row r="19" spans="1:21" s="16" customFormat="1" ht="25.5" x14ac:dyDescent="0.2">
      <c r="A19" s="19">
        <v>3</v>
      </c>
      <c r="B19" s="23" t="s">
        <v>452</v>
      </c>
      <c r="C19" s="71" t="s">
        <v>159</v>
      </c>
      <c r="D19" s="20">
        <f>IF(C19="Critical",ISO90012008!B143,IF(C19="Major",ISO90012008!B144,IF(C19="Minor",ISO90012008!B145,"")))</f>
        <v>3</v>
      </c>
      <c r="E19" s="23" t="s">
        <v>451</v>
      </c>
      <c r="F19" s="71" t="s">
        <v>494</v>
      </c>
      <c r="G19" s="23" t="s">
        <v>453</v>
      </c>
      <c r="H19" s="1" t="s">
        <v>462</v>
      </c>
      <c r="I19" s="1"/>
      <c r="J19" s="1"/>
      <c r="K19" s="1"/>
      <c r="L19" s="1"/>
      <c r="M19" s="23"/>
      <c r="N19" s="23"/>
      <c r="O19" s="23"/>
      <c r="P19" s="29"/>
      <c r="Q19" s="33"/>
      <c r="R19" s="33"/>
      <c r="S19" s="38"/>
      <c r="T19" s="19"/>
      <c r="U19" s="33"/>
    </row>
    <row r="20" spans="1:21" ht="25.5" x14ac:dyDescent="0.2">
      <c r="A20" s="69">
        <v>4</v>
      </c>
      <c r="B20" s="22" t="s">
        <v>75</v>
      </c>
      <c r="C20" s="71" t="s">
        <v>159</v>
      </c>
      <c r="D20" s="20">
        <f>IF(C20="Critical",ISO90012008!B143,IF(C20="Major",ISO90012008!B144,IF(C20="Minor",ISO90012008!B145,"")))</f>
        <v>3</v>
      </c>
      <c r="E20" s="71" t="s">
        <v>451</v>
      </c>
      <c r="F20" s="71" t="s">
        <v>495</v>
      </c>
      <c r="G20" s="71" t="s">
        <v>412</v>
      </c>
      <c r="H20" s="1" t="s">
        <v>462</v>
      </c>
      <c r="I20" s="1"/>
      <c r="J20" s="1"/>
      <c r="K20" s="1"/>
      <c r="L20" s="1"/>
      <c r="M20" s="23"/>
      <c r="N20" s="19"/>
      <c r="O20" s="23"/>
      <c r="P20" s="29"/>
      <c r="Q20" s="31"/>
      <c r="R20" s="31"/>
      <c r="S20" s="37"/>
      <c r="T20" s="22"/>
      <c r="U20" s="19"/>
    </row>
    <row r="21" spans="1:21" s="40" customFormat="1" x14ac:dyDescent="0.2">
      <c r="A21" s="17"/>
      <c r="B21" s="17" t="s">
        <v>341</v>
      </c>
      <c r="C21" s="17"/>
      <c r="D21" s="17"/>
      <c r="E21" s="17"/>
      <c r="F21" s="17"/>
      <c r="G21" s="17"/>
      <c r="H21" s="17"/>
      <c r="I21" s="17"/>
      <c r="J21" s="17"/>
      <c r="K21" s="17"/>
      <c r="L21" s="17"/>
      <c r="M21" s="17"/>
      <c r="N21" s="17"/>
      <c r="O21" s="17"/>
      <c r="P21" s="59"/>
      <c r="Q21" s="59"/>
      <c r="R21" s="59"/>
      <c r="S21" s="65"/>
      <c r="T21" s="80"/>
      <c r="U21" s="80"/>
    </row>
    <row r="22" spans="1:21" ht="25.5" x14ac:dyDescent="0.2">
      <c r="A22" s="69">
        <v>1</v>
      </c>
      <c r="B22" s="71" t="s">
        <v>342</v>
      </c>
      <c r="C22" s="71" t="s">
        <v>160</v>
      </c>
      <c r="D22" s="20">
        <f>IF(C22="Critical",ISO90012008!B143,IF(C22="Major",ISO90012008!B144,IF(C22="Minor",ISO90012008!B145,"")))</f>
        <v>1</v>
      </c>
      <c r="E22" s="71"/>
      <c r="F22" s="71" t="s">
        <v>493</v>
      </c>
      <c r="G22" s="71" t="s">
        <v>416</v>
      </c>
      <c r="H22" s="1" t="s">
        <v>462</v>
      </c>
      <c r="I22" s="1"/>
      <c r="J22" s="1"/>
      <c r="K22" s="1"/>
      <c r="L22" s="1"/>
      <c r="M22" s="71"/>
      <c r="N22" s="71"/>
      <c r="O22" s="71"/>
      <c r="P22" s="29"/>
      <c r="Q22" s="33"/>
      <c r="R22" s="33"/>
      <c r="S22" s="73"/>
      <c r="T22" s="19"/>
      <c r="U22" s="19"/>
    </row>
    <row r="23" spans="1:21" ht="51" x14ac:dyDescent="0.2">
      <c r="A23" s="69">
        <v>2</v>
      </c>
      <c r="B23" s="23" t="s">
        <v>420</v>
      </c>
      <c r="C23" s="23" t="s">
        <v>159</v>
      </c>
      <c r="D23" s="20">
        <f>IF(C23="Critical",ISO90012008!B143,IF(C23="Major",ISO90012008!B144,IF(C23="Minor",ISO90012008!B145,"")))</f>
        <v>3</v>
      </c>
      <c r="E23" s="23" t="s">
        <v>427</v>
      </c>
      <c r="F23" s="71" t="s">
        <v>494</v>
      </c>
      <c r="G23" s="71" t="s">
        <v>556</v>
      </c>
      <c r="H23" s="1" t="s">
        <v>462</v>
      </c>
      <c r="I23" s="1"/>
      <c r="J23" s="1"/>
      <c r="K23" s="1"/>
      <c r="L23" s="1"/>
      <c r="M23" s="23"/>
      <c r="N23" s="23"/>
      <c r="O23" s="23"/>
      <c r="P23" s="21"/>
      <c r="Q23" s="33"/>
      <c r="R23" s="33"/>
      <c r="S23" s="73"/>
      <c r="T23" s="19"/>
      <c r="U23" s="19"/>
    </row>
    <row r="24" spans="1:21" s="40" customFormat="1" ht="25.5" x14ac:dyDescent="0.2">
      <c r="A24" s="69">
        <v>3</v>
      </c>
      <c r="B24" s="23" t="s">
        <v>343</v>
      </c>
      <c r="C24" s="23" t="s">
        <v>159</v>
      </c>
      <c r="D24" s="20">
        <f>IF(C24="Critical",ISO90012008!B143,IF(C24="Major",ISO90012008!B144,IF(C24="Minor",ISO90012008!B145,"")))</f>
        <v>3</v>
      </c>
      <c r="E24" s="71"/>
      <c r="F24" s="71" t="s">
        <v>493</v>
      </c>
      <c r="G24" s="71" t="s">
        <v>418</v>
      </c>
      <c r="H24" s="1" t="s">
        <v>462</v>
      </c>
      <c r="I24" s="1"/>
      <c r="J24" s="1"/>
      <c r="K24" s="1"/>
      <c r="L24" s="1"/>
      <c r="M24" s="34"/>
      <c r="N24" s="34"/>
      <c r="O24" s="34"/>
      <c r="P24" s="21"/>
      <c r="Q24" s="33"/>
      <c r="R24" s="33"/>
      <c r="S24" s="73"/>
      <c r="T24" s="34"/>
      <c r="U24" s="15"/>
    </row>
    <row r="25" spans="1:21" s="40" customFormat="1" x14ac:dyDescent="0.2">
      <c r="A25" s="17"/>
      <c r="B25" s="17" t="s">
        <v>345</v>
      </c>
      <c r="C25" s="17"/>
      <c r="D25" s="17"/>
      <c r="E25" s="17"/>
      <c r="F25" s="17"/>
      <c r="G25" s="17"/>
      <c r="H25" s="17"/>
      <c r="I25" s="17"/>
      <c r="J25" s="17"/>
      <c r="K25" s="17"/>
      <c r="L25" s="17"/>
      <c r="M25" s="17"/>
      <c r="N25" s="17"/>
      <c r="O25" s="17"/>
      <c r="P25" s="59"/>
      <c r="Q25" s="59"/>
      <c r="R25" s="59"/>
      <c r="S25" s="65"/>
      <c r="T25" s="80"/>
      <c r="U25" s="80"/>
    </row>
    <row r="26" spans="1:21" ht="38.25" x14ac:dyDescent="0.2">
      <c r="A26" s="69">
        <v>1</v>
      </c>
      <c r="B26" s="23" t="s">
        <v>346</v>
      </c>
      <c r="C26" s="23" t="s">
        <v>109</v>
      </c>
      <c r="D26" s="20">
        <f>IF(C26="Critical",ISO90012008!B143,IF(C26="Major",ISO90012008!B144,IF(C26="Minor",ISO90012008!B145,"")))</f>
        <v>5</v>
      </c>
      <c r="E26" s="23" t="s">
        <v>427</v>
      </c>
      <c r="F26" s="71" t="s">
        <v>494</v>
      </c>
      <c r="G26" s="71" t="s">
        <v>425</v>
      </c>
      <c r="H26" s="1" t="s">
        <v>462</v>
      </c>
      <c r="I26" s="1"/>
      <c r="J26" s="1"/>
      <c r="K26" s="1"/>
      <c r="L26" s="1"/>
      <c r="M26" s="23"/>
      <c r="N26" s="19"/>
      <c r="O26" s="19"/>
      <c r="P26" s="21"/>
      <c r="Q26" s="33"/>
      <c r="R26" s="33"/>
      <c r="S26" s="38"/>
      <c r="T26" s="19"/>
      <c r="U26" s="19"/>
    </row>
    <row r="27" spans="1:21" ht="25.5" x14ac:dyDescent="0.2">
      <c r="A27" s="69">
        <v>2</v>
      </c>
      <c r="B27" s="23" t="s">
        <v>339</v>
      </c>
      <c r="C27" s="71" t="s">
        <v>159</v>
      </c>
      <c r="D27" s="20">
        <f>IF(C27="Critical",ISO90012008!B143,IF(C27="Major",ISO90012008!B144,IF(C27="Minor",ISO90012008!B145,"")))</f>
        <v>3</v>
      </c>
      <c r="E27" s="71" t="s">
        <v>451</v>
      </c>
      <c r="F27" s="71" t="s">
        <v>494</v>
      </c>
      <c r="G27" s="71" t="s">
        <v>412</v>
      </c>
      <c r="H27" s="1" t="s">
        <v>462</v>
      </c>
      <c r="I27" s="1"/>
      <c r="J27" s="1"/>
      <c r="K27" s="1"/>
      <c r="L27" s="1"/>
      <c r="M27" s="23"/>
      <c r="N27" s="19"/>
      <c r="O27" s="19"/>
      <c r="P27" s="21"/>
      <c r="Q27" s="21"/>
      <c r="R27" s="21"/>
      <c r="S27" s="37"/>
      <c r="T27" s="22"/>
      <c r="U27" s="19"/>
    </row>
    <row r="28" spans="1:21" s="16" customFormat="1" ht="25.5" x14ac:dyDescent="0.2">
      <c r="A28" s="19">
        <v>3</v>
      </c>
      <c r="B28" s="23" t="s">
        <v>452</v>
      </c>
      <c r="C28" s="71" t="s">
        <v>159</v>
      </c>
      <c r="D28" s="20">
        <f>IF(C28="Critical",ISO90012008!B143,IF(C28="Major",ISO90012008!B144,IF(C28="Minor",ISO90012008!B145,"")))</f>
        <v>3</v>
      </c>
      <c r="E28" s="23" t="s">
        <v>451</v>
      </c>
      <c r="F28" s="71" t="s">
        <v>494</v>
      </c>
      <c r="G28" s="23" t="s">
        <v>453</v>
      </c>
      <c r="H28" s="1" t="s">
        <v>462</v>
      </c>
      <c r="I28" s="1"/>
      <c r="J28" s="1"/>
      <c r="K28" s="1"/>
      <c r="L28" s="1"/>
      <c r="M28" s="23"/>
      <c r="N28" s="22"/>
      <c r="O28" s="22"/>
      <c r="P28" s="21"/>
      <c r="Q28" s="33"/>
      <c r="R28" s="33"/>
      <c r="S28" s="38"/>
      <c r="T28" s="19"/>
      <c r="U28" s="33"/>
    </row>
    <row r="29" spans="1:21" ht="25.5" x14ac:dyDescent="0.2">
      <c r="A29" s="69">
        <v>4</v>
      </c>
      <c r="B29" s="22" t="s">
        <v>75</v>
      </c>
      <c r="C29" s="71" t="s">
        <v>159</v>
      </c>
      <c r="D29" s="20">
        <f>IF(C29="Critical",ISO90012008!B143,IF(C29="Major",ISO90012008!B144,IF(C29="Minor",ISO90012008!B145,"")))</f>
        <v>3</v>
      </c>
      <c r="E29" s="71" t="s">
        <v>451</v>
      </c>
      <c r="F29" s="71" t="s">
        <v>495</v>
      </c>
      <c r="G29" s="71" t="s">
        <v>412</v>
      </c>
      <c r="H29" s="1" t="s">
        <v>462</v>
      </c>
      <c r="I29" s="1"/>
      <c r="J29" s="1"/>
      <c r="K29" s="1"/>
      <c r="L29" s="1"/>
      <c r="M29" s="23"/>
      <c r="N29" s="23"/>
      <c r="O29" s="23"/>
      <c r="P29" s="21"/>
      <c r="Q29" s="21"/>
      <c r="R29" s="21"/>
      <c r="S29" s="37"/>
      <c r="T29" s="22"/>
      <c r="U29" s="19"/>
    </row>
    <row r="30" spans="1:21" s="40" customFormat="1" x14ac:dyDescent="0.2">
      <c r="A30" s="17"/>
      <c r="B30" s="17" t="s">
        <v>347</v>
      </c>
      <c r="C30" s="17"/>
      <c r="D30" s="17"/>
      <c r="E30" s="17"/>
      <c r="F30" s="17"/>
      <c r="G30" s="17"/>
      <c r="H30" s="17"/>
      <c r="I30" s="17"/>
      <c r="J30" s="17"/>
      <c r="K30" s="17"/>
      <c r="L30" s="17"/>
      <c r="M30" s="17"/>
      <c r="N30" s="17"/>
      <c r="O30" s="17"/>
      <c r="P30" s="59"/>
      <c r="Q30" s="59"/>
      <c r="R30" s="59"/>
      <c r="S30" s="65"/>
      <c r="T30" s="80"/>
      <c r="U30" s="80"/>
    </row>
    <row r="31" spans="1:21" ht="25.5" x14ac:dyDescent="0.2">
      <c r="A31" s="69">
        <v>1</v>
      </c>
      <c r="B31" s="71" t="s">
        <v>348</v>
      </c>
      <c r="C31" s="71" t="s">
        <v>160</v>
      </c>
      <c r="D31" s="20">
        <f>IF(C31="Critical",ISO90012008!B143,IF(C31="Major",ISO90012008!B144,IF(C31="Minor",ISO90012008!B145,"")))</f>
        <v>1</v>
      </c>
      <c r="E31" s="71"/>
      <c r="F31" s="71" t="s">
        <v>493</v>
      </c>
      <c r="G31" s="71" t="s">
        <v>416</v>
      </c>
      <c r="H31" s="1" t="s">
        <v>462</v>
      </c>
      <c r="I31" s="1"/>
      <c r="J31" s="1"/>
      <c r="K31" s="1"/>
      <c r="L31" s="1"/>
      <c r="M31" s="71"/>
      <c r="N31" s="71"/>
      <c r="O31" s="71"/>
      <c r="P31" s="29"/>
      <c r="Q31" s="33"/>
      <c r="R31" s="33"/>
      <c r="S31" s="73"/>
      <c r="T31" s="19"/>
      <c r="U31" s="19"/>
    </row>
    <row r="32" spans="1:21" ht="51" x14ac:dyDescent="0.2">
      <c r="A32" s="69">
        <v>2</v>
      </c>
      <c r="B32" s="23" t="s">
        <v>421</v>
      </c>
      <c r="C32" s="23" t="s">
        <v>159</v>
      </c>
      <c r="D32" s="20">
        <f>IF(C32="Critical",ISO90012008!B143,IF(C32="Major",ISO90012008!B144,IF(C32="Minor",ISO90012008!B145,"")))</f>
        <v>3</v>
      </c>
      <c r="E32" s="23" t="s">
        <v>427</v>
      </c>
      <c r="F32" s="71" t="s">
        <v>494</v>
      </c>
      <c r="G32" s="71" t="s">
        <v>556</v>
      </c>
      <c r="H32" s="1" t="s">
        <v>462</v>
      </c>
      <c r="I32" s="1"/>
      <c r="J32" s="1"/>
      <c r="K32" s="1"/>
      <c r="L32" s="1"/>
      <c r="M32" s="23"/>
      <c r="N32" s="23"/>
      <c r="O32" s="23"/>
      <c r="P32" s="21"/>
      <c r="Q32" s="33"/>
      <c r="R32" s="33"/>
      <c r="S32" s="73"/>
      <c r="T32" s="19"/>
      <c r="U32" s="19"/>
    </row>
    <row r="33" spans="1:21" s="40" customFormat="1" ht="25.5" x14ac:dyDescent="0.2">
      <c r="A33" s="69">
        <v>3</v>
      </c>
      <c r="B33" s="23" t="s">
        <v>349</v>
      </c>
      <c r="C33" s="71" t="s">
        <v>160</v>
      </c>
      <c r="D33" s="20">
        <f>IF(C33="Critical",ISO90012008!B143,IF(C33="Major",ISO90012008!B144,IF(C33="Minor",ISO90012008!B145,"")))</f>
        <v>1</v>
      </c>
      <c r="E33" s="71"/>
      <c r="F33" s="71" t="s">
        <v>493</v>
      </c>
      <c r="G33" s="71" t="s">
        <v>418</v>
      </c>
      <c r="H33" s="1" t="s">
        <v>462</v>
      </c>
      <c r="I33" s="1"/>
      <c r="J33" s="1"/>
      <c r="K33" s="1"/>
      <c r="L33" s="1"/>
      <c r="M33" s="34"/>
      <c r="N33" s="34"/>
      <c r="O33" s="34"/>
      <c r="P33" s="21"/>
      <c r="Q33" s="33"/>
      <c r="R33" s="33"/>
      <c r="S33" s="73"/>
      <c r="T33" s="34"/>
      <c r="U33" s="15"/>
    </row>
    <row r="34" spans="1:21" s="40" customFormat="1" x14ac:dyDescent="0.2">
      <c r="A34" s="17"/>
      <c r="B34" s="17" t="s">
        <v>350</v>
      </c>
      <c r="C34" s="17"/>
      <c r="D34" s="17"/>
      <c r="E34" s="17"/>
      <c r="F34" s="17"/>
      <c r="G34" s="17"/>
      <c r="H34" s="17"/>
      <c r="I34" s="17"/>
      <c r="J34" s="17"/>
      <c r="K34" s="17"/>
      <c r="L34" s="17"/>
      <c r="M34" s="17"/>
      <c r="N34" s="17"/>
      <c r="O34" s="17"/>
      <c r="P34" s="59"/>
      <c r="Q34" s="59"/>
      <c r="R34" s="59"/>
      <c r="S34" s="65"/>
      <c r="T34" s="80"/>
      <c r="U34" s="80"/>
    </row>
    <row r="35" spans="1:21" ht="25.5" x14ac:dyDescent="0.2">
      <c r="A35" s="69">
        <v>1</v>
      </c>
      <c r="B35" s="23" t="s">
        <v>426</v>
      </c>
      <c r="C35" s="23" t="s">
        <v>109</v>
      </c>
      <c r="D35" s="20">
        <f>IF(C35="Critical",ISO90012008!B143,IF(C35="Major",ISO90012008!B144,IF(C35="Minor",ISO90012008!B145,"")))</f>
        <v>5</v>
      </c>
      <c r="E35" s="23" t="s">
        <v>427</v>
      </c>
      <c r="F35" s="71" t="s">
        <v>494</v>
      </c>
      <c r="G35" s="71" t="s">
        <v>422</v>
      </c>
      <c r="H35" s="1" t="s">
        <v>462</v>
      </c>
      <c r="I35" s="1"/>
      <c r="J35" s="1"/>
      <c r="K35" s="1"/>
      <c r="L35" s="1"/>
      <c r="M35" s="23"/>
      <c r="N35" s="19"/>
      <c r="O35" s="19"/>
      <c r="P35" s="21"/>
      <c r="Q35" s="33"/>
      <c r="R35" s="33"/>
      <c r="S35" s="38"/>
      <c r="T35" s="19"/>
      <c r="U35" s="19"/>
    </row>
    <row r="36" spans="1:21" ht="25.5" x14ac:dyDescent="0.2">
      <c r="A36" s="69">
        <v>2</v>
      </c>
      <c r="B36" s="23" t="s">
        <v>339</v>
      </c>
      <c r="C36" s="71" t="s">
        <v>159</v>
      </c>
      <c r="D36" s="20">
        <f>IF(C36="Critical",ISO90012008!B143,IF(C36="Major",ISO90012008!B144,IF(C36="Minor",ISO90012008!B145,"")))</f>
        <v>3</v>
      </c>
      <c r="E36" s="71" t="s">
        <v>451</v>
      </c>
      <c r="F36" s="71" t="s">
        <v>494</v>
      </c>
      <c r="G36" s="71" t="s">
        <v>422</v>
      </c>
      <c r="H36" s="1" t="s">
        <v>462</v>
      </c>
      <c r="I36" s="1"/>
      <c r="J36" s="1"/>
      <c r="K36" s="1"/>
      <c r="L36" s="1"/>
      <c r="M36" s="23"/>
      <c r="N36" s="19"/>
      <c r="O36" s="19"/>
      <c r="P36" s="21"/>
      <c r="Q36" s="21"/>
      <c r="R36" s="21"/>
      <c r="S36" s="37"/>
      <c r="T36" s="22"/>
      <c r="U36" s="19"/>
    </row>
    <row r="37" spans="1:21" s="16" customFormat="1" ht="25.5" x14ac:dyDescent="0.2">
      <c r="A37" s="19">
        <v>3</v>
      </c>
      <c r="B37" s="23" t="s">
        <v>452</v>
      </c>
      <c r="C37" s="71" t="s">
        <v>159</v>
      </c>
      <c r="D37" s="20">
        <f>IF(C37="Critical",ISO90012008!B143,IF(C37="Major",ISO90012008!B144,IF(C37="Minor",ISO90012008!B145,"")))</f>
        <v>3</v>
      </c>
      <c r="E37" s="23" t="s">
        <v>451</v>
      </c>
      <c r="F37" s="23" t="s">
        <v>494</v>
      </c>
      <c r="G37" s="23" t="s">
        <v>453</v>
      </c>
      <c r="H37" s="1" t="s">
        <v>462</v>
      </c>
      <c r="I37" s="1"/>
      <c r="J37" s="1"/>
      <c r="K37" s="1"/>
      <c r="L37" s="1"/>
      <c r="M37" s="23"/>
      <c r="N37" s="22"/>
      <c r="O37" s="22"/>
      <c r="P37" s="21"/>
      <c r="Q37" s="33"/>
      <c r="R37" s="33"/>
      <c r="S37" s="38"/>
      <c r="T37" s="19"/>
      <c r="U37" s="33"/>
    </row>
    <row r="38" spans="1:21" ht="25.5" x14ac:dyDescent="0.2">
      <c r="A38" s="69">
        <v>4</v>
      </c>
      <c r="B38" s="22" t="s">
        <v>75</v>
      </c>
      <c r="C38" s="71" t="s">
        <v>159</v>
      </c>
      <c r="D38" s="20">
        <f>IF(C38="Critical",ISO90012008!B143,IF(C38="Major",ISO90012008!B144,IF(C38="Minor",ISO90012008!B145,"")))</f>
        <v>3</v>
      </c>
      <c r="E38" s="71" t="s">
        <v>451</v>
      </c>
      <c r="F38" s="71" t="s">
        <v>495</v>
      </c>
      <c r="G38" s="71" t="s">
        <v>422</v>
      </c>
      <c r="H38" s="1" t="s">
        <v>462</v>
      </c>
      <c r="I38" s="1"/>
      <c r="J38" s="1"/>
      <c r="K38" s="1"/>
      <c r="L38" s="1"/>
      <c r="M38" s="23"/>
      <c r="N38" s="23"/>
      <c r="O38" s="23"/>
      <c r="P38" s="21"/>
      <c r="Q38" s="21"/>
      <c r="R38" s="21"/>
      <c r="S38" s="37"/>
      <c r="T38" s="22"/>
      <c r="U38" s="19"/>
    </row>
    <row r="39" spans="1:21" s="40" customFormat="1" x14ac:dyDescent="0.2">
      <c r="A39" s="72"/>
      <c r="B39" s="22"/>
      <c r="C39" s="22"/>
      <c r="D39" s="22"/>
      <c r="E39" s="22"/>
      <c r="F39" s="22"/>
      <c r="G39" s="22"/>
      <c r="H39" s="19"/>
      <c r="I39" s="19"/>
      <c r="J39" s="19"/>
      <c r="K39" s="19"/>
      <c r="L39" s="19"/>
      <c r="M39" s="19"/>
      <c r="N39" s="19"/>
      <c r="O39" s="19"/>
      <c r="P39" s="33"/>
      <c r="Q39" s="33"/>
      <c r="R39" s="33"/>
      <c r="S39" s="30"/>
      <c r="T39" s="19"/>
      <c r="U39" s="15"/>
    </row>
  </sheetData>
  <autoFilter ref="A2:T38"/>
  <phoneticPr fontId="2" type="noConversion"/>
  <conditionalFormatting sqref="M31:O32 P30:R30 Q31:R34 P32:P38 P21:R21 P12:R12 P14:P16 P6 M4:O5 Q4:R6 P7:R7 Q17:S29 N5:P5 M35:O38 M28:S28 M37:S37 H25:L25 H12:L12 H16:L16 H21:L21 M8:O16 M21:P29 M17:M20 Q8:R29 Q35:S38 H39:S39">
    <cfRule type="cellIs" dxfId="71" priority="217" stopIfTrue="1" operator="equal">
      <formula>"Yes"</formula>
    </cfRule>
    <cfRule type="cellIs" dxfId="70" priority="218" stopIfTrue="1" operator="equal">
      <formula>"No"</formula>
    </cfRule>
    <cfRule type="cellIs" dxfId="69" priority="219" stopIfTrue="1" operator="equal">
      <formula>"N/A"</formula>
    </cfRule>
  </conditionalFormatting>
  <conditionalFormatting sqref="O10">
    <cfRule type="cellIs" dxfId="68" priority="40" stopIfTrue="1" operator="equal">
      <formula>"Yes"</formula>
    </cfRule>
    <cfRule type="cellIs" dxfId="67" priority="41" stopIfTrue="1" operator="equal">
      <formula>"No"</formula>
    </cfRule>
    <cfRule type="cellIs" dxfId="66" priority="42" stopIfTrue="1" operator="equal">
      <formula>"N/A"</formula>
    </cfRule>
  </conditionalFormatting>
  <conditionalFormatting sqref="M10:T10">
    <cfRule type="cellIs" dxfId="65" priority="37" stopIfTrue="1" operator="equal">
      <formula>"Yes"</formula>
    </cfRule>
    <cfRule type="cellIs" dxfId="64" priority="38" stopIfTrue="1" operator="equal">
      <formula>"No"</formula>
    </cfRule>
    <cfRule type="cellIs" dxfId="63" priority="39" stopIfTrue="1" operator="equal">
      <formula>"N/A"</formula>
    </cfRule>
  </conditionalFormatting>
  <conditionalFormatting sqref="M19 Q19:T19">
    <cfRule type="cellIs" dxfId="62" priority="31" stopIfTrue="1" operator="equal">
      <formula>"Yes"</formula>
    </cfRule>
    <cfRule type="cellIs" dxfId="61" priority="32" stopIfTrue="1" operator="equal">
      <formula>"No"</formula>
    </cfRule>
    <cfRule type="cellIs" dxfId="60" priority="33" stopIfTrue="1" operator="equal">
      <formula>"N/A"</formula>
    </cfRule>
  </conditionalFormatting>
  <conditionalFormatting sqref="O28">
    <cfRule type="cellIs" dxfId="59" priority="28" stopIfTrue="1" operator="equal">
      <formula>"Yes"</formula>
    </cfRule>
    <cfRule type="cellIs" dxfId="58" priority="29" stopIfTrue="1" operator="equal">
      <formula>"No"</formula>
    </cfRule>
    <cfRule type="cellIs" dxfId="57" priority="30" stopIfTrue="1" operator="equal">
      <formula>"N/A"</formula>
    </cfRule>
  </conditionalFormatting>
  <conditionalFormatting sqref="M28:T28">
    <cfRule type="cellIs" dxfId="56" priority="25" stopIfTrue="1" operator="equal">
      <formula>"Yes"</formula>
    </cfRule>
    <cfRule type="cellIs" dxfId="55" priority="26" stopIfTrue="1" operator="equal">
      <formula>"No"</formula>
    </cfRule>
    <cfRule type="cellIs" dxfId="54" priority="27" stopIfTrue="1" operator="equal">
      <formula>"N/A"</formula>
    </cfRule>
  </conditionalFormatting>
  <conditionalFormatting sqref="O37">
    <cfRule type="cellIs" dxfId="53" priority="22" stopIfTrue="1" operator="equal">
      <formula>"Yes"</formula>
    </cfRule>
    <cfRule type="cellIs" dxfId="52" priority="23" stopIfTrue="1" operator="equal">
      <formula>"No"</formula>
    </cfRule>
    <cfRule type="cellIs" dxfId="51" priority="24" stopIfTrue="1" operator="equal">
      <formula>"N/A"</formula>
    </cfRule>
  </conditionalFormatting>
  <conditionalFormatting sqref="M37:T37">
    <cfRule type="cellIs" dxfId="50" priority="19" stopIfTrue="1" operator="equal">
      <formula>"Yes"</formula>
    </cfRule>
    <cfRule type="cellIs" dxfId="49" priority="20" stopIfTrue="1" operator="equal">
      <formula>"No"</formula>
    </cfRule>
    <cfRule type="cellIs" dxfId="48" priority="21" stopIfTrue="1" operator="equal">
      <formula>"N/A"</formula>
    </cfRule>
  </conditionalFormatting>
  <conditionalFormatting sqref="S19">
    <cfRule type="cellIs" dxfId="47" priority="16" stopIfTrue="1" operator="equal">
      <formula>"Yes"</formula>
    </cfRule>
    <cfRule type="cellIs" dxfId="46" priority="17" stopIfTrue="1" operator="equal">
      <formula>"No"</formula>
    </cfRule>
    <cfRule type="cellIs" dxfId="45" priority="18" stopIfTrue="1" operator="equal">
      <formula>"N/A"</formula>
    </cfRule>
  </conditionalFormatting>
  <conditionalFormatting sqref="S28">
    <cfRule type="cellIs" dxfId="44" priority="13" stopIfTrue="1" operator="equal">
      <formula>"Yes"</formula>
    </cfRule>
    <cfRule type="cellIs" dxfId="43" priority="14" stopIfTrue="1" operator="equal">
      <formula>"No"</formula>
    </cfRule>
    <cfRule type="cellIs" dxfId="42" priority="15" stopIfTrue="1" operator="equal">
      <formula>"N/A"</formula>
    </cfRule>
  </conditionalFormatting>
  <conditionalFormatting sqref="S37">
    <cfRule type="cellIs" dxfId="41" priority="10" stopIfTrue="1" operator="equal">
      <formula>"Yes"</formula>
    </cfRule>
    <cfRule type="cellIs" dxfId="40" priority="11" stopIfTrue="1" operator="equal">
      <formula>"No"</formula>
    </cfRule>
    <cfRule type="cellIs" dxfId="39" priority="12" stopIfTrue="1" operator="equal">
      <formula>"N/A"</formula>
    </cfRule>
  </conditionalFormatting>
  <conditionalFormatting sqref="N17:O20">
    <cfRule type="cellIs" dxfId="38" priority="7" stopIfTrue="1" operator="equal">
      <formula>"Yes"</formula>
    </cfRule>
    <cfRule type="cellIs" dxfId="37" priority="8" stopIfTrue="1" operator="equal">
      <formula>"No"</formula>
    </cfRule>
    <cfRule type="cellIs" dxfId="36" priority="9" stopIfTrue="1" operator="equal">
      <formula>"N/A"</formula>
    </cfRule>
  </conditionalFormatting>
  <conditionalFormatting sqref="O19">
    <cfRule type="cellIs" dxfId="35" priority="4" stopIfTrue="1" operator="equal">
      <formula>"Yes"</formula>
    </cfRule>
    <cfRule type="cellIs" dxfId="34" priority="5" stopIfTrue="1" operator="equal">
      <formula>"No"</formula>
    </cfRule>
    <cfRule type="cellIs" dxfId="33" priority="6" stopIfTrue="1" operator="equal">
      <formula>"N/A"</formula>
    </cfRule>
  </conditionalFormatting>
  <conditionalFormatting sqref="N19:O19">
    <cfRule type="cellIs" dxfId="32" priority="1" stopIfTrue="1" operator="equal">
      <formula>"Yes"</formula>
    </cfRule>
    <cfRule type="cellIs" dxfId="31" priority="2" stopIfTrue="1" operator="equal">
      <formula>"No"</formula>
    </cfRule>
    <cfRule type="cellIs" dxfId="30" priority="3" stopIfTrue="1" operator="equal">
      <formula>"N/A"</formula>
    </cfRule>
  </conditionalFormatting>
  <dataValidations count="4">
    <dataValidation allowBlank="1" showInputMessage="1" showErrorMessage="1" sqref="M23:M24 M5:M6 M26:M29 M8:M11 M14:M15 M32:M33 M17:M20 M35:M39"/>
    <dataValidation type="list" allowBlank="1" showInputMessage="1" showErrorMessage="1" sqref="T31:T32 T22:T23 T17:T20 T4:T5 T26:T29 T8:T11 T13:T14 T35:T39">
      <formula1>"Open,Closed"</formula1>
    </dataValidation>
    <dataValidation type="list" allowBlank="1" showInputMessage="1" showErrorMessage="1" sqref="H13:L15 H8:L11 H22:L24 H26:L29 H31:L33 H4:L6 H35:L38 H17:L20">
      <formula1>"Yes, No, NA"</formula1>
    </dataValidation>
    <dataValidation type="list" allowBlank="1" showInputMessage="1" showErrorMessage="1" sqref="H39:L39">
      <formula1>"Major NC, Minor NC,Observation"</formula1>
    </dataValidation>
  </dataValidations>
  <pageMargins left="0.75" right="0.75" top="1" bottom="1" header="0.5" footer="0.5"/>
  <pageSetup paperSize="9" orientation="portrait"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8"/>
  </sheetPr>
  <dimension ref="A2:U5"/>
  <sheetViews>
    <sheetView showGridLines="0" zoomScale="80" zoomScaleNormal="80" workbookViewId="0">
      <pane ySplit="2" topLeftCell="A3" activePane="bottomLeft" state="frozen"/>
      <selection pane="bottomLeft" activeCell="M18" sqref="M18"/>
    </sheetView>
  </sheetViews>
  <sheetFormatPr defaultRowHeight="12.75" x14ac:dyDescent="0.2"/>
  <cols>
    <col min="1" max="1" width="8.42578125" style="24" bestFit="1" customWidth="1"/>
    <col min="2" max="2" width="56.28515625" style="24" customWidth="1"/>
    <col min="3" max="3" width="13.140625" style="24" bestFit="1" customWidth="1"/>
    <col min="4" max="4" width="7.85546875" style="24" hidden="1" customWidth="1"/>
    <col min="5" max="6" width="14.5703125" style="24" hidden="1" customWidth="1"/>
    <col min="7" max="7" width="28.28515625" style="24" customWidth="1"/>
    <col min="8" max="8" width="12.28515625" style="24" customWidth="1"/>
    <col min="9" max="10" width="12.28515625" style="24" hidden="1" customWidth="1"/>
    <col min="11" max="12" width="11" style="24" hidden="1" customWidth="1"/>
    <col min="13" max="13" width="37" style="24" customWidth="1"/>
    <col min="14" max="14" width="28.28515625" style="24" customWidth="1"/>
    <col min="15" max="15" width="24.85546875" style="24" customWidth="1"/>
    <col min="16" max="18" width="21.7109375" style="16" customWidth="1"/>
    <col min="19" max="19" width="12.28515625" style="24" hidden="1" customWidth="1"/>
    <col min="20" max="20" width="18.85546875" style="24" hidden="1" customWidth="1"/>
    <col min="21" max="21" width="22.85546875" style="24" hidden="1" customWidth="1"/>
    <col min="22" max="16384" width="9.140625" style="24"/>
  </cols>
  <sheetData>
    <row r="2" spans="1:21" ht="25.5" x14ac:dyDescent="0.2">
      <c r="A2" s="15" t="s">
        <v>14</v>
      </c>
      <c r="B2" s="13" t="s">
        <v>454</v>
      </c>
      <c r="C2" s="13" t="s">
        <v>455</v>
      </c>
      <c r="D2" s="13" t="s">
        <v>158</v>
      </c>
      <c r="E2" s="15" t="s">
        <v>255</v>
      </c>
      <c r="F2" s="15" t="s">
        <v>491</v>
      </c>
      <c r="G2" s="15" t="s">
        <v>358</v>
      </c>
      <c r="H2" s="15" t="s">
        <v>243</v>
      </c>
      <c r="I2" s="15" t="s">
        <v>244</v>
      </c>
      <c r="J2" s="15" t="s">
        <v>251</v>
      </c>
      <c r="K2" s="15" t="s">
        <v>252</v>
      </c>
      <c r="L2" s="15" t="s">
        <v>253</v>
      </c>
      <c r="M2" s="15" t="s">
        <v>4</v>
      </c>
      <c r="N2" s="15" t="s">
        <v>5</v>
      </c>
      <c r="O2" s="15" t="s">
        <v>6</v>
      </c>
      <c r="P2" s="13" t="s">
        <v>91</v>
      </c>
      <c r="Q2" s="13" t="s">
        <v>81</v>
      </c>
      <c r="R2" s="13" t="s">
        <v>564</v>
      </c>
      <c r="S2" s="15" t="s">
        <v>31</v>
      </c>
      <c r="T2" s="15" t="s">
        <v>238</v>
      </c>
      <c r="U2" s="15" t="s">
        <v>239</v>
      </c>
    </row>
    <row r="3" spans="1:21" s="40" customFormat="1" x14ac:dyDescent="0.2">
      <c r="A3" s="17"/>
      <c r="B3" s="17" t="s">
        <v>447</v>
      </c>
      <c r="C3" s="17"/>
      <c r="D3" s="17"/>
      <c r="E3" s="17"/>
      <c r="F3" s="17"/>
      <c r="G3" s="17"/>
      <c r="H3" s="17"/>
      <c r="I3" s="17"/>
      <c r="J3" s="17"/>
      <c r="K3" s="17"/>
      <c r="L3" s="17"/>
      <c r="M3" s="17"/>
      <c r="N3" s="17"/>
      <c r="O3" s="17"/>
      <c r="P3" s="60"/>
      <c r="Q3" s="60"/>
      <c r="R3" s="60"/>
      <c r="S3" s="75"/>
      <c r="T3" s="17"/>
      <c r="U3" s="17"/>
    </row>
    <row r="4" spans="1:21" ht="25.5" x14ac:dyDescent="0.2">
      <c r="A4" s="1">
        <v>1</v>
      </c>
      <c r="B4" s="23" t="s">
        <v>557</v>
      </c>
      <c r="C4" s="71" t="s">
        <v>109</v>
      </c>
      <c r="D4" s="20">
        <f>IF(C4="Critical",ISO90012008!B143,IF(C4="Major",ISO90012008!B144,IF(C4="Minor",ISO90012008!B145,"")))</f>
        <v>5</v>
      </c>
      <c r="E4" s="71"/>
      <c r="F4" s="71" t="s">
        <v>493</v>
      </c>
      <c r="G4" s="71" t="s">
        <v>558</v>
      </c>
      <c r="H4" s="1" t="s">
        <v>611</v>
      </c>
      <c r="I4" s="1"/>
      <c r="J4" s="1" t="s">
        <v>462</v>
      </c>
      <c r="K4" s="1" t="s">
        <v>462</v>
      </c>
      <c r="L4" s="1" t="s">
        <v>462</v>
      </c>
      <c r="M4" s="41"/>
      <c r="N4" s="22"/>
      <c r="O4" s="22"/>
      <c r="P4" s="21"/>
      <c r="Q4" s="21"/>
      <c r="R4" s="233"/>
      <c r="S4" s="74" t="s">
        <v>110</v>
      </c>
      <c r="T4" s="19"/>
      <c r="U4" s="19"/>
    </row>
    <row r="5" spans="1:21" ht="69" customHeight="1" x14ac:dyDescent="0.2">
      <c r="A5" s="20">
        <v>2</v>
      </c>
      <c r="B5" s="23" t="s">
        <v>559</v>
      </c>
      <c r="C5" s="23" t="s">
        <v>109</v>
      </c>
      <c r="D5" s="20">
        <f>IF(C5="Critical",ISO90012008!B143,IF(C5="Major",ISO90012008!B144,IF(C5="Minor",ISO90012008!B145,"")))</f>
        <v>5</v>
      </c>
      <c r="E5" s="23" t="s">
        <v>427</v>
      </c>
      <c r="F5" s="71" t="s">
        <v>494</v>
      </c>
      <c r="G5" s="23" t="s">
        <v>560</v>
      </c>
      <c r="H5" s="1" t="s">
        <v>611</v>
      </c>
      <c r="I5" s="1"/>
      <c r="J5" s="1" t="s">
        <v>462</v>
      </c>
      <c r="K5" s="1" t="s">
        <v>462</v>
      </c>
      <c r="L5" s="1" t="s">
        <v>462</v>
      </c>
      <c r="M5" s="23"/>
      <c r="N5" s="19"/>
      <c r="O5" s="19"/>
      <c r="P5" s="29"/>
      <c r="Q5" s="33"/>
      <c r="R5" s="33"/>
      <c r="S5" s="25" t="s">
        <v>231</v>
      </c>
      <c r="T5" s="19"/>
      <c r="U5" s="19"/>
    </row>
  </sheetData>
  <autoFilter ref="A2:T5"/>
  <phoneticPr fontId="2" type="noConversion"/>
  <conditionalFormatting sqref="S4:S5 P3:R4 Q5:R5">
    <cfRule type="cellIs" dxfId="29" priority="114" stopIfTrue="1" operator="equal">
      <formula>"Yes"</formula>
    </cfRule>
    <cfRule type="cellIs" dxfId="28" priority="115" stopIfTrue="1" operator="equal">
      <formula>"No"</formula>
    </cfRule>
    <cfRule type="cellIs" dxfId="27" priority="116" stopIfTrue="1" operator="equal">
      <formula>"N/A"</formula>
    </cfRule>
  </conditionalFormatting>
  <dataValidations count="2">
    <dataValidation allowBlank="1" showInputMessage="1" showErrorMessage="1" sqref="M4:M5"/>
    <dataValidation type="list" allowBlank="1" showInputMessage="1" showErrorMessage="1" sqref="H4:L5">
      <formula1>"Yes, No, NA"</formula1>
    </dataValidation>
  </dataValidations>
  <pageMargins left="0.75" right="0.75" top="1" bottom="1" header="0.5" footer="0.5"/>
  <pageSetup paperSize="9" orientation="portrait"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8"/>
  </sheetPr>
  <dimension ref="A2:U18"/>
  <sheetViews>
    <sheetView showGridLines="0" zoomScale="80" zoomScaleNormal="80" workbookViewId="0">
      <pane ySplit="3" topLeftCell="A4" activePane="bottomLeft" state="frozen"/>
      <selection pane="bottomLeft" activeCell="M8" sqref="M8"/>
    </sheetView>
  </sheetViews>
  <sheetFormatPr defaultRowHeight="12.75" x14ac:dyDescent="0.2"/>
  <cols>
    <col min="1" max="1" width="8.42578125" style="24" bestFit="1" customWidth="1"/>
    <col min="2" max="2" width="56.28515625" style="24" customWidth="1"/>
    <col min="3" max="3" width="13.140625" style="24" customWidth="1"/>
    <col min="4" max="4" width="7.85546875" style="24" hidden="1" customWidth="1"/>
    <col min="5" max="6" width="8.42578125" style="24" hidden="1" customWidth="1"/>
    <col min="7" max="7" width="14.140625" style="24" bestFit="1" customWidth="1"/>
    <col min="8" max="8" width="12.28515625" style="24" customWidth="1"/>
    <col min="9" max="11" width="12.28515625" style="24" hidden="1" customWidth="1"/>
    <col min="12" max="12" width="11" style="24" hidden="1" customWidth="1"/>
    <col min="13" max="13" width="37" style="24" customWidth="1"/>
    <col min="14" max="14" width="17.42578125" style="24" customWidth="1"/>
    <col min="15" max="15" width="22" style="24" customWidth="1"/>
    <col min="16" max="18" width="21.7109375" style="24" customWidth="1"/>
    <col min="19" max="19" width="12.28515625" style="24" hidden="1" customWidth="1"/>
    <col min="20" max="20" width="12.85546875" style="24" hidden="1" customWidth="1"/>
    <col min="21" max="21" width="25.140625" style="24" hidden="1" customWidth="1"/>
    <col min="22" max="16384" width="9.140625" style="24"/>
  </cols>
  <sheetData>
    <row r="2" spans="1:21" ht="25.5" customHeight="1" x14ac:dyDescent="0.2">
      <c r="A2" s="91" t="s">
        <v>14</v>
      </c>
      <c r="B2" s="13" t="s">
        <v>454</v>
      </c>
      <c r="C2" s="13" t="s">
        <v>455</v>
      </c>
      <c r="D2" s="13" t="s">
        <v>158</v>
      </c>
      <c r="E2" s="91" t="s">
        <v>255</v>
      </c>
      <c r="F2" s="91" t="s">
        <v>491</v>
      </c>
      <c r="G2" s="91" t="s">
        <v>358</v>
      </c>
      <c r="H2" s="92" t="s">
        <v>243</v>
      </c>
      <c r="I2" s="92" t="s">
        <v>244</v>
      </c>
      <c r="J2" s="92" t="s">
        <v>251</v>
      </c>
      <c r="K2" s="92" t="s">
        <v>252</v>
      </c>
      <c r="L2" s="92" t="s">
        <v>253</v>
      </c>
      <c r="M2" s="91" t="s">
        <v>4</v>
      </c>
      <c r="N2" s="91" t="s">
        <v>5</v>
      </c>
      <c r="O2" s="91" t="s">
        <v>6</v>
      </c>
      <c r="P2" s="91" t="s">
        <v>91</v>
      </c>
      <c r="Q2" s="91" t="s">
        <v>81</v>
      </c>
      <c r="R2" s="91" t="s">
        <v>564</v>
      </c>
      <c r="S2" s="91" t="s">
        <v>31</v>
      </c>
      <c r="T2" s="15" t="s">
        <v>238</v>
      </c>
      <c r="U2" s="15" t="s">
        <v>239</v>
      </c>
    </row>
    <row r="3" spans="1:21" s="40" customFormat="1" x14ac:dyDescent="0.2">
      <c r="A3" s="17"/>
      <c r="B3" s="17" t="s">
        <v>82</v>
      </c>
      <c r="C3" s="17"/>
      <c r="D3" s="17"/>
      <c r="E3" s="17"/>
      <c r="F3" s="17"/>
      <c r="G3" s="17"/>
      <c r="H3" s="17"/>
      <c r="I3" s="17"/>
      <c r="J3" s="17"/>
      <c r="K3" s="17"/>
      <c r="L3" s="17"/>
      <c r="M3" s="17"/>
      <c r="N3" s="17"/>
      <c r="O3" s="17"/>
      <c r="P3" s="17"/>
      <c r="Q3" s="17"/>
      <c r="R3" s="17"/>
      <c r="S3" s="17"/>
      <c r="T3" s="17"/>
      <c r="U3" s="17"/>
    </row>
    <row r="4" spans="1:21" ht="25.5" x14ac:dyDescent="0.2">
      <c r="A4" s="19">
        <v>1</v>
      </c>
      <c r="B4" s="22" t="s">
        <v>15</v>
      </c>
      <c r="C4" s="23" t="s">
        <v>159</v>
      </c>
      <c r="D4" s="20">
        <f>IF(C4="Critical",ISO90012008!B143,IF(C4="Major",ISO90012008!B144,IF(C4="Minor",ISO90012008!B145,"")))</f>
        <v>3</v>
      </c>
      <c r="E4" s="22"/>
      <c r="F4" s="23" t="s">
        <v>494</v>
      </c>
      <c r="G4" s="22"/>
      <c r="H4" s="1" t="s">
        <v>462</v>
      </c>
      <c r="I4" s="1" t="s">
        <v>462</v>
      </c>
      <c r="J4" s="1" t="s">
        <v>462</v>
      </c>
      <c r="K4" s="1" t="s">
        <v>462</v>
      </c>
      <c r="L4" s="1" t="s">
        <v>462</v>
      </c>
      <c r="M4" s="19"/>
      <c r="N4" s="19"/>
      <c r="O4" s="19"/>
      <c r="P4" s="21"/>
      <c r="Q4" s="21"/>
      <c r="R4" s="21"/>
      <c r="S4" s="25" t="s">
        <v>212</v>
      </c>
      <c r="T4" s="19"/>
      <c r="U4" s="19"/>
    </row>
    <row r="5" spans="1:21" ht="25.5" x14ac:dyDescent="0.2">
      <c r="A5" s="19">
        <v>2</v>
      </c>
      <c r="B5" s="22" t="s">
        <v>16</v>
      </c>
      <c r="C5" s="23" t="s">
        <v>109</v>
      </c>
      <c r="D5" s="20">
        <f>IF(C5="Critical",ISO90012008!B143,IF(C5="Major",ISO90012008!B144,IF(C5="Minor",ISO90012008!B145,"")))</f>
        <v>5</v>
      </c>
      <c r="E5" s="22"/>
      <c r="F5" s="23" t="s">
        <v>494</v>
      </c>
      <c r="G5" s="22"/>
      <c r="H5" s="1" t="s">
        <v>462</v>
      </c>
      <c r="I5" s="1" t="s">
        <v>462</v>
      </c>
      <c r="J5" s="1" t="s">
        <v>462</v>
      </c>
      <c r="K5" s="1" t="s">
        <v>462</v>
      </c>
      <c r="L5" s="1" t="s">
        <v>462</v>
      </c>
      <c r="M5" s="19"/>
      <c r="N5" s="19"/>
      <c r="O5" s="19"/>
      <c r="P5" s="21"/>
      <c r="Q5" s="21"/>
      <c r="R5" s="21"/>
      <c r="S5" s="25" t="s">
        <v>212</v>
      </c>
      <c r="T5" s="19"/>
      <c r="U5" s="19"/>
    </row>
    <row r="6" spans="1:21" x14ac:dyDescent="0.2">
      <c r="A6" s="19">
        <v>3</v>
      </c>
      <c r="B6" s="22" t="s">
        <v>30</v>
      </c>
      <c r="C6" s="23" t="s">
        <v>159</v>
      </c>
      <c r="D6" s="20">
        <f>IF(C6="Critical",ISO90012008!B143,IF(C6="Major",ISO90012008!B144,IF(C6="Minor",ISO90012008!B145,"")))</f>
        <v>3</v>
      </c>
      <c r="E6" s="22"/>
      <c r="F6" s="23" t="s">
        <v>494</v>
      </c>
      <c r="G6" s="22"/>
      <c r="H6" s="1" t="s">
        <v>462</v>
      </c>
      <c r="I6" s="1" t="s">
        <v>462</v>
      </c>
      <c r="J6" s="1" t="s">
        <v>462</v>
      </c>
      <c r="K6" s="1" t="s">
        <v>462</v>
      </c>
      <c r="L6" s="1" t="s">
        <v>462</v>
      </c>
      <c r="M6" s="19"/>
      <c r="N6" s="19"/>
      <c r="O6" s="19"/>
      <c r="P6" s="21"/>
      <c r="Q6" s="21"/>
      <c r="R6" s="21"/>
      <c r="S6" s="25" t="s">
        <v>212</v>
      </c>
      <c r="T6" s="19"/>
      <c r="U6" s="19"/>
    </row>
    <row r="7" spans="1:21" s="40" customFormat="1" ht="25.5" x14ac:dyDescent="0.2">
      <c r="A7" s="34">
        <v>4</v>
      </c>
      <c r="B7" s="22" t="s">
        <v>17</v>
      </c>
      <c r="C7" s="23" t="s">
        <v>159</v>
      </c>
      <c r="D7" s="20">
        <f>IF(C7="Critical",ISO90012008!B143,IF(C7="Major",ISO90012008!B144,IF(C7="Minor",ISO90012008!B145,"")))</f>
        <v>3</v>
      </c>
      <c r="E7" s="22"/>
      <c r="F7" s="23" t="s">
        <v>494</v>
      </c>
      <c r="G7" s="22"/>
      <c r="H7" s="1" t="s">
        <v>462</v>
      </c>
      <c r="I7" s="1" t="s">
        <v>462</v>
      </c>
      <c r="J7" s="1" t="s">
        <v>462</v>
      </c>
      <c r="K7" s="1" t="s">
        <v>462</v>
      </c>
      <c r="L7" s="1" t="s">
        <v>462</v>
      </c>
      <c r="M7" s="19"/>
      <c r="N7" s="76"/>
      <c r="O7" s="76"/>
      <c r="P7" s="21"/>
      <c r="Q7" s="29"/>
      <c r="R7" s="29"/>
      <c r="S7" s="25" t="s">
        <v>212</v>
      </c>
      <c r="T7" s="34"/>
      <c r="U7" s="15"/>
    </row>
    <row r="8" spans="1:21" x14ac:dyDescent="0.2">
      <c r="A8" s="20">
        <v>5</v>
      </c>
      <c r="B8" s="22" t="s">
        <v>18</v>
      </c>
      <c r="C8" s="23" t="s">
        <v>159</v>
      </c>
      <c r="D8" s="20">
        <f>IF(C8="Critical",ISO90012008!B143,IF(C8="Major",ISO90012008!B144,IF(C8="Minor",ISO90012008!B145,"")))</f>
        <v>3</v>
      </c>
      <c r="E8" s="22"/>
      <c r="F8" s="23" t="s">
        <v>494</v>
      </c>
      <c r="G8" s="22"/>
      <c r="H8" s="1" t="s">
        <v>462</v>
      </c>
      <c r="I8" s="1" t="s">
        <v>462</v>
      </c>
      <c r="J8" s="1" t="s">
        <v>462</v>
      </c>
      <c r="K8" s="1" t="s">
        <v>462</v>
      </c>
      <c r="L8" s="1" t="s">
        <v>462</v>
      </c>
      <c r="M8" s="19"/>
      <c r="N8" s="19"/>
      <c r="O8" s="19"/>
      <c r="P8" s="21"/>
      <c r="Q8" s="21"/>
      <c r="R8" s="21"/>
      <c r="S8" s="25" t="s">
        <v>212</v>
      </c>
      <c r="T8" s="19"/>
      <c r="U8" s="19"/>
    </row>
    <row r="9" spans="1:21" s="40" customFormat="1" ht="25.5" x14ac:dyDescent="0.2">
      <c r="A9" s="77">
        <v>6</v>
      </c>
      <c r="B9" s="22" t="s">
        <v>27</v>
      </c>
      <c r="C9" s="23" t="s">
        <v>159</v>
      </c>
      <c r="D9" s="20">
        <f>IF(C9="Critical",ISO90012008!B143,IF(C9="Major",ISO90012008!B144,IF(C9="Minor",ISO90012008!B145,"")))</f>
        <v>3</v>
      </c>
      <c r="E9" s="22"/>
      <c r="F9" s="23" t="s">
        <v>495</v>
      </c>
      <c r="G9" s="22"/>
      <c r="H9" s="1" t="s">
        <v>462</v>
      </c>
      <c r="I9" s="1" t="s">
        <v>462</v>
      </c>
      <c r="J9" s="1" t="s">
        <v>462</v>
      </c>
      <c r="K9" s="1" t="s">
        <v>462</v>
      </c>
      <c r="L9" s="1" t="s">
        <v>462</v>
      </c>
      <c r="M9" s="19"/>
      <c r="N9" s="19"/>
      <c r="O9" s="19"/>
      <c r="P9" s="21"/>
      <c r="Q9" s="21"/>
      <c r="R9" s="21"/>
      <c r="S9" s="25" t="s">
        <v>212</v>
      </c>
      <c r="T9" s="19"/>
      <c r="U9" s="15"/>
    </row>
    <row r="10" spans="1:21" ht="25.5" x14ac:dyDescent="0.2">
      <c r="A10" s="77">
        <v>7</v>
      </c>
      <c r="B10" s="22" t="s">
        <v>19</v>
      </c>
      <c r="C10" s="23" t="s">
        <v>159</v>
      </c>
      <c r="D10" s="20">
        <f>IF(C10="Critical",ISO90012008!B143,IF(C10="Major",ISO90012008!B144,IF(C10="Minor",ISO90012008!B145,"")))</f>
        <v>3</v>
      </c>
      <c r="E10" s="22"/>
      <c r="F10" s="23" t="s">
        <v>494</v>
      </c>
      <c r="G10" s="22"/>
      <c r="H10" s="1" t="s">
        <v>462</v>
      </c>
      <c r="I10" s="1" t="s">
        <v>462</v>
      </c>
      <c r="J10" s="1" t="s">
        <v>462</v>
      </c>
      <c r="K10" s="1" t="s">
        <v>462</v>
      </c>
      <c r="L10" s="1" t="s">
        <v>462</v>
      </c>
      <c r="M10" s="19"/>
      <c r="N10" s="19"/>
      <c r="O10" s="19"/>
      <c r="P10" s="21"/>
      <c r="Q10" s="29"/>
      <c r="R10" s="29"/>
      <c r="S10" s="25" t="s">
        <v>212</v>
      </c>
      <c r="T10" s="19"/>
      <c r="U10" s="19"/>
    </row>
    <row r="11" spans="1:21" ht="25.5" x14ac:dyDescent="0.2">
      <c r="A11" s="77">
        <v>8</v>
      </c>
      <c r="B11" s="22" t="s">
        <v>20</v>
      </c>
      <c r="C11" s="23" t="s">
        <v>159</v>
      </c>
      <c r="D11" s="20">
        <f>IF(C11="Critical",ISO90012008!B143,IF(C11="Major",ISO90012008!B144,IF(C11="Minor",ISO90012008!B145,"")))</f>
        <v>3</v>
      </c>
      <c r="E11" s="22"/>
      <c r="F11" s="23" t="s">
        <v>495</v>
      </c>
      <c r="G11" s="22"/>
      <c r="H11" s="1" t="s">
        <v>462</v>
      </c>
      <c r="I11" s="1" t="s">
        <v>462</v>
      </c>
      <c r="J11" s="1" t="s">
        <v>462</v>
      </c>
      <c r="K11" s="1" t="s">
        <v>462</v>
      </c>
      <c r="L11" s="1" t="s">
        <v>462</v>
      </c>
      <c r="M11" s="19"/>
      <c r="N11" s="19"/>
      <c r="O11" s="19"/>
      <c r="P11" s="21"/>
      <c r="Q11" s="21"/>
      <c r="R11" s="21"/>
      <c r="S11" s="25" t="s">
        <v>212</v>
      </c>
      <c r="T11" s="19"/>
      <c r="U11" s="19"/>
    </row>
    <row r="12" spans="1:21" x14ac:dyDescent="0.2">
      <c r="A12" s="77">
        <v>9</v>
      </c>
      <c r="B12" s="22" t="s">
        <v>21</v>
      </c>
      <c r="C12" s="23" t="s">
        <v>159</v>
      </c>
      <c r="D12" s="20">
        <f>IF(C12="Critical",ISO90012008!B143,IF(C12="Major",ISO90012008!B144,IF(C12="Minor",ISO90012008!B145,"")))</f>
        <v>3</v>
      </c>
      <c r="E12" s="22"/>
      <c r="F12" s="23" t="s">
        <v>494</v>
      </c>
      <c r="G12" s="22"/>
      <c r="H12" s="1" t="s">
        <v>462</v>
      </c>
      <c r="I12" s="1" t="s">
        <v>462</v>
      </c>
      <c r="J12" s="1" t="s">
        <v>462</v>
      </c>
      <c r="K12" s="1" t="s">
        <v>462</v>
      </c>
      <c r="L12" s="1" t="s">
        <v>462</v>
      </c>
      <c r="M12" s="19"/>
      <c r="N12" s="19"/>
      <c r="O12" s="19"/>
      <c r="P12" s="21"/>
      <c r="Q12" s="29"/>
      <c r="R12" s="29"/>
      <c r="S12" s="25" t="s">
        <v>212</v>
      </c>
      <c r="T12" s="19"/>
      <c r="U12" s="19"/>
    </row>
    <row r="13" spans="1:21" x14ac:dyDescent="0.2">
      <c r="A13" s="77">
        <v>10</v>
      </c>
      <c r="B13" s="22" t="s">
        <v>22</v>
      </c>
      <c r="C13" s="23" t="s">
        <v>159</v>
      </c>
      <c r="D13" s="20">
        <f>IF(C13="Critical",ISO90012008!B143,IF(C13="Major",ISO90012008!B144,IF(C13="Minor",ISO90012008!B145,"")))</f>
        <v>3</v>
      </c>
      <c r="E13" s="22"/>
      <c r="F13" s="23" t="s">
        <v>494</v>
      </c>
      <c r="G13" s="22"/>
      <c r="H13" s="1" t="s">
        <v>462</v>
      </c>
      <c r="I13" s="1" t="s">
        <v>462</v>
      </c>
      <c r="J13" s="1" t="s">
        <v>462</v>
      </c>
      <c r="K13" s="1" t="s">
        <v>462</v>
      </c>
      <c r="L13" s="1" t="s">
        <v>462</v>
      </c>
      <c r="M13" s="19"/>
      <c r="N13" s="19"/>
      <c r="O13" s="19"/>
      <c r="P13" s="21"/>
      <c r="Q13" s="21"/>
      <c r="R13" s="21"/>
      <c r="S13" s="25" t="s">
        <v>212</v>
      </c>
      <c r="T13" s="19"/>
      <c r="U13" s="19"/>
    </row>
    <row r="14" spans="1:21" x14ac:dyDescent="0.2">
      <c r="A14" s="77">
        <v>11</v>
      </c>
      <c r="B14" s="22" t="s">
        <v>23</v>
      </c>
      <c r="C14" s="23" t="s">
        <v>159</v>
      </c>
      <c r="D14" s="20">
        <f>IF(C14="Critical",ISO90012008!B143,IF(C14="Major",ISO90012008!B144,IF(C14="Minor",ISO90012008!B145,"")))</f>
        <v>3</v>
      </c>
      <c r="E14" s="22"/>
      <c r="F14" s="23" t="s">
        <v>494</v>
      </c>
      <c r="G14" s="22"/>
      <c r="H14" s="1" t="s">
        <v>462</v>
      </c>
      <c r="I14" s="1" t="s">
        <v>462</v>
      </c>
      <c r="J14" s="1" t="s">
        <v>462</v>
      </c>
      <c r="K14" s="1" t="s">
        <v>462</v>
      </c>
      <c r="L14" s="1" t="s">
        <v>462</v>
      </c>
      <c r="M14" s="19"/>
      <c r="N14" s="19"/>
      <c r="O14" s="19"/>
      <c r="P14" s="21"/>
      <c r="Q14" s="19"/>
      <c r="R14" s="19"/>
      <c r="S14" s="25" t="s">
        <v>212</v>
      </c>
      <c r="T14" s="19"/>
      <c r="U14" s="19"/>
    </row>
    <row r="15" spans="1:21" x14ac:dyDescent="0.2">
      <c r="A15" s="77">
        <v>12</v>
      </c>
      <c r="B15" s="22" t="s">
        <v>28</v>
      </c>
      <c r="C15" s="23" t="s">
        <v>159</v>
      </c>
      <c r="D15" s="20">
        <f>IF(C15="Critical",ISO90012008!B143,IF(C15="Major",ISO90012008!B144,IF(C15="Minor",ISO90012008!B145,"")))</f>
        <v>3</v>
      </c>
      <c r="E15" s="22"/>
      <c r="F15" s="23" t="s">
        <v>495</v>
      </c>
      <c r="G15" s="22"/>
      <c r="H15" s="1" t="s">
        <v>462</v>
      </c>
      <c r="I15" s="1" t="s">
        <v>462</v>
      </c>
      <c r="J15" s="1" t="s">
        <v>462</v>
      </c>
      <c r="K15" s="1" t="s">
        <v>462</v>
      </c>
      <c r="L15" s="1" t="s">
        <v>462</v>
      </c>
      <c r="M15" s="19"/>
      <c r="N15" s="19"/>
      <c r="O15" s="19"/>
      <c r="P15" s="21"/>
      <c r="Q15" s="19"/>
      <c r="R15" s="19"/>
      <c r="S15" s="25" t="s">
        <v>212</v>
      </c>
      <c r="T15" s="19"/>
      <c r="U15" s="19"/>
    </row>
    <row r="16" spans="1:21" x14ac:dyDescent="0.2">
      <c r="A16" s="77">
        <v>13</v>
      </c>
      <c r="B16" s="22" t="s">
        <v>24</v>
      </c>
      <c r="C16" s="23" t="s">
        <v>159</v>
      </c>
      <c r="D16" s="20">
        <f>IF(C16="Critical",ISO90012008!B143,IF(C16="Major",ISO90012008!B144,IF(C16="Minor",ISO90012008!B145,"")))</f>
        <v>3</v>
      </c>
      <c r="E16" s="22"/>
      <c r="F16" s="23" t="s">
        <v>495</v>
      </c>
      <c r="G16" s="22"/>
      <c r="H16" s="1" t="s">
        <v>462</v>
      </c>
      <c r="I16" s="1" t="s">
        <v>462</v>
      </c>
      <c r="J16" s="1" t="s">
        <v>462</v>
      </c>
      <c r="K16" s="1" t="s">
        <v>462</v>
      </c>
      <c r="L16" s="1" t="s">
        <v>462</v>
      </c>
      <c r="M16" s="19"/>
      <c r="N16" s="19"/>
      <c r="O16" s="19"/>
      <c r="P16" s="21"/>
      <c r="Q16" s="54"/>
      <c r="R16" s="54"/>
      <c r="S16" s="25" t="s">
        <v>212</v>
      </c>
      <c r="T16" s="19"/>
      <c r="U16" s="19"/>
    </row>
    <row r="17" spans="1:21" x14ac:dyDescent="0.2">
      <c r="A17" s="77">
        <v>14</v>
      </c>
      <c r="B17" s="22" t="s">
        <v>25</v>
      </c>
      <c r="C17" s="23" t="s">
        <v>159</v>
      </c>
      <c r="D17" s="20">
        <f>IF(C17="Critical",ISO90012008!B143,IF(C17="Major",ISO90012008!B144,IF(C17="Minor",ISO90012008!B145,"")))</f>
        <v>3</v>
      </c>
      <c r="E17" s="22"/>
      <c r="F17" s="23" t="s">
        <v>495</v>
      </c>
      <c r="G17" s="22"/>
      <c r="H17" s="1" t="s">
        <v>462</v>
      </c>
      <c r="I17" s="1" t="s">
        <v>462</v>
      </c>
      <c r="J17" s="1" t="s">
        <v>462</v>
      </c>
      <c r="K17" s="1" t="s">
        <v>462</v>
      </c>
      <c r="L17" s="1" t="s">
        <v>462</v>
      </c>
      <c r="M17" s="19"/>
      <c r="N17" s="19"/>
      <c r="O17" s="19"/>
      <c r="P17" s="21"/>
      <c r="Q17" s="54"/>
      <c r="R17" s="54"/>
      <c r="S17" s="25" t="s">
        <v>212</v>
      </c>
      <c r="T17" s="19"/>
      <c r="U17" s="19"/>
    </row>
    <row r="18" spans="1:21" ht="25.5" x14ac:dyDescent="0.2">
      <c r="A18" s="77">
        <v>15</v>
      </c>
      <c r="B18" s="22" t="s">
        <v>26</v>
      </c>
      <c r="C18" s="23" t="s">
        <v>159</v>
      </c>
      <c r="D18" s="20">
        <f>IF(C18="Critical",ISO90012008!B143,IF(C18="Major",ISO90012008!B144,IF(C18="Minor",ISO90012008!B145,"")))</f>
        <v>3</v>
      </c>
      <c r="E18" s="22"/>
      <c r="F18" s="23" t="s">
        <v>495</v>
      </c>
      <c r="G18" s="22"/>
      <c r="H18" s="1" t="s">
        <v>462</v>
      </c>
      <c r="I18" s="1" t="s">
        <v>462</v>
      </c>
      <c r="J18" s="1" t="s">
        <v>462</v>
      </c>
      <c r="K18" s="1" t="s">
        <v>462</v>
      </c>
      <c r="L18" s="1" t="s">
        <v>462</v>
      </c>
      <c r="M18" s="19"/>
      <c r="N18" s="19"/>
      <c r="O18" s="19"/>
      <c r="P18" s="21"/>
      <c r="Q18" s="54"/>
      <c r="R18" s="54"/>
      <c r="S18" s="25" t="s">
        <v>212</v>
      </c>
      <c r="T18" s="19"/>
      <c r="U18" s="19"/>
    </row>
  </sheetData>
  <autoFilter ref="A2:T18"/>
  <phoneticPr fontId="2" type="noConversion"/>
  <conditionalFormatting sqref="M7:M18 P4:R18 M8:S9 M4:S6">
    <cfRule type="cellIs" dxfId="26" priority="37" stopIfTrue="1" operator="equal">
      <formula>"Yes"</formula>
    </cfRule>
    <cfRule type="cellIs" dxfId="25" priority="38" stopIfTrue="1" operator="equal">
      <formula>"No"</formula>
    </cfRule>
    <cfRule type="cellIs" dxfId="24" priority="39" stopIfTrue="1" operator="equal">
      <formula>"N/A"</formula>
    </cfRule>
  </conditionalFormatting>
  <conditionalFormatting sqref="M8:S9 M7:M18 P7:R7 P10:R17 M6:S6">
    <cfRule type="cellIs" dxfId="23" priority="28" stopIfTrue="1" operator="equal">
      <formula>"Yes"</formula>
    </cfRule>
    <cfRule type="cellIs" dxfId="22" priority="29" stopIfTrue="1" operator="equal">
      <formula>"No"</formula>
    </cfRule>
    <cfRule type="cellIs" dxfId="21" priority="30" stopIfTrue="1" operator="equal">
      <formula>"N/A"</formula>
    </cfRule>
  </conditionalFormatting>
  <conditionalFormatting sqref="S4:S18">
    <cfRule type="cellIs" dxfId="20" priority="19" stopIfTrue="1" operator="equal">
      <formula>"Yes"</formula>
    </cfRule>
    <cfRule type="cellIs" dxfId="19" priority="20" stopIfTrue="1" operator="equal">
      <formula>"No"</formula>
    </cfRule>
    <cfRule type="cellIs" dxfId="18" priority="21" stopIfTrue="1" operator="equal">
      <formula>"N/A"</formula>
    </cfRule>
  </conditionalFormatting>
  <conditionalFormatting sqref="P4:P18">
    <cfRule type="cellIs" dxfId="17" priority="16" stopIfTrue="1" operator="equal">
      <formula>"Yes"</formula>
    </cfRule>
    <cfRule type="cellIs" dxfId="16" priority="17" stopIfTrue="1" operator="equal">
      <formula>"No"</formula>
    </cfRule>
    <cfRule type="cellIs" dxfId="15" priority="18" stopIfTrue="1" operator="equal">
      <formula>"N/A"</formula>
    </cfRule>
  </conditionalFormatting>
  <conditionalFormatting sqref="P4:P18">
    <cfRule type="cellIs" dxfId="14" priority="13" stopIfTrue="1" operator="equal">
      <formula>"Yes"</formula>
    </cfRule>
    <cfRule type="cellIs" dxfId="13" priority="14" stopIfTrue="1" operator="equal">
      <formula>"No"</formula>
    </cfRule>
    <cfRule type="cellIs" dxfId="12" priority="15" stopIfTrue="1" operator="equal">
      <formula>"N/A"</formula>
    </cfRule>
  </conditionalFormatting>
  <conditionalFormatting sqref="P4:P18">
    <cfRule type="cellIs" dxfId="11" priority="10" stopIfTrue="1" operator="equal">
      <formula>"Yes"</formula>
    </cfRule>
    <cfRule type="cellIs" dxfId="10" priority="11" stopIfTrue="1" operator="equal">
      <formula>"No"</formula>
    </cfRule>
    <cfRule type="cellIs" dxfId="9" priority="12" stopIfTrue="1" operator="equal">
      <formula>"N/A"</formula>
    </cfRule>
  </conditionalFormatting>
  <conditionalFormatting sqref="P4:P18">
    <cfRule type="cellIs" dxfId="8" priority="7" stopIfTrue="1" operator="equal">
      <formula>"Yes"</formula>
    </cfRule>
    <cfRule type="cellIs" dxfId="7" priority="8" stopIfTrue="1" operator="equal">
      <formula>"No"</formula>
    </cfRule>
    <cfRule type="cellIs" dxfId="6" priority="9" stopIfTrue="1" operator="equal">
      <formula>"N/A"</formula>
    </cfRule>
  </conditionalFormatting>
  <conditionalFormatting sqref="P4:P18">
    <cfRule type="cellIs" dxfId="5" priority="4" stopIfTrue="1" operator="equal">
      <formula>"Yes"</formula>
    </cfRule>
    <cfRule type="cellIs" dxfId="4" priority="5" stopIfTrue="1" operator="equal">
      <formula>"No"</formula>
    </cfRule>
    <cfRule type="cellIs" dxfId="3" priority="6" stopIfTrue="1" operator="equal">
      <formula>"N/A"</formula>
    </cfRule>
  </conditionalFormatting>
  <conditionalFormatting sqref="P4:P18">
    <cfRule type="cellIs" dxfId="2" priority="1" stopIfTrue="1" operator="equal">
      <formula>"Yes"</formula>
    </cfRule>
    <cfRule type="cellIs" dxfId="1" priority="2" stopIfTrue="1" operator="equal">
      <formula>"No"</formula>
    </cfRule>
    <cfRule type="cellIs" dxfId="0" priority="3" stopIfTrue="1" operator="equal">
      <formula>"N/A"</formula>
    </cfRule>
  </conditionalFormatting>
  <dataValidations count="2">
    <dataValidation type="list" allowBlank="1" showInputMessage="1" showErrorMessage="1" sqref="T4:T6 T8:T9">
      <formula1>"Open,Closed"</formula1>
    </dataValidation>
    <dataValidation type="list" allowBlank="1" showInputMessage="1" showErrorMessage="1" sqref="H4:L18">
      <formula1>"Yes, No, NA"</formula1>
    </dataValidation>
  </dataValidations>
  <pageMargins left="0.75" right="0.75" top="1" bottom="1" header="0.5" footer="0.5"/>
  <pageSetup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5"/>
  <sheetViews>
    <sheetView showGridLines="0" topLeftCell="A136" zoomScale="86" zoomScaleNormal="86" workbookViewId="0">
      <selection activeCell="A143" sqref="A143"/>
    </sheetView>
  </sheetViews>
  <sheetFormatPr defaultColWidth="29" defaultRowHeight="12.75" x14ac:dyDescent="0.2"/>
  <cols>
    <col min="1" max="1" width="25.5703125" style="2" customWidth="1"/>
    <col min="2" max="2" width="6.5703125" style="2" bestFit="1" customWidth="1"/>
    <col min="3" max="3" width="12" style="2" customWidth="1"/>
    <col min="4" max="8" width="17.85546875" style="2" customWidth="1"/>
    <col min="9" max="9" width="6.140625" style="2" customWidth="1"/>
    <col min="10" max="10" width="24.28515625" style="2" customWidth="1"/>
    <col min="11" max="11" width="6.7109375" style="2" customWidth="1"/>
    <col min="12" max="12" width="11.7109375" style="2" customWidth="1"/>
    <col min="13" max="13" width="16.7109375" style="2" customWidth="1"/>
    <col min="14" max="14" width="23.7109375" style="2" customWidth="1"/>
    <col min="15" max="16384" width="29" style="2"/>
  </cols>
  <sheetData>
    <row r="1" spans="1:17" x14ac:dyDescent="0.2">
      <c r="A1" s="329" t="s">
        <v>145</v>
      </c>
      <c r="B1" s="330"/>
      <c r="C1" s="330"/>
      <c r="D1" s="330"/>
      <c r="E1" s="330"/>
      <c r="F1" s="330"/>
      <c r="G1" s="330"/>
      <c r="H1" s="330"/>
      <c r="I1" s="330"/>
      <c r="J1" s="330"/>
      <c r="K1" s="330"/>
      <c r="L1" s="330"/>
      <c r="M1" s="331"/>
    </row>
    <row r="2" spans="1:17" x14ac:dyDescent="0.2">
      <c r="A2" s="8" t="s">
        <v>7</v>
      </c>
      <c r="B2" s="5"/>
      <c r="C2" s="5"/>
      <c r="D2" s="5"/>
      <c r="E2" s="5"/>
      <c r="F2" s="5"/>
      <c r="G2" s="5"/>
      <c r="H2" s="5"/>
      <c r="I2" s="5"/>
      <c r="J2" s="8" t="s">
        <v>83</v>
      </c>
      <c r="K2" s="5"/>
      <c r="L2" s="5"/>
      <c r="M2" s="5"/>
    </row>
    <row r="3" spans="1:17" ht="25.5" x14ac:dyDescent="0.2">
      <c r="A3" s="7" t="s">
        <v>111</v>
      </c>
      <c r="B3" s="7" t="s">
        <v>112</v>
      </c>
      <c r="C3" s="7" t="s">
        <v>113</v>
      </c>
      <c r="D3" s="7" t="s">
        <v>516</v>
      </c>
      <c r="E3" s="7" t="s">
        <v>517</v>
      </c>
      <c r="F3" s="7" t="s">
        <v>520</v>
      </c>
      <c r="G3" s="7" t="s">
        <v>519</v>
      </c>
      <c r="H3" s="7" t="s">
        <v>518</v>
      </c>
      <c r="I3" s="5"/>
      <c r="J3" s="7" t="s">
        <v>111</v>
      </c>
      <c r="K3" s="7" t="s">
        <v>112</v>
      </c>
      <c r="L3" s="7" t="s">
        <v>113</v>
      </c>
      <c r="M3" s="7" t="s">
        <v>516</v>
      </c>
      <c r="N3" s="7" t="s">
        <v>517</v>
      </c>
      <c r="O3" s="7" t="s">
        <v>520</v>
      </c>
      <c r="P3" s="7" t="s">
        <v>519</v>
      </c>
      <c r="Q3" s="7" t="s">
        <v>518</v>
      </c>
    </row>
    <row r="4" spans="1:17" x14ac:dyDescent="0.2">
      <c r="A4" s="4" t="s">
        <v>114</v>
      </c>
      <c r="B4" s="3">
        <f>COUNTIF('Project Initiation'!S4:S11,"4.2.3")</f>
        <v>0</v>
      </c>
      <c r="C4" s="3">
        <f>COUNTIFS('Project Initiation'!S4:S11, "4.2.3",'Project Initiation'!H4:H11,"Yes")</f>
        <v>0</v>
      </c>
      <c r="D4" s="3">
        <f>COUNTIFS('Project Initiation'!$S4:$S11, "4.2.3",'Project Initiation'!H4:H11,"No")</f>
        <v>0</v>
      </c>
      <c r="E4" s="3">
        <f>COUNTIFS('Project Initiation'!$S4:$S11, "4.2.3",'Project Initiation'!I4:I11,"No")</f>
        <v>0</v>
      </c>
      <c r="F4" s="3">
        <f>COUNTIFS('Project Initiation'!$S4:$S11, "4.2.3",'Project Initiation'!J4:J11,"No")</f>
        <v>0</v>
      </c>
      <c r="G4" s="3">
        <f>COUNTIFS('Project Initiation'!$S4:$S11, "4.2.3",'Project Initiation'!K4:K11,"No")</f>
        <v>0</v>
      </c>
      <c r="H4" s="3">
        <f>COUNTIFS('Project Initiation'!$S4:$S11, "4.2.3",'Project Initiation'!L4:L11,"No")</f>
        <v>0</v>
      </c>
      <c r="I4" s="5"/>
      <c r="J4" s="4" t="s">
        <v>114</v>
      </c>
      <c r="K4" s="3">
        <f>COUNTIF('Project Management'!S4:S84,"4.2.3")</f>
        <v>0</v>
      </c>
      <c r="L4" s="3">
        <f>COUNTIFS('Project Management'!S4:S84, "4.2.3",'Project Management'!H4:H84,"Yes")</f>
        <v>0</v>
      </c>
      <c r="M4" s="3">
        <f>COUNTIFS('Project Management'!$S4:$S84, "4.2.3",'Project Management'!H4:H84,"No")</f>
        <v>0</v>
      </c>
      <c r="N4" s="3">
        <f>COUNTIFS('Project Management'!$S4:$S84, "4.2.3",'Project Management'!I4:I84,"No")</f>
        <v>0</v>
      </c>
      <c r="O4" s="3">
        <f>COUNTIFS('Project Management'!$S4:$S84, "4.2.3",'Project Management'!J4:J84,"No")</f>
        <v>0</v>
      </c>
      <c r="P4" s="3">
        <f>COUNTIFS('Project Management'!$S4:$S84, "4.2.3",'Project Management'!K4:K84,"No")</f>
        <v>0</v>
      </c>
      <c r="Q4" s="3">
        <f>COUNTIFS('Project Management'!$S4:$S84, "4.2.3",'Project Management'!L4:L84,"No")</f>
        <v>0</v>
      </c>
    </row>
    <row r="5" spans="1:17" x14ac:dyDescent="0.2">
      <c r="A5" s="4" t="s">
        <v>115</v>
      </c>
      <c r="B5" s="3">
        <f>COUNTIF('Project Initiation'!S4:S11,"4.2.4")</f>
        <v>2</v>
      </c>
      <c r="C5" s="3">
        <f>COUNTIFS('Project Initiation'!S4:S11, "4.2.4",'Project Initiation'!H4:H11,"Yes")</f>
        <v>2</v>
      </c>
      <c r="D5" s="3">
        <f>COUNTIFS('Project Initiation'!$S4:$S11, "4.2.4",'Project Initiation'!H4:H11,"No")</f>
        <v>0</v>
      </c>
      <c r="E5" s="3">
        <f>COUNTIFS('Project Initiation'!$S4:$S11, "4.2.4",'Project Initiation'!I4:I11,"No")</f>
        <v>0</v>
      </c>
      <c r="F5" s="3">
        <f>COUNTIFS('Project Initiation'!$S4:$S11, "4.2.4",'Project Initiation'!J4:J11,"No")</f>
        <v>0</v>
      </c>
      <c r="G5" s="3">
        <f>COUNTIFS('Project Initiation'!$S4:$S11, "4.2.4",'Project Initiation'!K4:K11,"No")</f>
        <v>0</v>
      </c>
      <c r="H5" s="3">
        <f>COUNTIFS('Project Initiation'!$S4:$S11, "4.2.4",'Project Initiation'!L4:L11,"No")</f>
        <v>0</v>
      </c>
      <c r="I5" s="5"/>
      <c r="J5" s="4" t="s">
        <v>115</v>
      </c>
      <c r="K5" s="3">
        <f>COUNTIF('Project Management'!S4:S84,"4.2.4")</f>
        <v>8</v>
      </c>
      <c r="L5" s="3">
        <f>COUNTIFS('Project Management'!S4:S84, "4.2.4",'Project Management'!H4:H84,"Yes")</f>
        <v>2</v>
      </c>
      <c r="M5" s="3">
        <f>COUNTIFS('Project Management'!$S4:$S84, "4.2.4",'Project Management'!H4:H84,"No")</f>
        <v>5</v>
      </c>
      <c r="N5" s="3">
        <f>COUNTIFS('Project Management'!$S4:$S84, "4.2.4",'Project Management'!I4:I84,"No")</f>
        <v>0</v>
      </c>
      <c r="O5" s="3">
        <f>COUNTIFS('Project Management'!$S4:$S84, "4.2.4",'Project Management'!J4:J84,"No")</f>
        <v>0</v>
      </c>
      <c r="P5" s="3">
        <f>COUNTIFS('Project Management'!$S4:$S84, "4.2.4",'Project Management'!K4:K84,"No")</f>
        <v>0</v>
      </c>
      <c r="Q5" s="3">
        <f>COUNTIFS('Project Management'!$S4:$S84, "4.2.4",'Project Management'!L4:L84,"No")</f>
        <v>0</v>
      </c>
    </row>
    <row r="6" spans="1:17" x14ac:dyDescent="0.2">
      <c r="A6" s="4" t="s">
        <v>116</v>
      </c>
      <c r="B6" s="3">
        <f>COUNTIF('Project Initiation'!S4:S11,"6.2.2")</f>
        <v>0</v>
      </c>
      <c r="C6" s="3">
        <f>COUNTIFS('Project Initiation'!S4:S11, "6.2.2",'Project Initiation'!H4:H11,"Yes")</f>
        <v>0</v>
      </c>
      <c r="D6" s="3">
        <f>COUNTIFS('Project Initiation'!$S4:$S11, "6.2.2",'Project Initiation'!H4:H11,"No")</f>
        <v>0</v>
      </c>
      <c r="E6" s="3">
        <f>COUNTIFS('Project Initiation'!$S4:$S11, "6.2.2",'Project Initiation'!I4:I11,"No")</f>
        <v>0</v>
      </c>
      <c r="F6" s="3">
        <f>COUNTIFS('Project Initiation'!$S4:$S11, "6.2.2",'Project Initiation'!J4:J11,"No")</f>
        <v>0</v>
      </c>
      <c r="G6" s="3">
        <f>COUNTIFS('Project Initiation'!$S4:$S11, "6.2.2",'Project Initiation'!K4:K11,"No")</f>
        <v>0</v>
      </c>
      <c r="H6" s="3">
        <f>COUNTIFS('Project Initiation'!$S4:$S11, "6.2.2",'Project Initiation'!L4:L11,"No")</f>
        <v>0</v>
      </c>
      <c r="I6" s="5"/>
      <c r="J6" s="4" t="s">
        <v>116</v>
      </c>
      <c r="K6" s="3">
        <f>COUNTIF('Project Management'!S4:S84,"6.2.2")</f>
        <v>0</v>
      </c>
      <c r="L6" s="3">
        <f>COUNTIFS('Project Management'!S4:S84, "6.2.2",'Project Management'!H4:H84,"Yes")</f>
        <v>0</v>
      </c>
      <c r="M6" s="3">
        <f>COUNTIFS('Project Management'!$S4:$S84, "6.2.2",'Project Management'!H4:H84,"No")</f>
        <v>0</v>
      </c>
      <c r="N6" s="3">
        <f>COUNTIFS('Project Management'!$S4:$S84, "6.2.2",'Project Management'!I4:I84,"No")</f>
        <v>0</v>
      </c>
      <c r="O6" s="3">
        <f>COUNTIFS('Project Management'!$S4:$S84, "6.2.2",'Project Management'!J4:J84,"No")</f>
        <v>0</v>
      </c>
      <c r="P6" s="3">
        <f>COUNTIFS('Project Management'!$S4:$S84, "6.2.2",'Project Management'!K4:K84,"No")</f>
        <v>0</v>
      </c>
      <c r="Q6" s="3">
        <f>COUNTIFS('Project Management'!$S4:$S84, "6.2.2",'Project Management'!L4:L84,"No")</f>
        <v>0</v>
      </c>
    </row>
    <row r="7" spans="1:17" x14ac:dyDescent="0.2">
      <c r="A7" s="4" t="s">
        <v>117</v>
      </c>
      <c r="B7" s="3">
        <f>COUNTIF('Project Initiation'!S4:S11,"6.3")</f>
        <v>0</v>
      </c>
      <c r="C7" s="3">
        <f>COUNTIFS('Project Initiation'!S4:S11, "6.3",'Project Initiation'!H4:H11,"Yes")</f>
        <v>0</v>
      </c>
      <c r="D7" s="3">
        <f>COUNTIFS('Project Initiation'!$S4:$S11, "6.3",'Project Initiation'!H4:H11,"No")</f>
        <v>0</v>
      </c>
      <c r="E7" s="3">
        <f>COUNTIFS('Project Initiation'!$S4:$S11, "6.3",'Project Initiation'!I4:I11,"No")</f>
        <v>0</v>
      </c>
      <c r="F7" s="3">
        <f>COUNTIFS('Project Initiation'!$S4:$S11, "6.3",'Project Initiation'!J4:J11,"No")</f>
        <v>0</v>
      </c>
      <c r="G7" s="3">
        <f>COUNTIFS('Project Initiation'!$S4:$S11, "6.3",'Project Initiation'!K4:K11,"No")</f>
        <v>0</v>
      </c>
      <c r="H7" s="3">
        <f>COUNTIFS('Project Initiation'!$S4:$S11, "6.3",'Project Initiation'!L4:L11,"No")</f>
        <v>0</v>
      </c>
      <c r="I7" s="5"/>
      <c r="J7" s="4" t="s">
        <v>117</v>
      </c>
      <c r="K7" s="3">
        <f>COUNTIF('Project Management'!S4:S84,"6.3")</f>
        <v>0</v>
      </c>
      <c r="L7" s="3">
        <f>COUNTIFS('Project Management'!S4:S84, "6.3",'Project Management'!H4:H84,"Yes")</f>
        <v>0</v>
      </c>
      <c r="M7" s="3">
        <f>COUNTIFS('Project Management'!$S4:$S84, "6.3",'Project Management'!H4:H84,"No")</f>
        <v>0</v>
      </c>
      <c r="N7" s="3">
        <f>COUNTIFS('Project Management'!$S4:$S84, "6.3",'Project Management'!I4:I84,"No")</f>
        <v>0</v>
      </c>
      <c r="O7" s="3">
        <f>COUNTIFS('Project Management'!$S4:$S84, "6.3",'Project Management'!J4:J84,"No")</f>
        <v>0</v>
      </c>
      <c r="P7" s="3">
        <f>COUNTIFS('Project Management'!$S4:$S84, "6.3",'Project Management'!K4:K84,"No")</f>
        <v>0</v>
      </c>
      <c r="Q7" s="3">
        <f>COUNTIFS('Project Management'!$S4:$S84, "6.3",'Project Management'!L4:L84,"No")</f>
        <v>0</v>
      </c>
    </row>
    <row r="8" spans="1:17" x14ac:dyDescent="0.2">
      <c r="A8" s="4" t="s">
        <v>118</v>
      </c>
      <c r="B8" s="3">
        <f>COUNTIF('Project Initiation'!S4:S11,"6.4")</f>
        <v>0</v>
      </c>
      <c r="C8" s="3">
        <f>COUNTIFS('Project Initiation'!S4:S11, "6.4",'Project Initiation'!H4:H11,"Yes")</f>
        <v>0</v>
      </c>
      <c r="D8" s="3">
        <f>COUNTIFS('Project Initiation'!$S4:$S11, "6.4",'Project Initiation'!H4:H11,"No")</f>
        <v>0</v>
      </c>
      <c r="E8" s="3">
        <f>COUNTIFS('Project Initiation'!$S4:$S11, "6.4",'Project Initiation'!I4:I11,"No")</f>
        <v>0</v>
      </c>
      <c r="F8" s="3">
        <f>COUNTIFS('Project Initiation'!$S4:$S11, "6.4",'Project Initiation'!J4:J11,"No")</f>
        <v>0</v>
      </c>
      <c r="G8" s="3">
        <f>COUNTIFS('Project Initiation'!$S4:$S11, "6.4",'Project Initiation'!K4:K11,"No")</f>
        <v>0</v>
      </c>
      <c r="H8" s="3">
        <f>COUNTIFS('Project Initiation'!$S4:$S11, "6.4",'Project Initiation'!L4:L11,"No")</f>
        <v>0</v>
      </c>
      <c r="I8" s="5"/>
      <c r="J8" s="4" t="s">
        <v>118</v>
      </c>
      <c r="K8" s="3">
        <f>COUNTIF('Project Management'!S4:S84,"6.4")</f>
        <v>0</v>
      </c>
      <c r="L8" s="3">
        <f>COUNTIFS('Project Management'!S4:S84, "6.4",'Project Management'!H4:H84,"Yes")</f>
        <v>0</v>
      </c>
      <c r="M8" s="3">
        <f>COUNTIFS('Project Management'!$S4:$S84, "6.4",'Project Management'!H4:H84,"No")</f>
        <v>0</v>
      </c>
      <c r="N8" s="3">
        <f>COUNTIFS('Project Management'!$S4:$S84, "6.4",'Project Management'!I4:I84,"No")</f>
        <v>0</v>
      </c>
      <c r="O8" s="3">
        <f>COUNTIFS('Project Management'!$S4:$S84, "6.4",'Project Management'!J4:J84,"No")</f>
        <v>0</v>
      </c>
      <c r="P8" s="3">
        <f>COUNTIFS('Project Management'!$S4:$S84, "6.4",'Project Management'!K4:K84,"No")</f>
        <v>0</v>
      </c>
      <c r="Q8" s="3">
        <f>COUNTIFS('Project Management'!$S4:$S84, "6.4",'Project Management'!L4:L84,"No")</f>
        <v>0</v>
      </c>
    </row>
    <row r="9" spans="1:17" x14ac:dyDescent="0.2">
      <c r="A9" s="4" t="s">
        <v>119</v>
      </c>
      <c r="B9" s="3">
        <f>COUNTIF('Project Initiation'!S4:S11,"7.1")</f>
        <v>4</v>
      </c>
      <c r="C9" s="3">
        <f>COUNTIFS('Project Initiation'!S4:S11, "7.1",'Project Initiation'!H4:H11,"Yes")</f>
        <v>2</v>
      </c>
      <c r="D9" s="3">
        <f>COUNTIFS('Project Initiation'!$S4:$S11, "7.1",'Project Initiation'!H4:H11,"No")</f>
        <v>0</v>
      </c>
      <c r="E9" s="3">
        <f>COUNTIFS('Project Initiation'!$S4:$S11, "7.1",'Project Initiation'!I4:I11,"No")</f>
        <v>0</v>
      </c>
      <c r="F9" s="3">
        <f>COUNTIFS('Project Initiation'!$S4:$S11, "7.1",'Project Initiation'!J4:J11,"No")</f>
        <v>0</v>
      </c>
      <c r="G9" s="3">
        <f>COUNTIFS('Project Initiation'!$S4:$S11, "7.1",'Project Initiation'!K4:K11,"No")</f>
        <v>0</v>
      </c>
      <c r="H9" s="3">
        <f>COUNTIFS('Project Initiation'!$S4:$S11, "7.1",'Project Initiation'!L4:L11,"No")</f>
        <v>0</v>
      </c>
      <c r="I9" s="5"/>
      <c r="J9" s="4" t="s">
        <v>119</v>
      </c>
      <c r="K9" s="3">
        <f>COUNTIF('Project Management'!S4:S84,"7.1")</f>
        <v>46</v>
      </c>
      <c r="L9" s="3">
        <f>COUNTIFS('Project Management'!S4:S84, "7.1",'Project Management'!H4:H84,"Yes")</f>
        <v>32</v>
      </c>
      <c r="M9" s="3">
        <f>COUNTIFS('Project Management'!$S4:$S84, "7.1",'Project Management'!H4:H84,"No")</f>
        <v>13</v>
      </c>
      <c r="N9" s="3">
        <f>COUNTIFS('Project Management'!$S4:$S84, "7.1",'Project Management'!I4:I84,"No")</f>
        <v>0</v>
      </c>
      <c r="O9" s="3">
        <f>COUNTIFS('Project Management'!$S4:$S84, "7.1",'Project Management'!J4:J84,"No")</f>
        <v>0</v>
      </c>
      <c r="P9" s="3">
        <f>COUNTIFS('Project Management'!$S4:$S84, "7.1",'Project Management'!K4:K84,"No")</f>
        <v>0</v>
      </c>
      <c r="Q9" s="3">
        <f>COUNTIFS('Project Management'!$S4:$S84, "7.1",'Project Management'!L4:L84,"No")</f>
        <v>0</v>
      </c>
    </row>
    <row r="10" spans="1:17" ht="25.5" x14ac:dyDescent="0.2">
      <c r="A10" s="4" t="s">
        <v>120</v>
      </c>
      <c r="B10" s="3">
        <f>COUNTIF('Project Initiation'!S4:S11,"7.2.1")</f>
        <v>0</v>
      </c>
      <c r="C10" s="3">
        <f>COUNTIFS('Project Initiation'!S4:S11, "7.2.1",'Project Initiation'!H4:H11,"Yes")</f>
        <v>0</v>
      </c>
      <c r="D10" s="3">
        <f>COUNTIFS('Project Initiation'!$S4:$S11, "7.2.1",'Project Initiation'!H4:H11,"No")</f>
        <v>0</v>
      </c>
      <c r="E10" s="3">
        <f>COUNTIFS('Project Initiation'!$S4:$S11, "7.2.1",'Project Initiation'!I4:I11,"No")</f>
        <v>0</v>
      </c>
      <c r="F10" s="3">
        <f>COUNTIFS('Project Initiation'!$S4:$S11, "7.2.1",'Project Initiation'!J4:J11,"No")</f>
        <v>0</v>
      </c>
      <c r="G10" s="3">
        <f>COUNTIFS('Project Initiation'!$S4:$S11, "7.2.1",'Project Initiation'!K4:K11,"No")</f>
        <v>0</v>
      </c>
      <c r="H10" s="3">
        <f>COUNTIFS('Project Initiation'!$S4:$S11, "7.2.1",'Project Initiation'!L4:L11,"No")</f>
        <v>0</v>
      </c>
      <c r="I10" s="5"/>
      <c r="J10" s="4" t="s">
        <v>120</v>
      </c>
      <c r="K10" s="3">
        <f>COUNTIF('Project Management'!S4:S84,"7.2.1")</f>
        <v>0</v>
      </c>
      <c r="L10" s="3">
        <f>COUNTIFS('Project Management'!S4:S84, "7.2.1",'Project Management'!H4:H84,"Yes")</f>
        <v>0</v>
      </c>
      <c r="M10" s="3">
        <f>COUNTIFS('Project Management'!$S4:$S84, "7.2.1",'Project Management'!H4:H84,"No")</f>
        <v>0</v>
      </c>
      <c r="N10" s="3">
        <f>COUNTIFS('Project Management'!$S4:$S84, "7.2.1",'Project Management'!I4:I84,"No")</f>
        <v>0</v>
      </c>
      <c r="O10" s="3">
        <f>COUNTIFS('Project Management'!$S4:$S84, "7.2.1",'Project Management'!J4:J84,"No")</f>
        <v>0</v>
      </c>
      <c r="P10" s="3">
        <f>COUNTIFS('Project Management'!$S4:$S84, "7.2.1",'Project Management'!K4:K84,"No")</f>
        <v>0</v>
      </c>
      <c r="Q10" s="3">
        <f>COUNTIFS('Project Management'!$S4:$S84, "7.2.1",'Project Management'!L4:L84,"No")</f>
        <v>0</v>
      </c>
    </row>
    <row r="11" spans="1:17" ht="25.5" x14ac:dyDescent="0.2">
      <c r="A11" s="4" t="s">
        <v>121</v>
      </c>
      <c r="B11" s="3">
        <f>COUNTIF('Project Initiation'!S4:S11,"7.2.2")</f>
        <v>0</v>
      </c>
      <c r="C11" s="3">
        <f>COUNTIFS('Project Initiation'!S4:S11, "7.2.2",'Project Initiation'!H4:H11,"Yes")</f>
        <v>0</v>
      </c>
      <c r="D11" s="3">
        <f>COUNTIFS('Project Initiation'!$S4:$S11, "7.2.2",'Project Initiation'!H4:H11,"No")</f>
        <v>0</v>
      </c>
      <c r="E11" s="3">
        <f>COUNTIFS('Project Initiation'!$S4:$S11, "7.2.2",'Project Initiation'!I4:I11,"No")</f>
        <v>0</v>
      </c>
      <c r="F11" s="3">
        <f>COUNTIFS('Project Initiation'!$S4:$S11, "7.2.2",'Project Initiation'!J4:J11,"No")</f>
        <v>0</v>
      </c>
      <c r="G11" s="3">
        <f>COUNTIFS('Project Initiation'!$S4:$S11, "7.2.2",'Project Initiation'!K4:K11,"No")</f>
        <v>0</v>
      </c>
      <c r="H11" s="3">
        <f>COUNTIFS('Project Initiation'!$S4:$S11, "7.2.2",'Project Initiation'!L4:L11,"No")</f>
        <v>0</v>
      </c>
      <c r="I11" s="5"/>
      <c r="J11" s="4" t="s">
        <v>121</v>
      </c>
      <c r="K11" s="3">
        <f>COUNTIF('Project Management'!S4:S84,"7.2.2")</f>
        <v>0</v>
      </c>
      <c r="L11" s="3">
        <f>COUNTIFS('Project Management'!S4:S84, "7.2.2",'Project Management'!H4:H84,"Yes")</f>
        <v>0</v>
      </c>
      <c r="M11" s="3">
        <f>COUNTIFS('Project Management'!$S4:$S84, "7.2.2",'Project Management'!H4:H84,"No")</f>
        <v>0</v>
      </c>
      <c r="N11" s="3">
        <f>COUNTIFS('Project Management'!$S4:$S84, "7.2.2",'Project Management'!I4:I84,"No")</f>
        <v>0</v>
      </c>
      <c r="O11" s="3">
        <f>COUNTIFS('Project Management'!$S4:$S84, "7.2.2",'Project Management'!J4:J84,"No")</f>
        <v>0</v>
      </c>
      <c r="P11" s="3">
        <f>COUNTIFS('Project Management'!$S4:$S84, "7.2.2",'Project Management'!K4:K84,"No")</f>
        <v>0</v>
      </c>
      <c r="Q11" s="3">
        <f>COUNTIFS('Project Management'!$S4:$S84, "7.2.2",'Project Management'!L4:L84,"No")</f>
        <v>0</v>
      </c>
    </row>
    <row r="12" spans="1:17" ht="25.5" x14ac:dyDescent="0.2">
      <c r="A12" s="4" t="s">
        <v>122</v>
      </c>
      <c r="B12" s="3">
        <f>COUNTIF('Project Initiation'!S4:S11,"7.2.3")</f>
        <v>0</v>
      </c>
      <c r="C12" s="3">
        <f>COUNTIFS('Project Initiation'!S4:S11, "7.2.3",'Project Initiation'!H4:H11,"Yes")</f>
        <v>0</v>
      </c>
      <c r="D12" s="3">
        <f>COUNTIFS('Project Initiation'!$S4:$S11, "7.2.3",'Project Initiation'!H4:H11,"No")</f>
        <v>0</v>
      </c>
      <c r="E12" s="3">
        <f>COUNTIFS('Project Initiation'!$S4:$S11, "7.2.3",'Project Initiation'!I4:I11,"No")</f>
        <v>0</v>
      </c>
      <c r="F12" s="3">
        <f>COUNTIFS('Project Initiation'!$S4:$S11, "7.2.3",'Project Initiation'!J4:J11,"No")</f>
        <v>0</v>
      </c>
      <c r="G12" s="3">
        <f>COUNTIFS('Project Initiation'!$S4:$S11, "7.2.3",'Project Initiation'!K4:K11,"No")</f>
        <v>0</v>
      </c>
      <c r="H12" s="3">
        <f>COUNTIFS('Project Initiation'!$S4:$S11, "7.2.3",'Project Initiation'!L4:L11,"No")</f>
        <v>0</v>
      </c>
      <c r="I12" s="5"/>
      <c r="J12" s="4" t="s">
        <v>122</v>
      </c>
      <c r="K12" s="3">
        <f>COUNTIF('Project Management'!S4:S84,"7.2.3")</f>
        <v>0</v>
      </c>
      <c r="L12" s="3">
        <f>COUNTIFS('Project Management'!S4:S84, "7.2.3",'Project Management'!H4:H84,"Yes")</f>
        <v>0</v>
      </c>
      <c r="M12" s="3">
        <f>COUNTIFS('Project Management'!$S4:$S84, "7.2.3",'Project Management'!H4:H84,"No")</f>
        <v>0</v>
      </c>
      <c r="N12" s="3">
        <f>COUNTIFS('Project Management'!$S4:$S84, "7.2.3",'Project Management'!I4:I84,"No")</f>
        <v>0</v>
      </c>
      <c r="O12" s="3">
        <f>COUNTIFS('Project Management'!$S4:$S84, "7.2.3",'Project Management'!J4:J84,"No")</f>
        <v>0</v>
      </c>
      <c r="P12" s="3">
        <f>COUNTIFS('Project Management'!$S4:$S84, "7.2.3",'Project Management'!K4:K84,"No")</f>
        <v>0</v>
      </c>
      <c r="Q12" s="3">
        <f>COUNTIFS('Project Management'!$S4:$S84, "7.2.3",'Project Management'!L4:L84,"No")</f>
        <v>0</v>
      </c>
    </row>
    <row r="13" spans="1:17" ht="25.5" x14ac:dyDescent="0.2">
      <c r="A13" s="4" t="s">
        <v>123</v>
      </c>
      <c r="B13" s="3">
        <f>COUNTIF('Project Initiation'!S4:S11,"7.3.1")</f>
        <v>0</v>
      </c>
      <c r="C13" s="3">
        <f>COUNTIFS('Project Initiation'!S4:S11, "7.3.1",'Project Initiation'!H4:H11,"Yes")</f>
        <v>0</v>
      </c>
      <c r="D13" s="3">
        <f>COUNTIFS('Project Initiation'!$S4:$S11, "7.3.1",'Project Initiation'!H4:H11,"No")</f>
        <v>0</v>
      </c>
      <c r="E13" s="3">
        <f>COUNTIFS('Project Initiation'!$S4:$S11, "7.3.1",'Project Initiation'!I4:I11,"No")</f>
        <v>0</v>
      </c>
      <c r="F13" s="3">
        <f>COUNTIFS('Project Initiation'!$S4:$S11, "7.3.1",'Project Initiation'!J4:J11,"No")</f>
        <v>0</v>
      </c>
      <c r="G13" s="3">
        <f>COUNTIFS('Project Initiation'!$S4:$S11, "7.3.1",'Project Initiation'!K4:K11,"No")</f>
        <v>0</v>
      </c>
      <c r="H13" s="3">
        <f>COUNTIFS('Project Initiation'!$S4:$S11, "7.3.1",'Project Initiation'!L4:L11,"No")</f>
        <v>0</v>
      </c>
      <c r="I13" s="5"/>
      <c r="J13" s="4" t="s">
        <v>123</v>
      </c>
      <c r="K13" s="3">
        <f>COUNTIF('Project Management'!S4:S84,"7.3.1")</f>
        <v>0</v>
      </c>
      <c r="L13" s="3">
        <f>COUNTIFS('Project Management'!S4:S84, "7.3.1",'Project Management'!H4:H84,"Yes")</f>
        <v>0</v>
      </c>
      <c r="M13" s="3">
        <f>COUNTIFS('Project Management'!$S4:$S84, "7.3.1",'Project Management'!H4:H84,"No")</f>
        <v>0</v>
      </c>
      <c r="N13" s="3">
        <f>COUNTIFS('Project Management'!$S4:$S84, "7.3.1",'Project Management'!I4:I84,"No")</f>
        <v>0</v>
      </c>
      <c r="O13" s="3">
        <f>COUNTIFS('Project Management'!$S4:$S84, "7.3.1",'Project Management'!J4:J84,"No")</f>
        <v>0</v>
      </c>
      <c r="P13" s="3">
        <f>COUNTIFS('Project Management'!$S4:$S84, "7.3.1",'Project Management'!K4:K84,"No")</f>
        <v>0</v>
      </c>
      <c r="Q13" s="3">
        <f>COUNTIFS('Project Management'!$S4:$S84, "7.3.1",'Project Management'!L4:L84,"No")</f>
        <v>0</v>
      </c>
    </row>
    <row r="14" spans="1:17" x14ac:dyDescent="0.2">
      <c r="A14" s="4" t="s">
        <v>124</v>
      </c>
      <c r="B14" s="3">
        <f>COUNTIF('Project Initiation'!S4:S11,"7.3.2")</f>
        <v>0</v>
      </c>
      <c r="C14" s="3">
        <f>COUNTIFS('Project Initiation'!S4:S11, "7.3.2",'Project Initiation'!H4:H11,"Yes")</f>
        <v>0</v>
      </c>
      <c r="D14" s="3">
        <f>COUNTIFS('Project Initiation'!$S4:$S11, "7.3.2",'Project Initiation'!H4:H11,"No")</f>
        <v>0</v>
      </c>
      <c r="E14" s="3">
        <f>COUNTIFS('Project Initiation'!$S4:$S11, "7.3.2",'Project Initiation'!I4:I11,"No")</f>
        <v>0</v>
      </c>
      <c r="F14" s="3">
        <f>COUNTIFS('Project Initiation'!$S4:$S11, "7.3.2",'Project Initiation'!J4:J11,"No")</f>
        <v>0</v>
      </c>
      <c r="G14" s="3">
        <f>COUNTIFS('Project Initiation'!$S4:$S11, "7.3.2",'Project Initiation'!K4:K11,"No")</f>
        <v>0</v>
      </c>
      <c r="H14" s="3">
        <f>COUNTIFS('Project Initiation'!$S4:$S11, "7.3.2",'Project Initiation'!L4:L11,"No")</f>
        <v>0</v>
      </c>
      <c r="I14" s="5"/>
      <c r="J14" s="4" t="s">
        <v>124</v>
      </c>
      <c r="K14" s="3">
        <f>COUNTIF('Project Management'!S4:S84,"7.3.2")</f>
        <v>0</v>
      </c>
      <c r="L14" s="3">
        <f>COUNTIFS('Project Management'!S4:S84, "7.3.2",'Project Management'!H4:H84,"Yes")</f>
        <v>0</v>
      </c>
      <c r="M14" s="3">
        <f>COUNTIFS('Project Management'!$S4:$S84, "7.3.2",'Project Management'!H4:H84,"No")</f>
        <v>0</v>
      </c>
      <c r="N14" s="3">
        <f>COUNTIFS('Project Management'!$S4:$S84, "7.3.2",'Project Management'!I4:I84,"No")</f>
        <v>0</v>
      </c>
      <c r="O14" s="3">
        <f>COUNTIFS('Project Management'!$S4:$S84, "7.3.2",'Project Management'!J4:J84,"No")</f>
        <v>0</v>
      </c>
      <c r="P14" s="3">
        <f>COUNTIFS('Project Management'!$S4:$S84, "7.3.2",'Project Management'!K4:K84,"No")</f>
        <v>0</v>
      </c>
      <c r="Q14" s="3">
        <f>COUNTIFS('Project Management'!$S4:$S84, "7.3.2",'Project Management'!L4:L84,"No")</f>
        <v>0</v>
      </c>
    </row>
    <row r="15" spans="1:17" ht="25.5" x14ac:dyDescent="0.2">
      <c r="A15" s="4" t="s">
        <v>125</v>
      </c>
      <c r="B15" s="3">
        <f>COUNTIF('Project Initiation'!S4:S11,"7.3.3")</f>
        <v>0</v>
      </c>
      <c r="C15" s="3">
        <f>COUNTIFS('Project Initiation'!S4:S11, "7.3.3",'Project Initiation'!H4:H11,"Yes")</f>
        <v>0</v>
      </c>
      <c r="D15" s="3">
        <f>COUNTIFS('Project Initiation'!$S4:$S11, "7.3.3",'Project Initiation'!H4:H11,"No")</f>
        <v>0</v>
      </c>
      <c r="E15" s="3">
        <f>COUNTIFS('Project Initiation'!$S4:$S11, "7.3.3",'Project Initiation'!I4:I11,"No")</f>
        <v>0</v>
      </c>
      <c r="F15" s="3">
        <f>COUNTIFS('Project Initiation'!$S4:$S11, "7.3.3",'Project Initiation'!J4:J11,"No")</f>
        <v>0</v>
      </c>
      <c r="G15" s="3">
        <f>COUNTIFS('Project Initiation'!$S4:$S11, "7.3.3",'Project Initiation'!K4:K11,"No")</f>
        <v>0</v>
      </c>
      <c r="H15" s="3">
        <f>COUNTIFS('Project Initiation'!$S4:$S11, "7.3.3",'Project Initiation'!L4:L11,"No")</f>
        <v>0</v>
      </c>
      <c r="I15" s="5"/>
      <c r="J15" s="4" t="s">
        <v>125</v>
      </c>
      <c r="K15" s="3">
        <f>COUNTIF('Project Management'!S4:S84,"7.3.3")</f>
        <v>0</v>
      </c>
      <c r="L15" s="3">
        <f>COUNTIFS('Project Management'!S4:S84, "7.3.3",'Project Management'!H4:H84,"Yes")</f>
        <v>0</v>
      </c>
      <c r="M15" s="3">
        <f>COUNTIFS('Project Management'!$S4:$S84, "7.3.3",'Project Management'!H4:H84,"No")</f>
        <v>0</v>
      </c>
      <c r="N15" s="3">
        <f>COUNTIFS('Project Management'!$S4:$S84, "7.3.3",'Project Management'!I4:I84,"No")</f>
        <v>0</v>
      </c>
      <c r="O15" s="3">
        <f>COUNTIFS('Project Management'!$S4:$S84, "7.3.3",'Project Management'!J4:J84,"No")</f>
        <v>0</v>
      </c>
      <c r="P15" s="3">
        <f>COUNTIFS('Project Management'!$S4:$S84, "7.3.3",'Project Management'!K4:K84,"No")</f>
        <v>0</v>
      </c>
      <c r="Q15" s="3">
        <f>COUNTIFS('Project Management'!$S4:$S84, "7.3.3",'Project Management'!L4:L84,"No")</f>
        <v>0</v>
      </c>
    </row>
    <row r="16" spans="1:17" ht="25.5" x14ac:dyDescent="0.2">
      <c r="A16" s="4" t="s">
        <v>126</v>
      </c>
      <c r="B16" s="3">
        <f>COUNTIF('Project Initiation'!S4:S11,"7.3.4")</f>
        <v>0</v>
      </c>
      <c r="C16" s="3">
        <f>COUNTIFS('Project Initiation'!S4:S11, "7.3.4",'Project Initiation'!H4:H11,"Yes")</f>
        <v>0</v>
      </c>
      <c r="D16" s="3">
        <f>COUNTIFS('Project Initiation'!$S4:$S11, "7.3.4",'Project Initiation'!H4:H11,"No")</f>
        <v>0</v>
      </c>
      <c r="E16" s="3">
        <f>COUNTIFS('Project Initiation'!$S4:$S11, "7.3.4",'Project Initiation'!I4:I11,"No")</f>
        <v>0</v>
      </c>
      <c r="F16" s="3">
        <f>COUNTIFS('Project Initiation'!$S4:$S11, "7.3.4",'Project Initiation'!J4:J11,"No")</f>
        <v>0</v>
      </c>
      <c r="G16" s="3">
        <f>COUNTIFS('Project Initiation'!$S4:$S11, "7.3.4",'Project Initiation'!K4:K11,"No")</f>
        <v>0</v>
      </c>
      <c r="H16" s="3">
        <f>COUNTIFS('Project Initiation'!$S4:$S11, "7.3.4",'Project Initiation'!L4:L11,"No")</f>
        <v>0</v>
      </c>
      <c r="I16" s="5"/>
      <c r="J16" s="4" t="s">
        <v>126</v>
      </c>
      <c r="K16" s="3">
        <f>COUNTIF('Project Management'!S4:S84,"7.3.4")</f>
        <v>0</v>
      </c>
      <c r="L16" s="3">
        <f>COUNTIFS('Project Management'!S4:S84, "7.3.4",'Project Management'!H4:H84,"Yes")</f>
        <v>0</v>
      </c>
      <c r="M16" s="3">
        <f>COUNTIFS('Project Management'!$S4:$S84, "7.3.4",'Project Management'!H4:H84,"No")</f>
        <v>0</v>
      </c>
      <c r="N16" s="3">
        <f>COUNTIFS('Project Management'!$S4:$S84, "7.3.4",'Project Management'!I4:I84,"No")</f>
        <v>0</v>
      </c>
      <c r="O16" s="3">
        <f>COUNTIFS('Project Management'!$S4:$S84, "7.3.4",'Project Management'!J4:J84,"No")</f>
        <v>0</v>
      </c>
      <c r="P16" s="3">
        <f>COUNTIFS('Project Management'!$S4:$S84, "7.3.4",'Project Management'!K4:K84,"No")</f>
        <v>0</v>
      </c>
      <c r="Q16" s="3">
        <f>COUNTIFS('Project Management'!$S4:$S84, "7.3.4",'Project Management'!L4:L84,"No")</f>
        <v>0</v>
      </c>
    </row>
    <row r="17" spans="1:17" ht="25.5" x14ac:dyDescent="0.2">
      <c r="A17" s="4" t="s">
        <v>127</v>
      </c>
      <c r="B17" s="3">
        <f>COUNTIF('Project Initiation'!S4:S11,"7.3.5")</f>
        <v>0</v>
      </c>
      <c r="C17" s="3">
        <f>COUNTIFS('Project Initiation'!S4:S11, "7.3.5",'Project Initiation'!H4:H11,"Yes")</f>
        <v>0</v>
      </c>
      <c r="D17" s="3">
        <f>COUNTIFS('Project Initiation'!$S4:$S11, "7.3.5",'Project Initiation'!H4:H11,"No")</f>
        <v>0</v>
      </c>
      <c r="E17" s="3">
        <f>COUNTIFS('Project Initiation'!$S4:$S11, "7.3.5",'Project Initiation'!I4:I11,"No")</f>
        <v>0</v>
      </c>
      <c r="F17" s="3">
        <f>COUNTIFS('Project Initiation'!$S4:$S11, "7.3.5",'Project Initiation'!J4:J11,"No")</f>
        <v>0</v>
      </c>
      <c r="G17" s="3">
        <f>COUNTIFS('Project Initiation'!$S4:$S11, "7.3.5",'Project Initiation'!K4:K11,"No")</f>
        <v>0</v>
      </c>
      <c r="H17" s="3">
        <f>COUNTIFS('Project Initiation'!$S4:$S11, "7.3.5",'Project Initiation'!L4:L11,"No")</f>
        <v>0</v>
      </c>
      <c r="I17" s="5"/>
      <c r="J17" s="4" t="s">
        <v>127</v>
      </c>
      <c r="K17" s="3">
        <f>COUNTIF('Project Management'!S4:S84,"7.3.5")</f>
        <v>0</v>
      </c>
      <c r="L17" s="3">
        <f>COUNTIFS('Project Management'!S4:S84, "7.3.5",'Project Management'!H4:H84,"Yes")</f>
        <v>0</v>
      </c>
      <c r="M17" s="3">
        <f>COUNTIFS('Project Management'!$S4:$S84, "7.3.5",'Project Management'!H4:H84,"No")</f>
        <v>0</v>
      </c>
      <c r="N17" s="3">
        <f>COUNTIFS('Project Management'!$S4:$S84, "7.3.5",'Project Management'!I4:I84,"No")</f>
        <v>0</v>
      </c>
      <c r="O17" s="3">
        <f>COUNTIFS('Project Management'!$S4:$S84, "7.3.5",'Project Management'!J4:J84,"No")</f>
        <v>0</v>
      </c>
      <c r="P17" s="3">
        <f>COUNTIFS('Project Management'!$S4:$S84, "7.3.5",'Project Management'!K4:K84,"No")</f>
        <v>0</v>
      </c>
      <c r="Q17" s="3">
        <f>COUNTIFS('Project Management'!$S4:$S84, "7.3.5",'Project Management'!L4:L84,"No")</f>
        <v>0</v>
      </c>
    </row>
    <row r="18" spans="1:17" ht="25.5" x14ac:dyDescent="0.2">
      <c r="A18" s="4" t="s">
        <v>128</v>
      </c>
      <c r="B18" s="3">
        <f>COUNTIF('Project Initiation'!S4:S11,"7.3.6")</f>
        <v>0</v>
      </c>
      <c r="C18" s="3">
        <f>COUNTIFS('Project Initiation'!S4:S11, "7.3.6",'Project Initiation'!H4:H11,"Yes")</f>
        <v>0</v>
      </c>
      <c r="D18" s="3">
        <f>COUNTIFS('Project Initiation'!$S4:$S11, "7.3.6",'Project Initiation'!H4:H11,"No")</f>
        <v>0</v>
      </c>
      <c r="E18" s="3">
        <f>COUNTIFS('Project Initiation'!$S4:$S11, "7.3.6",'Project Initiation'!I4:I11,"No")</f>
        <v>0</v>
      </c>
      <c r="F18" s="3">
        <f>COUNTIFS('Project Initiation'!$S4:$S11, "7.3.6",'Project Initiation'!J4:J11,"No")</f>
        <v>0</v>
      </c>
      <c r="G18" s="3">
        <f>COUNTIFS('Project Initiation'!$S4:$S11, "7.3.6",'Project Initiation'!K4:K11,"No")</f>
        <v>0</v>
      </c>
      <c r="H18" s="3">
        <f>COUNTIFS('Project Initiation'!$S4:$S11, "7.3.6",'Project Initiation'!L4:L11,"No")</f>
        <v>0</v>
      </c>
      <c r="I18" s="5"/>
      <c r="J18" s="4" t="s">
        <v>128</v>
      </c>
      <c r="K18" s="3">
        <f>COUNTIF('Project Management'!S4:S84,"7.3.6")</f>
        <v>0</v>
      </c>
      <c r="L18" s="3">
        <f>COUNTIFS('Project Management'!S4:S84, "7.3.6",'Project Management'!H4:H84,"Yes")</f>
        <v>0</v>
      </c>
      <c r="M18" s="3">
        <f>COUNTIFS('Project Management'!$S4:$S84, "7.3.6",'Project Management'!H4:H84,"No")</f>
        <v>0</v>
      </c>
      <c r="N18" s="3">
        <f>COUNTIFS('Project Management'!$S4:$S84, "7.3.6",'Project Management'!I4:I84,"No")</f>
        <v>0</v>
      </c>
      <c r="O18" s="3">
        <f>COUNTIFS('Project Management'!$S4:$S84, "7.3.6",'Project Management'!J4:J84,"No")</f>
        <v>0</v>
      </c>
      <c r="P18" s="3">
        <f>COUNTIFS('Project Management'!$S4:$S84, "7.3.6",'Project Management'!K4:K84,"No")</f>
        <v>0</v>
      </c>
      <c r="Q18" s="3">
        <f>COUNTIFS('Project Management'!$S4:$S84, "7.3.6",'Project Management'!L4:L84,"No")</f>
        <v>0</v>
      </c>
    </row>
    <row r="19" spans="1:17" ht="25.5" x14ac:dyDescent="0.2">
      <c r="A19" s="4" t="s">
        <v>129</v>
      </c>
      <c r="B19" s="3">
        <f>COUNTIF('Project Initiation'!S4:S11,"7.3.7")</f>
        <v>0</v>
      </c>
      <c r="C19" s="3">
        <f>COUNTIFS('Project Initiation'!S4:S11, "7.3.7",'Project Initiation'!H4:H11,"Yes")</f>
        <v>0</v>
      </c>
      <c r="D19" s="3">
        <f>COUNTIFS('Project Initiation'!$S4:$S11, "7.3.7",'Project Initiation'!H4:H11,"No")</f>
        <v>0</v>
      </c>
      <c r="E19" s="3">
        <f>COUNTIFS('Project Initiation'!$S4:$S11, "7.3.7",'Project Initiation'!I4:I11,"No")</f>
        <v>0</v>
      </c>
      <c r="F19" s="3">
        <f>COUNTIFS('Project Initiation'!$S4:$S11, "7.3.7",'Project Initiation'!J4:J11,"No")</f>
        <v>0</v>
      </c>
      <c r="G19" s="3">
        <f>COUNTIFS('Project Initiation'!$S4:$S11, "7.3.7",'Project Initiation'!K4:K11,"No")</f>
        <v>0</v>
      </c>
      <c r="H19" s="3">
        <f>COUNTIFS('Project Initiation'!$S4:$S11, "7.3.7",'Project Initiation'!L4:L11,"No")</f>
        <v>0</v>
      </c>
      <c r="I19" s="5"/>
      <c r="J19" s="4" t="s">
        <v>129</v>
      </c>
      <c r="K19" s="3">
        <f>COUNTIF('Project Management'!S4:S84,"7.3.7")</f>
        <v>0</v>
      </c>
      <c r="L19" s="3">
        <f>COUNTIFS('Project Management'!S4:S84, "7.3.7",'Project Management'!H4:H84,"Yes")</f>
        <v>0</v>
      </c>
      <c r="M19" s="3">
        <f>COUNTIFS('Project Management'!$S4:$S84, "7.3.7",'Project Management'!H4:H84,"No")</f>
        <v>0</v>
      </c>
      <c r="N19" s="3">
        <f>COUNTIFS('Project Management'!$S4:$S84, "7.3.7",'Project Management'!I4:I84,"No")</f>
        <v>0</v>
      </c>
      <c r="O19" s="3">
        <f>COUNTIFS('Project Management'!$S4:$S84, "7.3.7",'Project Management'!J4:J84,"No")</f>
        <v>0</v>
      </c>
      <c r="P19" s="3">
        <f>COUNTIFS('Project Management'!$S4:$S84, "7.3.7",'Project Management'!K4:K84,"No")</f>
        <v>0</v>
      </c>
      <c r="Q19" s="3">
        <f>COUNTIFS('Project Management'!$S4:$S84, "7.3.7",'Project Management'!L4:L84,"No")</f>
        <v>0</v>
      </c>
    </row>
    <row r="20" spans="1:17" ht="25.5" x14ac:dyDescent="0.2">
      <c r="A20" s="4" t="s">
        <v>130</v>
      </c>
      <c r="B20" s="3">
        <f>COUNTIF('Project Initiation'!S4:S11,"7.5.1")</f>
        <v>0</v>
      </c>
      <c r="C20" s="3">
        <f>COUNTIFS('Project Initiation'!S4:S11, "7.5.1",'Project Initiation'!H4:H11,"Yes")</f>
        <v>0</v>
      </c>
      <c r="D20" s="3">
        <f>COUNTIFS('Project Initiation'!$S4:$S11, "7.5.1",'Project Initiation'!H4:H11,"No")</f>
        <v>0</v>
      </c>
      <c r="E20" s="3">
        <f>COUNTIFS('Project Initiation'!$S4:$S11, "7.5.1",'Project Initiation'!I4:I11,"No")</f>
        <v>0</v>
      </c>
      <c r="F20" s="3">
        <f>COUNTIFS('Project Initiation'!$S4:$S11, "7.5.1",'Project Initiation'!J4:J11,"No")</f>
        <v>0</v>
      </c>
      <c r="G20" s="3">
        <f>COUNTIFS('Project Initiation'!$S4:$S11, "7.5.1",'Project Initiation'!K4:K11,"No")</f>
        <v>0</v>
      </c>
      <c r="H20" s="3">
        <f>COUNTIFS('Project Initiation'!$S4:$S11, "7.5.1",'Project Initiation'!L4:L11,"No")</f>
        <v>0</v>
      </c>
      <c r="I20" s="5"/>
      <c r="J20" s="4" t="s">
        <v>130</v>
      </c>
      <c r="K20" s="3">
        <f>COUNTIF('Project Management'!S4:S84,"7.5.1")</f>
        <v>0</v>
      </c>
      <c r="L20" s="3">
        <f>COUNTIFS('Project Management'!S4:S84, "7.5.1",'Project Management'!H4:H84,"Yes")</f>
        <v>0</v>
      </c>
      <c r="M20" s="3">
        <f>COUNTIFS('Project Management'!$S4:$S84, "7.5.1",'Project Management'!H4:H84,"No")</f>
        <v>0</v>
      </c>
      <c r="N20" s="3">
        <f>COUNTIFS('Project Management'!$S4:$S84, "7.5.1",'Project Management'!I4:I84,"No")</f>
        <v>0</v>
      </c>
      <c r="O20" s="3">
        <f>COUNTIFS('Project Management'!$S4:$S84, "7.5.1",'Project Management'!J4:J84,"No")</f>
        <v>0</v>
      </c>
      <c r="P20" s="3">
        <f>COUNTIFS('Project Management'!$S4:$S84, "7.5.1",'Project Management'!K4:K84,"No")</f>
        <v>0</v>
      </c>
      <c r="Q20" s="3">
        <f>COUNTIFS('Project Management'!$S4:$S84, "7.5.1",'Project Management'!L4:L84,"No")</f>
        <v>0</v>
      </c>
    </row>
    <row r="21" spans="1:17" ht="38.25" x14ac:dyDescent="0.2">
      <c r="A21" s="4" t="s">
        <v>131</v>
      </c>
      <c r="B21" s="3">
        <f>COUNTIF('Project Initiation'!S4:S11,"7.5.2")</f>
        <v>0</v>
      </c>
      <c r="C21" s="3">
        <f>COUNTIFS('Project Initiation'!S4:S11, "7.5.2",'Project Initiation'!H4:H11,"Yes")</f>
        <v>0</v>
      </c>
      <c r="D21" s="3">
        <f>COUNTIFS('Project Initiation'!$S4:$S11, "7.5.2",'Project Initiation'!H4:H11,"No")</f>
        <v>0</v>
      </c>
      <c r="E21" s="3">
        <f>COUNTIFS('Project Initiation'!$S4:$S11, "7.5.2",'Project Initiation'!I4:I11,"No")</f>
        <v>0</v>
      </c>
      <c r="F21" s="3">
        <f>COUNTIFS('Project Initiation'!$S4:$S11, "7.5.2",'Project Initiation'!J4:J11,"No")</f>
        <v>0</v>
      </c>
      <c r="G21" s="3">
        <f>COUNTIFS('Project Initiation'!$S4:$S11, "7.5.2",'Project Initiation'!K4:K11,"No")</f>
        <v>0</v>
      </c>
      <c r="H21" s="3">
        <f>COUNTIFS('Project Initiation'!$S4:$S11, "7.5.2",'Project Initiation'!L4:L11,"No")</f>
        <v>0</v>
      </c>
      <c r="I21" s="5"/>
      <c r="J21" s="4" t="s">
        <v>131</v>
      </c>
      <c r="K21" s="3">
        <f>COUNTIF('Project Management'!S4:S84,"7.5.2")</f>
        <v>0</v>
      </c>
      <c r="L21" s="3">
        <f>COUNTIFS('Project Management'!S4:S84, "7.5.2",'Project Management'!H4:H84,"Yes")</f>
        <v>0</v>
      </c>
      <c r="M21" s="3">
        <f>COUNTIFS('Project Management'!$S4:$S84, "7.5.2",'Project Management'!H4:H84,"No")</f>
        <v>0</v>
      </c>
      <c r="N21" s="3">
        <f>COUNTIFS('Project Management'!$S4:$S84, "7.5.2",'Project Management'!I4:I84,"No")</f>
        <v>0</v>
      </c>
      <c r="O21" s="3">
        <f>COUNTIFS('Project Management'!$S4:$S84, "7.5.2",'Project Management'!J4:J84,"No")</f>
        <v>0</v>
      </c>
      <c r="P21" s="3">
        <f>COUNTIFS('Project Management'!$S4:$S84, "7.5.2",'Project Management'!K4:K84,"No")</f>
        <v>0</v>
      </c>
      <c r="Q21" s="3">
        <f>COUNTIFS('Project Management'!$S4:$S84, "7.5.2",'Project Management'!L4:L84,"No")</f>
        <v>0</v>
      </c>
    </row>
    <row r="22" spans="1:17" ht="25.5" x14ac:dyDescent="0.2">
      <c r="A22" s="4" t="s">
        <v>132</v>
      </c>
      <c r="B22" s="3">
        <f>COUNTIF('Project Initiation'!S4:S11,"7.5.3")</f>
        <v>0</v>
      </c>
      <c r="C22" s="3">
        <f>COUNTIFS('Project Initiation'!S4:S11, "7.5.3",'Project Initiation'!H4:H11,"Yes")</f>
        <v>0</v>
      </c>
      <c r="D22" s="3">
        <f>COUNTIFS('Project Initiation'!$S4:$S11, "7.5.3",'Project Initiation'!H4:H11,"No")</f>
        <v>0</v>
      </c>
      <c r="E22" s="3">
        <f>COUNTIFS('Project Initiation'!$S4:$S11, "7.5.3",'Project Initiation'!I4:I11,"No")</f>
        <v>0</v>
      </c>
      <c r="F22" s="3">
        <f>COUNTIFS('Project Initiation'!$S4:$S11, "7.5.3",'Project Initiation'!J4:J11,"No")</f>
        <v>0</v>
      </c>
      <c r="G22" s="3">
        <f>COUNTIFS('Project Initiation'!$S4:$S11, "7.5.3",'Project Initiation'!K4:K11,"No")</f>
        <v>0</v>
      </c>
      <c r="H22" s="3">
        <f>COUNTIFS('Project Initiation'!$S4:$S11, "7.5.3",'Project Initiation'!L4:L11,"No")</f>
        <v>0</v>
      </c>
      <c r="I22" s="5"/>
      <c r="J22" s="4" t="s">
        <v>132</v>
      </c>
      <c r="K22" s="3">
        <f>COUNTIF('Project Management'!S4:S84,"7.5.3")</f>
        <v>0</v>
      </c>
      <c r="L22" s="3">
        <f>COUNTIFS('Project Management'!S4:S84, "7.5.3",'Project Management'!H4:H84,"Yes")</f>
        <v>0</v>
      </c>
      <c r="M22" s="3">
        <f>COUNTIFS('Project Management'!$S4:$S84, "7.5.3",'Project Management'!H4:H84,"No")</f>
        <v>0</v>
      </c>
      <c r="N22" s="3">
        <f>COUNTIFS('Project Management'!$S4:$S84, "7.5.3",'Project Management'!I4:I84,"No")</f>
        <v>0</v>
      </c>
      <c r="O22" s="3">
        <f>COUNTIFS('Project Management'!$S4:$S84, "7.5.3",'Project Management'!J4:J84,"No")</f>
        <v>0</v>
      </c>
      <c r="P22" s="3">
        <f>COUNTIFS('Project Management'!$S4:$S84, "7.5.3",'Project Management'!K4:K84,"No")</f>
        <v>0</v>
      </c>
      <c r="Q22" s="3">
        <f>COUNTIFS('Project Management'!$S4:$S84, "7.5.3",'Project Management'!L4:L84,"No")</f>
        <v>0</v>
      </c>
    </row>
    <row r="23" spans="1:17" x14ac:dyDescent="0.2">
      <c r="A23" s="4" t="s">
        <v>133</v>
      </c>
      <c r="B23" s="3">
        <f>COUNTIF('Project Initiation'!S4:S11,"7.5.4")</f>
        <v>0</v>
      </c>
      <c r="C23" s="3">
        <f>COUNTIFS('Project Initiation'!S4:S11, "7.5.4",'Project Initiation'!H4:H11,"Yes")</f>
        <v>0</v>
      </c>
      <c r="D23" s="3">
        <f>COUNTIFS('Project Initiation'!$S4:$S11, "7.5.4",'Project Initiation'!H4:H11,"No")</f>
        <v>0</v>
      </c>
      <c r="E23" s="3">
        <f>COUNTIFS('Project Initiation'!$S4:$S11, "7.5.4",'Project Initiation'!I4:I11,"No")</f>
        <v>0</v>
      </c>
      <c r="F23" s="3">
        <f>COUNTIFS('Project Initiation'!$S4:$S11, "7.5.4",'Project Initiation'!J4:J11,"No")</f>
        <v>0</v>
      </c>
      <c r="G23" s="3">
        <f>COUNTIFS('Project Initiation'!$S4:$S11, "7.5.4",'Project Initiation'!K4:K11,"No")</f>
        <v>0</v>
      </c>
      <c r="H23" s="3">
        <f>COUNTIFS('Project Initiation'!$S4:$S11, "7.5.4",'Project Initiation'!L4:L11,"No")</f>
        <v>0</v>
      </c>
      <c r="I23" s="5"/>
      <c r="J23" s="4" t="s">
        <v>133</v>
      </c>
      <c r="K23" s="3">
        <f>COUNTIF('Project Management'!S4:S84,"7.5.4")</f>
        <v>1</v>
      </c>
      <c r="L23" s="3">
        <f>COUNTIFS('Project Management'!S4:S84, "7.5.4",'Project Management'!H4:H84,"Yes")</f>
        <v>1</v>
      </c>
      <c r="M23" s="3">
        <f>COUNTIFS('Project Management'!$S4:$S84, "7.5.4",'Project Management'!H4:H84,"No")</f>
        <v>0</v>
      </c>
      <c r="N23" s="3">
        <f>COUNTIFS('Project Management'!$S4:$S84, "7.5.4",'Project Management'!I4:I84,"No")</f>
        <v>0</v>
      </c>
      <c r="O23" s="3">
        <f>COUNTIFS('Project Management'!$S4:$S84, "7.5.4",'Project Management'!J4:J84,"No")</f>
        <v>0</v>
      </c>
      <c r="P23" s="3">
        <f>COUNTIFS('Project Management'!$S4:$S84, "7.5.4",'Project Management'!K4:K84,"No")</f>
        <v>0</v>
      </c>
      <c r="Q23" s="3">
        <f>COUNTIFS('Project Management'!$S4:$S84, "7.5.4",'Project Management'!L4:L84,"No")</f>
        <v>0</v>
      </c>
    </row>
    <row r="24" spans="1:17" ht="25.5" x14ac:dyDescent="0.2">
      <c r="A24" s="4" t="s">
        <v>134</v>
      </c>
      <c r="B24" s="3">
        <f>COUNTIF('Project Initiation'!S4:S11,"7.5.5")</f>
        <v>0</v>
      </c>
      <c r="C24" s="3">
        <f>COUNTIFS('Project Initiation'!S4:S11, "7.5.5",'Project Initiation'!H4:H11,"Yes")</f>
        <v>0</v>
      </c>
      <c r="D24" s="3">
        <f>COUNTIFS('Project Initiation'!$S4:$S11, "7.5.5",'Project Initiation'!H4:H11,"No")</f>
        <v>0</v>
      </c>
      <c r="E24" s="3">
        <f>COUNTIFS('Project Initiation'!$S4:$S11, "7.5.5",'Project Initiation'!I4:I11,"No")</f>
        <v>0</v>
      </c>
      <c r="F24" s="3">
        <f>COUNTIFS('Project Initiation'!$S4:$S11, "7.5.5",'Project Initiation'!J4:J11,"No")</f>
        <v>0</v>
      </c>
      <c r="G24" s="3">
        <f>COUNTIFS('Project Initiation'!$S4:$S11, "7.5.5",'Project Initiation'!K4:K11,"No")</f>
        <v>0</v>
      </c>
      <c r="H24" s="3">
        <f>COUNTIFS('Project Initiation'!$S4:$S11, "7.5.5",'Project Initiation'!L4:L11,"No")</f>
        <v>0</v>
      </c>
      <c r="I24" s="5"/>
      <c r="J24" s="4" t="s">
        <v>134</v>
      </c>
      <c r="K24" s="3">
        <f>COUNTIF('Project Management'!S4:S84,"7.5.5")</f>
        <v>0</v>
      </c>
      <c r="L24" s="3">
        <f>COUNTIFS('Project Management'!S4:S84, "7.5.5",'Project Management'!H4:H84,"Yes")</f>
        <v>0</v>
      </c>
      <c r="M24" s="3">
        <f>COUNTIFS('Project Management'!$S4:$S84, "7.5.5",'Project Management'!H4:H84,"No")</f>
        <v>0</v>
      </c>
      <c r="N24" s="3">
        <f>COUNTIFS('Project Management'!$S4:$S84, "7.5.5",'Project Management'!I4:I84,"No")</f>
        <v>0</v>
      </c>
      <c r="O24" s="3">
        <f>COUNTIFS('Project Management'!$S4:$S84, "7.5.5",'Project Management'!J4:J84,"No")</f>
        <v>0</v>
      </c>
      <c r="P24" s="3">
        <f>COUNTIFS('Project Management'!$S4:$S84, "7.5.5",'Project Management'!K4:K84,"No")</f>
        <v>0</v>
      </c>
      <c r="Q24" s="3">
        <f>COUNTIFS('Project Management'!$S4:$S84, "7.5.5",'Project Management'!L4:L84,"No")</f>
        <v>0</v>
      </c>
    </row>
    <row r="25" spans="1:17" ht="25.5" x14ac:dyDescent="0.2">
      <c r="A25" s="4" t="s">
        <v>135</v>
      </c>
      <c r="B25" s="3">
        <f>COUNTIF('Project Initiation'!S4:S11,"7.6")</f>
        <v>0</v>
      </c>
      <c r="C25" s="3">
        <f>COUNTIFS('Project Initiation'!S4:S11, "7.6",'Project Initiation'!H4:H11,"Yes")</f>
        <v>0</v>
      </c>
      <c r="D25" s="10">
        <f>COUNTIFS('Project Initiation'!$S4:$S11,"7.6",'Project Initiation'!H4:H11,"No")</f>
        <v>0</v>
      </c>
      <c r="E25" s="10">
        <f>COUNTIFS('Project Initiation'!$S4:$S11,"7.6",'Project Initiation'!I4:I11,"No")</f>
        <v>0</v>
      </c>
      <c r="F25" s="10">
        <f>COUNTIFS('Project Initiation'!$S4:$S11,"7.6",'Project Initiation'!J4:J11,"No")</f>
        <v>0</v>
      </c>
      <c r="G25" s="10">
        <f>COUNTIFS('Project Initiation'!$S4:$S11,"7.6",'Project Initiation'!K4:K11,"No")</f>
        <v>0</v>
      </c>
      <c r="H25" s="10">
        <f>COUNTIFS('Project Initiation'!$S4:$S11,"7.6",'Project Initiation'!L4:L11,"No")</f>
        <v>0</v>
      </c>
      <c r="I25" s="5"/>
      <c r="J25" s="4" t="s">
        <v>135</v>
      </c>
      <c r="K25" s="3">
        <f>COUNTIF('Project Management'!S4:S84,"7.6")</f>
        <v>0</v>
      </c>
      <c r="L25" s="3">
        <f>COUNTIFS('Project Management'!S4:S84, "7.6",'Project Management'!H4:H84,"Yes")</f>
        <v>0</v>
      </c>
      <c r="M25" s="3">
        <f>COUNTIFS('Project Management'!$S4:$S84, "7.6",'Project Management'!H4:H84,"No")</f>
        <v>0</v>
      </c>
      <c r="N25" s="3">
        <f>COUNTIFS('Project Management'!$S4:$S84, "7.6",'Project Management'!I4:I84,"No")</f>
        <v>0</v>
      </c>
      <c r="O25" s="3">
        <f>COUNTIFS('Project Management'!$S4:$S84, "7.6",'Project Management'!J4:J84,"No")</f>
        <v>0</v>
      </c>
      <c r="P25" s="3">
        <f>COUNTIFS('Project Management'!$S4:$S84, "7.6",'Project Management'!K4:K84,"No")</f>
        <v>0</v>
      </c>
      <c r="Q25" s="3">
        <f>COUNTIFS('Project Management'!$S4:$S84, "7.6",'Project Management'!L4:L84,"No")</f>
        <v>0</v>
      </c>
    </row>
    <row r="26" spans="1:17" ht="38.25" x14ac:dyDescent="0.2">
      <c r="A26" s="4" t="s">
        <v>136</v>
      </c>
      <c r="B26" s="3">
        <f>COUNTIF('Project Initiation'!S4:S11,"8.1")</f>
        <v>0</v>
      </c>
      <c r="C26" s="3">
        <f>COUNTIFS('Project Initiation'!S4:S11, "8.1",'Project Initiation'!H4:H11,"Yes")</f>
        <v>0</v>
      </c>
      <c r="D26" s="3">
        <f>COUNTIFS('Project Initiation'!$S4:$S11, "8.1",'Project Initiation'!H4:H11,"No")</f>
        <v>0</v>
      </c>
      <c r="E26" s="3">
        <f>COUNTIFS('Project Initiation'!$S4:$S11, "8.1",'Project Initiation'!I4:I11,"No")</f>
        <v>0</v>
      </c>
      <c r="F26" s="3">
        <f>COUNTIFS('Project Initiation'!$S4:$S11, "8.1",'Project Initiation'!J4:J11,"No")</f>
        <v>0</v>
      </c>
      <c r="G26" s="3">
        <f>COUNTIFS('Project Initiation'!$S4:$S11, "8.1",'Project Initiation'!K4:K11,"No")</f>
        <v>0</v>
      </c>
      <c r="H26" s="3">
        <f>COUNTIFS('Project Initiation'!$S4:$S11, "8.1",'Project Initiation'!L4:L11,"No")</f>
        <v>0</v>
      </c>
      <c r="I26" s="5"/>
      <c r="J26" s="4" t="s">
        <v>136</v>
      </c>
      <c r="K26" s="3">
        <f>COUNTIF('Project Management'!S4:S84,"8.1")</f>
        <v>0</v>
      </c>
      <c r="L26" s="3">
        <f>COUNTIFS('Project Management'!S4:S84, "8.1",'Project Management'!H4:H84,"Yes")</f>
        <v>0</v>
      </c>
      <c r="M26" s="3">
        <f>COUNTIFS('Project Management'!$S4:$S84, "8.1",'Project Management'!H4:H84,"No")</f>
        <v>0</v>
      </c>
      <c r="N26" s="3">
        <f>COUNTIFS('Project Management'!$S4:$S84, "8.1",'Project Management'!I4:I84,"No")</f>
        <v>0</v>
      </c>
      <c r="O26" s="3">
        <f>COUNTIFS('Project Management'!$S4:$S84, "8.1",'Project Management'!J4:J84,"No")</f>
        <v>0</v>
      </c>
      <c r="P26" s="3">
        <f>COUNTIFS('Project Management'!$S4:$S84, "8.1",'Project Management'!K4:K84,"No")</f>
        <v>0</v>
      </c>
      <c r="Q26" s="3">
        <f>COUNTIFS('Project Management'!$S4:$S84, "8.1",'Project Management'!L4:L84,"No")</f>
        <v>0</v>
      </c>
    </row>
    <row r="27" spans="1:17" ht="25.5" x14ac:dyDescent="0.2">
      <c r="A27" s="4" t="s">
        <v>137</v>
      </c>
      <c r="B27" s="3">
        <f>COUNTIF('Project Initiation'!S4:S11,"8.2.1")</f>
        <v>0</v>
      </c>
      <c r="C27" s="3">
        <f>COUNTIFS('Project Initiation'!S4:S11, "8.2.1",'Project Initiation'!H4:H11,"Yes")</f>
        <v>0</v>
      </c>
      <c r="D27" s="3">
        <f>COUNTIFS('Project Initiation'!$S4:$S11, "8.2.1",'Project Initiation'!H4:H11,"No")</f>
        <v>0</v>
      </c>
      <c r="E27" s="3">
        <f>COUNTIFS('Project Initiation'!$S4:$S11, "8.2.1",'Project Initiation'!I4:I11,"No")</f>
        <v>0</v>
      </c>
      <c r="F27" s="3">
        <f>COUNTIFS('Project Initiation'!$S4:$S11, "8.2.1",'Project Initiation'!J4:J11,"No")</f>
        <v>0</v>
      </c>
      <c r="G27" s="3">
        <f>COUNTIFS('Project Initiation'!$S4:$S11, "8.2.1",'Project Initiation'!K4:K11,"No")</f>
        <v>0</v>
      </c>
      <c r="H27" s="3">
        <f>COUNTIFS('Project Initiation'!$S4:$S11, "8.2.1",'Project Initiation'!L4:L11,"No")</f>
        <v>0</v>
      </c>
      <c r="I27" s="5"/>
      <c r="J27" s="4" t="s">
        <v>137</v>
      </c>
      <c r="K27" s="3">
        <f>COUNTIF('Project Management'!S4:S84,"8.2.1")</f>
        <v>0</v>
      </c>
      <c r="L27" s="3">
        <f>COUNTIFS('Project Management'!S4:S84, "8.2.1",'Project Management'!H4:H84,"Yes")</f>
        <v>0</v>
      </c>
      <c r="M27" s="3">
        <f>COUNTIFS('Project Management'!$S4:$S84, "8.2.1",'Project Management'!H4:H84,"No")</f>
        <v>0</v>
      </c>
      <c r="N27" s="3">
        <f>COUNTIFS('Project Management'!$S4:$S84, "8.2.1",'Project Management'!I4:I84,"No")</f>
        <v>0</v>
      </c>
      <c r="O27" s="3">
        <f>COUNTIFS('Project Management'!$S4:$S84, "8.2.1",'Project Management'!J4:J84,"No")</f>
        <v>0</v>
      </c>
      <c r="P27" s="3">
        <f>COUNTIFS('Project Management'!$S4:$S84, "8.2.1",'Project Management'!K4:K84,"No")</f>
        <v>0</v>
      </c>
      <c r="Q27" s="3">
        <f>COUNTIFS('Project Management'!$S4:$S84, "8.2.1",'Project Management'!L4:L84,"No")</f>
        <v>0</v>
      </c>
    </row>
    <row r="28" spans="1:17" ht="25.5" x14ac:dyDescent="0.2">
      <c r="A28" s="4" t="s">
        <v>138</v>
      </c>
      <c r="B28" s="3">
        <f>COUNTIF('Project Initiation'!S4:S11,"8.2.3")</f>
        <v>0</v>
      </c>
      <c r="C28" s="3">
        <f>COUNTIFS('Project Initiation'!S4:S11, "8.2.3",'Project Initiation'!H4:H11,"Yes")</f>
        <v>0</v>
      </c>
      <c r="D28" s="3">
        <f>COUNTIFS('Project Initiation'!$S4:$S11, "8.2.3",'Project Initiation'!H4:H11,"No")</f>
        <v>0</v>
      </c>
      <c r="E28" s="3">
        <f>COUNTIFS('Project Initiation'!$S4:$S11, "8.2.3",'Project Initiation'!I4:I11,"No")</f>
        <v>0</v>
      </c>
      <c r="F28" s="3">
        <f>COUNTIFS('Project Initiation'!$S4:$S11, "8.2.3",'Project Initiation'!J4:J11,"No")</f>
        <v>0</v>
      </c>
      <c r="G28" s="3">
        <f>COUNTIFS('Project Initiation'!$S4:$S11, "8.2.3",'Project Initiation'!K4:K11,"No")</f>
        <v>0</v>
      </c>
      <c r="H28" s="3">
        <f>COUNTIFS('Project Initiation'!$S4:$S11, "8.2.3",'Project Initiation'!L4:L11,"No")</f>
        <v>0</v>
      </c>
      <c r="I28" s="5"/>
      <c r="J28" s="4" t="s">
        <v>138</v>
      </c>
      <c r="K28" s="3">
        <f>COUNTIF('Project Management'!S4:S84,"8.2.3")</f>
        <v>1</v>
      </c>
      <c r="L28" s="3">
        <f>COUNTIFS('Project Management'!S4:S84, "8.2.3",'Project Management'!H4:H84,"Yes")</f>
        <v>0</v>
      </c>
      <c r="M28" s="3">
        <f>COUNTIFS('Project Management'!$S4:$S84, "8.2.3",'Project Management'!H4:H84,"No")</f>
        <v>0</v>
      </c>
      <c r="N28" s="3">
        <f>COUNTIFS('Project Management'!$S4:$S84, "8.2.3",'Project Management'!I4:I84,"No")</f>
        <v>0</v>
      </c>
      <c r="O28" s="3">
        <f>COUNTIFS('Project Management'!$S4:$S84, "8.2.3",'Project Management'!J4:J84,"No")</f>
        <v>0</v>
      </c>
      <c r="P28" s="3">
        <f>COUNTIFS('Project Management'!$S4:$S84, "8.2.3",'Project Management'!K4:K84,"No")</f>
        <v>0</v>
      </c>
      <c r="Q28" s="3">
        <f>COUNTIFS('Project Management'!$S4:$S84, "8.2.3",'Project Management'!L4:L84,"No")</f>
        <v>0</v>
      </c>
    </row>
    <row r="29" spans="1:17" ht="25.5" x14ac:dyDescent="0.2">
      <c r="A29" s="4" t="s">
        <v>139</v>
      </c>
      <c r="B29" s="3">
        <f>COUNTIF('Project Initiation'!S4:S11,"8.2.4")</f>
        <v>0</v>
      </c>
      <c r="C29" s="3">
        <f>COUNTIFS('Project Initiation'!S4:S11, "8.2.4",'Project Initiation'!H4:H11,"Yes")</f>
        <v>0</v>
      </c>
      <c r="D29" s="3">
        <f>COUNTIFS('Project Initiation'!$S4:$S11, "8.2.4",'Project Initiation'!H4:H11,"No")</f>
        <v>0</v>
      </c>
      <c r="E29" s="3">
        <f>COUNTIFS('Project Initiation'!$S4:$S11, "8.2.4",'Project Initiation'!I4:I11,"No")</f>
        <v>0</v>
      </c>
      <c r="F29" s="3">
        <f>COUNTIFS('Project Initiation'!$S4:$S11, "8.2.4",'Project Initiation'!J4:J11,"No")</f>
        <v>0</v>
      </c>
      <c r="G29" s="3">
        <f>COUNTIFS('Project Initiation'!$S4:$S11, "8.2.4",'Project Initiation'!K4:K11,"No")</f>
        <v>0</v>
      </c>
      <c r="H29" s="3">
        <f>COUNTIFS('Project Initiation'!$S4:$S11, "8.2.4",'Project Initiation'!L4:L11,"No")</f>
        <v>0</v>
      </c>
      <c r="I29" s="5"/>
      <c r="J29" s="4" t="s">
        <v>139</v>
      </c>
      <c r="K29" s="3">
        <f>COUNTIF('Project Management'!S4:S84,"8.2.4")</f>
        <v>0</v>
      </c>
      <c r="L29" s="3">
        <f>COUNTIFS('Project Management'!S4:S84, "8.2.4",'Project Management'!H4:H84,"Yes")</f>
        <v>0</v>
      </c>
      <c r="M29" s="3">
        <f>COUNTIFS('Project Management'!$S4:$S84, "8.2.4",'Project Management'!H4:H84,"No")</f>
        <v>0</v>
      </c>
      <c r="N29" s="3">
        <f>COUNTIFS('Project Management'!$S4:$S84, "8.2.4",'Project Management'!I4:I84,"No")</f>
        <v>0</v>
      </c>
      <c r="O29" s="3">
        <f>COUNTIFS('Project Management'!$S4:$S84, "8.2.4",'Project Management'!J4:J84,"No")</f>
        <v>0</v>
      </c>
      <c r="P29" s="3">
        <f>COUNTIFS('Project Management'!$S4:$S84, "8.2.4",'Project Management'!K4:K84,"No")</f>
        <v>0</v>
      </c>
      <c r="Q29" s="3">
        <f>COUNTIFS('Project Management'!$S4:$S84, "8.2.4",'Project Management'!L4:L84,"No")</f>
        <v>0</v>
      </c>
    </row>
    <row r="30" spans="1:17" ht="25.5" x14ac:dyDescent="0.2">
      <c r="A30" s="4" t="s">
        <v>140</v>
      </c>
      <c r="B30" s="3">
        <f>COUNTIF('Project Initiation'!S4:S11,"8.3")</f>
        <v>0</v>
      </c>
      <c r="C30" s="3">
        <f>COUNTIFS('Project Initiation'!S4:S11, "8.3",'Project Initiation'!H4:H11,"Yes")</f>
        <v>0</v>
      </c>
      <c r="D30" s="3">
        <f>COUNTIFS('Project Initiation'!$S4:$S11, "8.3",'Project Initiation'!H4:H11,"No")</f>
        <v>0</v>
      </c>
      <c r="E30" s="3">
        <f>COUNTIFS('Project Initiation'!$S4:$S11, "8.3",'Project Initiation'!I4:I11,"No")</f>
        <v>0</v>
      </c>
      <c r="F30" s="3">
        <f>COUNTIFS('Project Initiation'!$S4:$S11, "8.3",'Project Initiation'!J4:J11,"No")</f>
        <v>0</v>
      </c>
      <c r="G30" s="3">
        <f>COUNTIFS('Project Initiation'!$S4:$S11, "8.3",'Project Initiation'!K4:K11,"No")</f>
        <v>0</v>
      </c>
      <c r="H30" s="3">
        <f>COUNTIFS('Project Initiation'!$S4:$S11, "8.3",'Project Initiation'!L4:L11,"No")</f>
        <v>0</v>
      </c>
      <c r="I30" s="5"/>
      <c r="J30" s="4" t="s">
        <v>140</v>
      </c>
      <c r="K30" s="3">
        <f>COUNTIF('Project Management'!S4:S84,"8.3")</f>
        <v>0</v>
      </c>
      <c r="L30" s="3">
        <f>COUNTIFS('Project Management'!S4:S84, "8.3",'Project Management'!H4:H84,"Yes")</f>
        <v>0</v>
      </c>
      <c r="M30" s="3">
        <f>COUNTIFS('Project Management'!$S4:$S84, "8.2.4",'Project Management'!H4:H84,"No")</f>
        <v>0</v>
      </c>
      <c r="N30" s="3">
        <f>COUNTIFS('Project Management'!$S4:$S84, "8.2.4",'Project Management'!I4:I84,"No")</f>
        <v>0</v>
      </c>
      <c r="O30" s="3">
        <f>COUNTIFS('Project Management'!$S4:$S84, "8.2.4",'Project Management'!J4:J84,"No")</f>
        <v>0</v>
      </c>
      <c r="P30" s="3">
        <f>COUNTIFS('Project Management'!$S4:$S84, "8.2.4",'Project Management'!K4:K84,"No")</f>
        <v>0</v>
      </c>
      <c r="Q30" s="3">
        <f>COUNTIFS('Project Management'!$S4:$S84, "8.2.4",'Project Management'!L4:L84,"No")</f>
        <v>0</v>
      </c>
    </row>
    <row r="31" spans="1:17" x14ac:dyDescent="0.2">
      <c r="A31" s="4" t="s">
        <v>141</v>
      </c>
      <c r="B31" s="3">
        <f>COUNTIF('Project Initiation'!S4:S11,"8.4")</f>
        <v>0</v>
      </c>
      <c r="C31" s="3">
        <f>COUNTIFS('Project Initiation'!S4:S11, "8.4",'Project Initiation'!H4:H11,"Yes")</f>
        <v>0</v>
      </c>
      <c r="D31" s="3">
        <f>COUNTIFS('Project Initiation'!$S4:$S11, "8.4",'Project Initiation'!H4:H11,"No")</f>
        <v>0</v>
      </c>
      <c r="E31" s="3">
        <f>COUNTIFS('Project Initiation'!$S4:$S11, "8.4",'Project Initiation'!I4:I11,"No")</f>
        <v>0</v>
      </c>
      <c r="F31" s="3">
        <f>COUNTIFS('Project Initiation'!$S4:$S11, "8.4",'Project Initiation'!J4:J11,"No")</f>
        <v>0</v>
      </c>
      <c r="G31" s="3">
        <f>COUNTIFS('Project Initiation'!$S4:$S11, "8.4",'Project Initiation'!K4:K11,"No")</f>
        <v>0</v>
      </c>
      <c r="H31" s="3">
        <f>COUNTIFS('Project Initiation'!$S4:$S11, "8.4",'Project Initiation'!L4:L11,"No")</f>
        <v>0</v>
      </c>
      <c r="I31" s="5"/>
      <c r="J31" s="4" t="s">
        <v>141</v>
      </c>
      <c r="K31" s="3">
        <f>COUNTIF('Project Management'!S4:S84,"8.4")</f>
        <v>0</v>
      </c>
      <c r="L31" s="3">
        <f>COUNTIFS('Project Management'!S4:S84, "8.4",'Project Management'!H4:H84,"Yes")</f>
        <v>0</v>
      </c>
      <c r="M31" s="3">
        <f>COUNTIFS('Project Management'!$S4:$S84, "8.2.4",'Project Management'!H4:H84,"No")</f>
        <v>0</v>
      </c>
      <c r="N31" s="3">
        <f>COUNTIFS('Project Management'!$S4:$S84, "8.2.4",'Project Management'!I4:I84,"No")</f>
        <v>0</v>
      </c>
      <c r="O31" s="3">
        <f>COUNTIFS('Project Management'!$S4:$S84, "8.2.4",'Project Management'!J4:J84,"No")</f>
        <v>0</v>
      </c>
      <c r="P31" s="3">
        <f>COUNTIFS('Project Management'!$S4:$S84, "8.2.4",'Project Management'!K4:K84,"No")</f>
        <v>0</v>
      </c>
      <c r="Q31" s="3">
        <f>COUNTIFS('Project Management'!$S4:$S84, "8.2.4",'Project Management'!L4:L84,"No")</f>
        <v>0</v>
      </c>
    </row>
    <row r="32" spans="1:17" ht="25.5" x14ac:dyDescent="0.2">
      <c r="A32" s="4" t="s">
        <v>142</v>
      </c>
      <c r="B32" s="3">
        <f>COUNTIF('Project Initiation'!S4:S11,"8.5.1")</f>
        <v>0</v>
      </c>
      <c r="C32" s="3">
        <f>COUNTIFS('Project Initiation'!S4:S11, "8.5.1",'Project Initiation'!H4:H11,"Yes")</f>
        <v>0</v>
      </c>
      <c r="D32" s="3">
        <f>COUNTIFS('Project Initiation'!$S4:$S11, "8.5.1",'Project Initiation'!H4:H11,"No")</f>
        <v>0</v>
      </c>
      <c r="E32" s="3">
        <f>COUNTIFS('Project Initiation'!$S4:$S11, "8.5.1",'Project Initiation'!I4:I11,"No")</f>
        <v>0</v>
      </c>
      <c r="F32" s="3">
        <f>COUNTIFS('Project Initiation'!$S4:$S11, "8.5.1",'Project Initiation'!J4:J11,"No")</f>
        <v>0</v>
      </c>
      <c r="G32" s="3">
        <f>COUNTIFS('Project Initiation'!$S4:$S11, "8.5.1",'Project Initiation'!K4:K11,"No")</f>
        <v>0</v>
      </c>
      <c r="H32" s="3">
        <f>COUNTIFS('Project Initiation'!$S4:$S11, "8.5.1",'Project Initiation'!L4:L11,"No")</f>
        <v>0</v>
      </c>
      <c r="I32" s="5"/>
      <c r="J32" s="4" t="s">
        <v>142</v>
      </c>
      <c r="K32" s="3">
        <f>COUNTIF('Project Management'!S4:S84,"8.5.1")</f>
        <v>0</v>
      </c>
      <c r="L32" s="3">
        <f>COUNTIFS('Project Management'!S4:S84, "8.5.1",'Project Management'!H4:H84,"Yes")</f>
        <v>0</v>
      </c>
      <c r="M32" s="3">
        <f>COUNTIFS('Project Management'!$S4:$S84, "8.2.4",'Project Management'!H4:H84,"No")</f>
        <v>0</v>
      </c>
      <c r="N32" s="3">
        <f>COUNTIFS('Project Management'!$S4:$S84, "8.2.4",'Project Management'!I4:I84,"No")</f>
        <v>0</v>
      </c>
      <c r="O32" s="3">
        <f>COUNTIFS('Project Management'!$S4:$S84, "8.2.4",'Project Management'!J4:J84,"No")</f>
        <v>0</v>
      </c>
      <c r="P32" s="3">
        <f>COUNTIFS('Project Management'!$S4:$S84, "8.2.4",'Project Management'!K4:K84,"No")</f>
        <v>0</v>
      </c>
      <c r="Q32" s="3">
        <f>COUNTIFS('Project Management'!$S4:$S84, "8.2.4",'Project Management'!L4:L84,"No")</f>
        <v>0</v>
      </c>
    </row>
    <row r="33" spans="1:17" x14ac:dyDescent="0.2">
      <c r="A33" s="4" t="s">
        <v>143</v>
      </c>
      <c r="B33" s="3">
        <f>COUNTIF('Project Initiation'!S4:S11,"8.5.2")</f>
        <v>0</v>
      </c>
      <c r="C33" s="3">
        <f>COUNTIFS('Project Initiation'!S4:S11, "8.5.2",'Project Initiation'!H4:H11,"Yes")</f>
        <v>0</v>
      </c>
      <c r="D33" s="3">
        <f>COUNTIFS('Project Initiation'!$S4:$S11, "8.5.2",'Project Initiation'!H4:H11,"No")</f>
        <v>0</v>
      </c>
      <c r="E33" s="3">
        <f>COUNTIFS('Project Initiation'!$S4:$S11, "8.5.2",'Project Initiation'!I4:I11,"No")</f>
        <v>0</v>
      </c>
      <c r="F33" s="3">
        <f>COUNTIFS('Project Initiation'!$S4:$S11, "8.5.2",'Project Initiation'!J4:J11,"No")</f>
        <v>0</v>
      </c>
      <c r="G33" s="3">
        <f>COUNTIFS('Project Initiation'!$S4:$S11, "8.5.2",'Project Initiation'!K4:K11,"No")</f>
        <v>0</v>
      </c>
      <c r="H33" s="3">
        <f>COUNTIFS('Project Initiation'!$S4:$S11, "8.5.2",'Project Initiation'!L4:L11,"No")</f>
        <v>0</v>
      </c>
      <c r="I33" s="5"/>
      <c r="J33" s="4" t="s">
        <v>143</v>
      </c>
      <c r="K33" s="3">
        <f>COUNTIF('Project Management'!S4:S84,"8.5.2")</f>
        <v>0</v>
      </c>
      <c r="L33" s="3">
        <f>COUNTIFS('Project Management'!S4:S84, "8.5.2",'Project Management'!H4:H84,"Yes")</f>
        <v>0</v>
      </c>
      <c r="M33" s="3">
        <f>COUNTIFS('Project Management'!$S4:$S84, "8.2.4",'Project Management'!H4:H84,"No")</f>
        <v>0</v>
      </c>
      <c r="N33" s="3">
        <f>COUNTIFS('Project Management'!$S4:$S84, "8.2.4",'Project Management'!I4:I84,"No")</f>
        <v>0</v>
      </c>
      <c r="O33" s="3">
        <f>COUNTIFS('Project Management'!$S4:$S84, "8.2.4",'Project Management'!J4:J84,"No")</f>
        <v>0</v>
      </c>
      <c r="P33" s="3">
        <f>COUNTIFS('Project Management'!$S4:$S84, "8.2.4",'Project Management'!K4:K84,"No")</f>
        <v>0</v>
      </c>
      <c r="Q33" s="3">
        <f>COUNTIFS('Project Management'!$S4:$S84, "8.2.4",'Project Management'!L4:L84,"No")</f>
        <v>0</v>
      </c>
    </row>
    <row r="34" spans="1:17" x14ac:dyDescent="0.2">
      <c r="A34" s="4" t="s">
        <v>144</v>
      </c>
      <c r="B34" s="3">
        <f>COUNTIF('Project Initiation'!S4:S11,"8.5.3")</f>
        <v>0</v>
      </c>
      <c r="C34" s="3">
        <f>COUNTIFS('Project Initiation'!S4:S11, "8.5.3",'Project Initiation'!H4:H11,"Yes")</f>
        <v>0</v>
      </c>
      <c r="D34" s="3">
        <f>COUNTIFS('Project Initiation'!$S4:$S11, "8.5.3",'Project Initiation'!H4:H11,"No")</f>
        <v>0</v>
      </c>
      <c r="E34" s="3">
        <f>COUNTIFS('Project Initiation'!$S4:$S11, "8.5.3",'Project Initiation'!I4:I11,"No")</f>
        <v>0</v>
      </c>
      <c r="F34" s="3">
        <f>COUNTIFS('Project Initiation'!$S4:$S11, "8.5.3",'Project Initiation'!J4:J11,"No")</f>
        <v>0</v>
      </c>
      <c r="G34" s="3">
        <f>COUNTIFS('Project Initiation'!$S4:$S11, "8.5.3",'Project Initiation'!K4:K11,"No")</f>
        <v>0</v>
      </c>
      <c r="H34" s="3">
        <f>COUNTIFS('Project Initiation'!$S4:$S11, "8.5.3",'Project Initiation'!L4:L11,"No")</f>
        <v>0</v>
      </c>
      <c r="I34" s="5"/>
      <c r="J34" s="4" t="s">
        <v>144</v>
      </c>
      <c r="K34" s="3">
        <f>COUNTIF('Project Management'!S4:S84,"8.5.3")</f>
        <v>0</v>
      </c>
      <c r="L34" s="3">
        <f>COUNTIFS('Project Management'!S4:S84, "8.5.3",'Project Management'!H4:H84,"Yes")</f>
        <v>0</v>
      </c>
      <c r="M34" s="3">
        <f>COUNTIFS('Project Management'!$S4:$S84, "8.2.4",'Project Management'!H4:H84,"No")</f>
        <v>0</v>
      </c>
      <c r="N34" s="3">
        <f>COUNTIFS('Project Management'!$S4:$S84, "8.2.4",'Project Management'!I4:I84,"No")</f>
        <v>0</v>
      </c>
      <c r="O34" s="3">
        <f>COUNTIFS('Project Management'!$S4:$S84, "8.2.4",'Project Management'!J4:J84,"No")</f>
        <v>0</v>
      </c>
      <c r="P34" s="3">
        <f>COUNTIFS('Project Management'!$S4:$S84, "8.2.4",'Project Management'!K4:K84,"No")</f>
        <v>0</v>
      </c>
      <c r="Q34" s="3">
        <f>COUNTIFS('Project Management'!$S4:$S84, "8.2.4",'Project Management'!L4:L84,"No")</f>
        <v>0</v>
      </c>
    </row>
    <row r="35" spans="1:17" x14ac:dyDescent="0.2">
      <c r="A35" s="7" t="s">
        <v>9</v>
      </c>
      <c r="B35" s="9">
        <f t="shared" ref="B35:H35" si="0">SUM(B4:B34)</f>
        <v>6</v>
      </c>
      <c r="C35" s="9">
        <f t="shared" si="0"/>
        <v>4</v>
      </c>
      <c r="D35" s="9">
        <f t="shared" si="0"/>
        <v>0</v>
      </c>
      <c r="E35" s="9">
        <f t="shared" si="0"/>
        <v>0</v>
      </c>
      <c r="F35" s="9">
        <f t="shared" si="0"/>
        <v>0</v>
      </c>
      <c r="G35" s="9">
        <f t="shared" si="0"/>
        <v>0</v>
      </c>
      <c r="H35" s="9">
        <f t="shared" si="0"/>
        <v>0</v>
      </c>
      <c r="I35" s="5"/>
      <c r="J35" s="7" t="s">
        <v>9</v>
      </c>
      <c r="K35" s="9">
        <f t="shared" ref="K35:Q35" si="1">SUM(K4:K34)</f>
        <v>56</v>
      </c>
      <c r="L35" s="9">
        <f t="shared" si="1"/>
        <v>35</v>
      </c>
      <c r="M35" s="9">
        <f t="shared" si="1"/>
        <v>18</v>
      </c>
      <c r="N35" s="9">
        <f t="shared" si="1"/>
        <v>0</v>
      </c>
      <c r="O35" s="9">
        <f t="shared" si="1"/>
        <v>0</v>
      </c>
      <c r="P35" s="9">
        <f t="shared" si="1"/>
        <v>0</v>
      </c>
      <c r="Q35" s="9">
        <f t="shared" si="1"/>
        <v>0</v>
      </c>
    </row>
    <row r="36" spans="1:17" x14ac:dyDescent="0.2">
      <c r="A36" s="5"/>
      <c r="B36" s="5"/>
      <c r="C36" s="5"/>
      <c r="D36" s="5"/>
      <c r="E36" s="5"/>
      <c r="F36" s="5"/>
      <c r="G36" s="5"/>
      <c r="H36" s="5"/>
      <c r="I36" s="5"/>
      <c r="J36" s="5"/>
      <c r="K36" s="5"/>
      <c r="L36" s="5"/>
      <c r="M36" s="5"/>
    </row>
    <row r="37" spans="1:17" x14ac:dyDescent="0.2">
      <c r="A37" s="6" t="s">
        <v>12</v>
      </c>
      <c r="B37" s="5"/>
      <c r="C37" s="5"/>
      <c r="D37" s="5"/>
      <c r="E37" s="5"/>
      <c r="F37" s="5"/>
      <c r="G37" s="5"/>
      <c r="H37" s="5"/>
      <c r="I37" s="5"/>
      <c r="J37" s="6" t="s">
        <v>10</v>
      </c>
      <c r="K37" s="5"/>
      <c r="L37" s="5"/>
      <c r="M37" s="5"/>
    </row>
    <row r="38" spans="1:17" ht="25.5" x14ac:dyDescent="0.2">
      <c r="A38" s="7" t="s">
        <v>111</v>
      </c>
      <c r="B38" s="7" t="s">
        <v>112</v>
      </c>
      <c r="C38" s="7" t="s">
        <v>113</v>
      </c>
      <c r="D38" s="7" t="s">
        <v>516</v>
      </c>
      <c r="E38" s="7" t="s">
        <v>517</v>
      </c>
      <c r="F38" s="7" t="s">
        <v>520</v>
      </c>
      <c r="G38" s="7" t="s">
        <v>519</v>
      </c>
      <c r="H38" s="7" t="s">
        <v>518</v>
      </c>
      <c r="I38" s="5"/>
      <c r="J38" s="7" t="s">
        <v>111</v>
      </c>
      <c r="K38" s="7" t="s">
        <v>112</v>
      </c>
      <c r="L38" s="7" t="s">
        <v>113</v>
      </c>
      <c r="M38" s="7" t="s">
        <v>516</v>
      </c>
      <c r="N38" s="7" t="s">
        <v>517</v>
      </c>
      <c r="O38" s="7" t="s">
        <v>520</v>
      </c>
      <c r="P38" s="7" t="s">
        <v>519</v>
      </c>
      <c r="Q38" s="7" t="s">
        <v>518</v>
      </c>
    </row>
    <row r="39" spans="1:17" x14ac:dyDescent="0.2">
      <c r="A39" s="3" t="s">
        <v>114</v>
      </c>
      <c r="B39" s="3">
        <f>COUNTIF('Monitoring &amp; Control'!S4:S47,"4.2.3")</f>
        <v>0</v>
      </c>
      <c r="C39" s="3">
        <f>COUNTIFS('Monitoring &amp; Control'!S4:S47,"4.2.3",'Monitoring &amp; Control'!H4:H47,"Yes")</f>
        <v>0</v>
      </c>
      <c r="D39" s="3">
        <f>COUNTIFS('Monitoring &amp; Control'!$S4:$S47,"4.2.3",'Monitoring &amp; Control'!H4:H47,"No")</f>
        <v>0</v>
      </c>
      <c r="E39" s="3">
        <f>COUNTIFS('Monitoring &amp; Control'!$S4:$S47,"4.2.3",'Monitoring &amp; Control'!I4:I47,"No")</f>
        <v>0</v>
      </c>
      <c r="F39" s="3">
        <f>COUNTIFS('Monitoring &amp; Control'!$S4:$S47,"4.2.3",'Monitoring &amp; Control'!J4:J47,"No")</f>
        <v>0</v>
      </c>
      <c r="G39" s="3">
        <f>COUNTIFS('Monitoring &amp; Control'!$S4:$S47,"4.2.3",'Monitoring &amp; Control'!K4:K47,"No")</f>
        <v>0</v>
      </c>
      <c r="H39" s="3">
        <f>COUNTIFS('Monitoring &amp; Control'!$S4:$S47,"4.2.3",'Monitoring &amp; Control'!L4:L47,"No")</f>
        <v>0</v>
      </c>
      <c r="I39" s="5"/>
      <c r="J39" s="3" t="s">
        <v>114</v>
      </c>
      <c r="K39" s="3">
        <f>COUNTIF(Requirements!S4:S26,"4.2.3")</f>
        <v>0</v>
      </c>
      <c r="L39" s="3">
        <f>COUNTIFS(Requirements!S4:S34,"4.2.3",Requirements!H4:H34,"Yes")</f>
        <v>0</v>
      </c>
      <c r="M39" s="3">
        <f>COUNTIFS(Requirements!$S4:$S34,"4.2.3",Requirements!H4:H34,"No")</f>
        <v>0</v>
      </c>
      <c r="N39" s="3">
        <f>COUNTIFS(Requirements!$S4:$S34,"4.2.3",Requirements!I4:I34,"No")</f>
        <v>0</v>
      </c>
      <c r="O39" s="3">
        <f>COUNTIFS(Requirements!$S4:$S34,"4.2.3",Requirements!J4:J34,"No")</f>
        <v>0</v>
      </c>
      <c r="P39" s="3">
        <f>COUNTIFS(Requirements!$S4:$S34,"4.2.3",Requirements!K4:K34,"No")</f>
        <v>0</v>
      </c>
      <c r="Q39" s="3">
        <f>COUNTIFS(Requirements!$S4:$S34,"4.2.3",Requirements!L4:L34,"No")</f>
        <v>0</v>
      </c>
    </row>
    <row r="40" spans="1:17" x14ac:dyDescent="0.2">
      <c r="A40" s="3" t="s">
        <v>115</v>
      </c>
      <c r="B40" s="3">
        <f>COUNTIF('Monitoring &amp; Control'!S4:S47,"4.2.4")</f>
        <v>2</v>
      </c>
      <c r="C40" s="3">
        <f>COUNTIFS('Monitoring &amp; Control'!S4:S47,"4.2.4",'Monitoring &amp; Control'!H4:H47,"Yes")</f>
        <v>0</v>
      </c>
      <c r="D40" s="3">
        <f>COUNTIFS('Monitoring &amp; Control'!$S4:$S47,"4.2.4",'Monitoring &amp; Control'!H4:H47,"No")</f>
        <v>1</v>
      </c>
      <c r="E40" s="3">
        <f>COUNTIFS('Monitoring &amp; Control'!$S4:$S47,"4.2.4",'Monitoring &amp; Control'!I4:I47,"No")</f>
        <v>0</v>
      </c>
      <c r="F40" s="3">
        <f>COUNTIFS('Monitoring &amp; Control'!$S4:$S47,"4.2.4",'Monitoring &amp; Control'!J4:J47,"No")</f>
        <v>0</v>
      </c>
      <c r="G40" s="3">
        <f>COUNTIFS('Monitoring &amp; Control'!$S4:$S47,"4.2.4",'Monitoring &amp; Control'!K4:K47,"No")</f>
        <v>0</v>
      </c>
      <c r="H40" s="3">
        <f>COUNTIFS('Monitoring &amp; Control'!$S4:$S47,"4.2.4",'Monitoring &amp; Control'!L4:L47,"No")</f>
        <v>0</v>
      </c>
      <c r="I40" s="5"/>
      <c r="J40" s="3" t="s">
        <v>115</v>
      </c>
      <c r="K40" s="3">
        <f>COUNTIF(Requirements!S4:S26,"4.2.4")</f>
        <v>4</v>
      </c>
      <c r="L40" s="3">
        <f>COUNTIFS(Requirements!S4:S34,"4.2.4",Requirements!H4:H34,"Yes")</f>
        <v>0</v>
      </c>
      <c r="M40" s="3">
        <f>COUNTIFS(Requirements!$S4:$S34,"4.2.4",Requirements!H4:H34,"No")</f>
        <v>0</v>
      </c>
      <c r="N40" s="3">
        <f>COUNTIFS(Requirements!$S4:$S34,"4.2.4",Requirements!I4:I34,"No")</f>
        <v>0</v>
      </c>
      <c r="O40" s="3">
        <f>COUNTIFS(Requirements!$S4:$S34,"4.2.4",Requirements!J4:J34,"No")</f>
        <v>0</v>
      </c>
      <c r="P40" s="3">
        <f>COUNTIFS(Requirements!$S4:$S34,"4.2.4",Requirements!K4:K34,"No")</f>
        <v>0</v>
      </c>
      <c r="Q40" s="3">
        <f>COUNTIFS(Requirements!$S4:$S34,"4.2.4",Requirements!L4:L34,"No")</f>
        <v>0</v>
      </c>
    </row>
    <row r="41" spans="1:17" x14ac:dyDescent="0.2">
      <c r="A41" s="3" t="s">
        <v>116</v>
      </c>
      <c r="B41" s="3">
        <f>COUNTIF('Monitoring &amp; Control'!S4:S47,"6.2.2")</f>
        <v>1</v>
      </c>
      <c r="C41" s="3">
        <f>COUNTIFS('Monitoring &amp; Control'!S4:S47,"6.2.2",'Monitoring &amp; Control'!H4:H47,"Yes")</f>
        <v>1</v>
      </c>
      <c r="D41" s="3">
        <f>COUNTIFS('Monitoring &amp; Control'!$S4:$S47,"6.2.2",'Monitoring &amp; Control'!H4:H47,"No")</f>
        <v>0</v>
      </c>
      <c r="E41" s="3">
        <f>COUNTIFS('Monitoring &amp; Control'!$S4:$S47,"6.2.2",'Monitoring &amp; Control'!I4:I47,"No")</f>
        <v>0</v>
      </c>
      <c r="F41" s="3">
        <f>COUNTIFS('Monitoring &amp; Control'!$S4:$S47,"6.2.2",'Monitoring &amp; Control'!J4:J47,"No")</f>
        <v>0</v>
      </c>
      <c r="G41" s="3">
        <f>COUNTIFS('Monitoring &amp; Control'!$S4:$S47,"6.2.2",'Monitoring &amp; Control'!K4:K47,"No")</f>
        <v>0</v>
      </c>
      <c r="H41" s="3">
        <f>COUNTIFS('Monitoring &amp; Control'!$S4:$S47,"6.2.2",'Monitoring &amp; Control'!L4:L47,"No")</f>
        <v>0</v>
      </c>
      <c r="I41" s="5"/>
      <c r="J41" s="3" t="s">
        <v>116</v>
      </c>
      <c r="K41" s="3">
        <f>COUNTIF(Requirements!S4:S26,"6.2.2")</f>
        <v>0</v>
      </c>
      <c r="L41" s="3">
        <f>COUNTIFS(Requirements!S4:S34,"6.2.2",Requirements!H4:H34,"Yes")</f>
        <v>0</v>
      </c>
      <c r="M41" s="3">
        <f>COUNTIFS(Requirements!$S4:$S34,"6.2.2",Requirements!H4:H34,"No")</f>
        <v>0</v>
      </c>
      <c r="N41" s="3">
        <f>COUNTIFS(Requirements!$S4:$S34,"6.2.2",Requirements!I4:I34,"No")</f>
        <v>0</v>
      </c>
      <c r="O41" s="3">
        <f>COUNTIFS(Requirements!$S4:$S34,"6.2.2",Requirements!J4:J34,"No")</f>
        <v>0</v>
      </c>
      <c r="P41" s="3">
        <f>COUNTIFS(Requirements!$S4:$S34,"6.2.2",Requirements!K4:K34,"No")</f>
        <v>0</v>
      </c>
      <c r="Q41" s="3">
        <f>COUNTIFS(Requirements!$S4:$S34,"6.2.2",Requirements!L4:L34,"No")</f>
        <v>0</v>
      </c>
    </row>
    <row r="42" spans="1:17" x14ac:dyDescent="0.2">
      <c r="A42" s="3" t="s">
        <v>117</v>
      </c>
      <c r="B42" s="3">
        <f>COUNTIF('Monitoring &amp; Control'!S4:S47,"6.3")</f>
        <v>0</v>
      </c>
      <c r="C42" s="3">
        <f>COUNTIFS('Monitoring &amp; Control'!S4:S47,"6.3",'Monitoring &amp; Control'!H4:H47,"Yes")</f>
        <v>0</v>
      </c>
      <c r="D42" s="3">
        <f>COUNTIFS('Monitoring &amp; Control'!$S4:$S47,"6.3",'Monitoring &amp; Control'!H4:H47,"No")</f>
        <v>0</v>
      </c>
      <c r="E42" s="3">
        <f>COUNTIFS('Monitoring &amp; Control'!$S4:$S47,"6.3",'Monitoring &amp; Control'!I4:I47,"No")</f>
        <v>0</v>
      </c>
      <c r="F42" s="3">
        <f>COUNTIFS('Monitoring &amp; Control'!$S4:$S47,"6.3",'Monitoring &amp; Control'!J4:J47,"No")</f>
        <v>0</v>
      </c>
      <c r="G42" s="3">
        <f>COUNTIFS('Monitoring &amp; Control'!$S4:$S47,"6.3",'Monitoring &amp; Control'!K4:K47,"No")</f>
        <v>0</v>
      </c>
      <c r="H42" s="3">
        <f>COUNTIFS('Monitoring &amp; Control'!$S4:$S47,"6.3",'Monitoring &amp; Control'!L4:L47,"No")</f>
        <v>0</v>
      </c>
      <c r="I42" s="5"/>
      <c r="J42" s="3" t="s">
        <v>117</v>
      </c>
      <c r="K42" s="3">
        <f>COUNTIF(Requirements!S4:S26,"6.3")</f>
        <v>0</v>
      </c>
      <c r="L42" s="3">
        <f>COUNTIFS(Requirements!S4:S34,"6.3",Requirements!H4:H34,"Yes")</f>
        <v>0</v>
      </c>
      <c r="M42" s="3">
        <f>COUNTIFS(Requirements!$S4:$S34,"6.3",Requirements!H4:H34,"No")</f>
        <v>0</v>
      </c>
      <c r="N42" s="3">
        <f>COUNTIFS(Requirements!$S4:$S34,"6.3",Requirements!I4:I34,"No")</f>
        <v>0</v>
      </c>
      <c r="O42" s="3">
        <f>COUNTIFS(Requirements!$S4:$S34,"6.3",Requirements!J4:J34,"No")</f>
        <v>0</v>
      </c>
      <c r="P42" s="3">
        <f>COUNTIFS(Requirements!$S4:$S34,"6.3",Requirements!K4:K34,"No")</f>
        <v>0</v>
      </c>
      <c r="Q42" s="3">
        <f>COUNTIFS(Requirements!$S4:$S34,"6.3",Requirements!L4:L34,"No")</f>
        <v>0</v>
      </c>
    </row>
    <row r="43" spans="1:17" x14ac:dyDescent="0.2">
      <c r="A43" s="3" t="s">
        <v>118</v>
      </c>
      <c r="B43" s="3">
        <f>COUNTIF('Monitoring &amp; Control'!S4:S47,"6.4")</f>
        <v>0</v>
      </c>
      <c r="C43" s="3">
        <f>COUNTIFS('Monitoring &amp; Control'!S4:S47,"6.4",'Monitoring &amp; Control'!H4:H47,"Yes")</f>
        <v>0</v>
      </c>
      <c r="D43" s="3">
        <f>COUNTIFS('Monitoring &amp; Control'!$S4:$S47,"6.4",'Monitoring &amp; Control'!H4:H47,"No")</f>
        <v>0</v>
      </c>
      <c r="E43" s="3">
        <f>COUNTIFS('Monitoring &amp; Control'!$S4:$S47,"6.4",'Monitoring &amp; Control'!I4:I47,"No")</f>
        <v>0</v>
      </c>
      <c r="F43" s="3">
        <f>COUNTIFS('Monitoring &amp; Control'!$S4:$S47,"6.4",'Monitoring &amp; Control'!J4:J47,"No")</f>
        <v>0</v>
      </c>
      <c r="G43" s="3">
        <f>COUNTIFS('Monitoring &amp; Control'!$S4:$S47,"6.4",'Monitoring &amp; Control'!K4:K47,"No")</f>
        <v>0</v>
      </c>
      <c r="H43" s="3">
        <f>COUNTIFS('Monitoring &amp; Control'!$S4:$S47,"6.4",'Monitoring &amp; Control'!L4:L47,"No")</f>
        <v>0</v>
      </c>
      <c r="I43" s="5"/>
      <c r="J43" s="3" t="s">
        <v>118</v>
      </c>
      <c r="K43" s="3">
        <f>COUNTIF(Requirements!S4:S26,"6.4")</f>
        <v>0</v>
      </c>
      <c r="L43" s="3">
        <f>COUNTIFS(Requirements!S4:S34,"6.4",Requirements!H4:H34,"Yes")</f>
        <v>0</v>
      </c>
      <c r="M43" s="3">
        <f>COUNTIFS(Requirements!$S4:$S34,"6.4",Requirements!H4:H34,"No")</f>
        <v>0</v>
      </c>
      <c r="N43" s="3">
        <f>COUNTIFS(Requirements!$S4:$S34,"6.4",Requirements!I4:I34,"No")</f>
        <v>0</v>
      </c>
      <c r="O43" s="3">
        <f>COUNTIFS(Requirements!$S4:$S34,"6.4",Requirements!J4:J34,"No")</f>
        <v>0</v>
      </c>
      <c r="P43" s="3">
        <f>COUNTIFS(Requirements!$S4:$S34,"6.4",Requirements!K4:K34,"No")</f>
        <v>0</v>
      </c>
      <c r="Q43" s="3">
        <f>COUNTIFS(Requirements!$S4:$S34,"6.4",Requirements!L4:L34,"No")</f>
        <v>0</v>
      </c>
    </row>
    <row r="44" spans="1:17" x14ac:dyDescent="0.2">
      <c r="A44" s="3" t="s">
        <v>119</v>
      </c>
      <c r="B44" s="3">
        <f>COUNTIF('Monitoring &amp; Control'!S4:S47,"7.1")</f>
        <v>0</v>
      </c>
      <c r="C44" s="3">
        <f>COUNTIFS('Monitoring &amp; Control'!S4:S47,"7.1",'Monitoring &amp; Control'!H4:H47,"Yes")</f>
        <v>0</v>
      </c>
      <c r="D44" s="3">
        <f>COUNTIFS('Monitoring &amp; Control'!$S4:$S47,"7.1",'Monitoring &amp; Control'!H4:H47,"No")</f>
        <v>0</v>
      </c>
      <c r="E44" s="3">
        <f>COUNTIFS('Monitoring &amp; Control'!$S4:$S47,"7.1",'Monitoring &amp; Control'!I4:I47,"No")</f>
        <v>0</v>
      </c>
      <c r="F44" s="3">
        <f>COUNTIFS('Monitoring &amp; Control'!$S4:$S47,"7.1",'Monitoring &amp; Control'!J4:J47,"No")</f>
        <v>0</v>
      </c>
      <c r="G44" s="3">
        <f>COUNTIFS('Monitoring &amp; Control'!$S4:$S47,"7.1",'Monitoring &amp; Control'!K4:K47,"No")</f>
        <v>0</v>
      </c>
      <c r="H44" s="3">
        <f>COUNTIFS('Monitoring &amp; Control'!$S4:$S47,"7.1",'Monitoring &amp; Control'!L4:L47,"No")</f>
        <v>0</v>
      </c>
      <c r="I44" s="5"/>
      <c r="J44" s="3" t="s">
        <v>119</v>
      </c>
      <c r="K44" s="3">
        <f>COUNTIF(Requirements!S4:S26,"7.1")</f>
        <v>0</v>
      </c>
      <c r="L44" s="3">
        <f>COUNTIFS(Requirements!S4:S34,"7.1",Requirements!H4:H34,"Yes")</f>
        <v>0</v>
      </c>
      <c r="M44" s="3">
        <f>COUNTIFS(Requirements!$S4:$S34,"7.1",Requirements!H4:H34,"No")</f>
        <v>0</v>
      </c>
      <c r="N44" s="3">
        <f>COUNTIFS(Requirements!$S4:$S34,"7.1",Requirements!I4:I34,"No")</f>
        <v>0</v>
      </c>
      <c r="O44" s="3">
        <f>COUNTIFS(Requirements!$S4:$S34,"7.1",Requirements!J4:J34,"No")</f>
        <v>0</v>
      </c>
      <c r="P44" s="3">
        <f>COUNTIFS(Requirements!$S4:$S34,"7.1",Requirements!K4:K34,"No")</f>
        <v>0</v>
      </c>
      <c r="Q44" s="3">
        <f>COUNTIFS(Requirements!$S4:$S34,"7.1",Requirements!L4:L34,"No")</f>
        <v>0</v>
      </c>
    </row>
    <row r="45" spans="1:17" ht="25.5" x14ac:dyDescent="0.2">
      <c r="A45" s="3" t="s">
        <v>120</v>
      </c>
      <c r="B45" s="3">
        <f>COUNTIF('Monitoring &amp; Control'!S4:S47,"7.2.1")</f>
        <v>0</v>
      </c>
      <c r="C45" s="3">
        <f>COUNTIFS('Monitoring &amp; Control'!S4:S47,"7.2.1",'Monitoring &amp; Control'!H4:H47,"Yes")</f>
        <v>0</v>
      </c>
      <c r="D45" s="3">
        <f>COUNTIFS('Monitoring &amp; Control'!$S4:$S47,"7.2.1",'Monitoring &amp; Control'!H4:H47,"No")</f>
        <v>0</v>
      </c>
      <c r="E45" s="3">
        <f>COUNTIFS('Monitoring &amp; Control'!$S4:$S47,"7.2.1",'Monitoring &amp; Control'!I4:I47,"No")</f>
        <v>0</v>
      </c>
      <c r="F45" s="3">
        <f>COUNTIFS('Monitoring &amp; Control'!$S4:$S47,"7.2.1",'Monitoring &amp; Control'!J4:J47,"No")</f>
        <v>0</v>
      </c>
      <c r="G45" s="3">
        <f>COUNTIFS('Monitoring &amp; Control'!$S4:$S47,"7.2.1",'Monitoring &amp; Control'!K4:K47,"No")</f>
        <v>0</v>
      </c>
      <c r="H45" s="3">
        <f>COUNTIFS('Monitoring &amp; Control'!$S4:$S47,"7.2.1",'Monitoring &amp; Control'!L4:L47,"No")</f>
        <v>0</v>
      </c>
      <c r="I45" s="5"/>
      <c r="J45" s="3" t="s">
        <v>120</v>
      </c>
      <c r="K45" s="3">
        <f>COUNTIF(Requirements!S4:S26,"7.2.1")</f>
        <v>4</v>
      </c>
      <c r="L45" s="3">
        <f>COUNTIFS(Requirements!S4:S34,"7.2.1",Requirements!H4:H34,"Yes")</f>
        <v>4</v>
      </c>
      <c r="M45" s="3">
        <f>COUNTIFS(Requirements!$S4:$S34,"7.2.1",Requirements!H4:H34,"No")</f>
        <v>0</v>
      </c>
      <c r="N45" s="3">
        <f>COUNTIFS(Requirements!$S4:$S34,"7.2.1",Requirements!I4:I34,"No")</f>
        <v>0</v>
      </c>
      <c r="O45" s="3">
        <f>COUNTIFS(Requirements!$S4:$S34,"7.2.1",Requirements!J4:J34,"No")</f>
        <v>0</v>
      </c>
      <c r="P45" s="3">
        <f>COUNTIFS(Requirements!$S4:$S34,"7.2.1",Requirements!K4:K34,"No")</f>
        <v>0</v>
      </c>
      <c r="Q45" s="3">
        <f>COUNTIFS(Requirements!$S4:$S34,"7.2.1",Requirements!L4:L34,"No")</f>
        <v>0</v>
      </c>
    </row>
    <row r="46" spans="1:17" ht="25.5" x14ac:dyDescent="0.2">
      <c r="A46" s="3" t="s">
        <v>121</v>
      </c>
      <c r="B46" s="3">
        <f>COUNTIF('Monitoring &amp; Control'!S4:S47,"7.2.2")</f>
        <v>0</v>
      </c>
      <c r="C46" s="3">
        <f>COUNTIFS('Monitoring &amp; Control'!S4:S47,"7.2.2",'Monitoring &amp; Control'!H4:H47,"Yes")</f>
        <v>0</v>
      </c>
      <c r="D46" s="3">
        <f>COUNTIFS('Monitoring &amp; Control'!$S4:$S47,"7.2.2",'Monitoring &amp; Control'!H4:H47,"No")</f>
        <v>0</v>
      </c>
      <c r="E46" s="3">
        <f>COUNTIFS('Monitoring &amp; Control'!$S4:$S47,"7.2.2",'Monitoring &amp; Control'!I4:I47,"No")</f>
        <v>0</v>
      </c>
      <c r="F46" s="3">
        <f>COUNTIFS('Monitoring &amp; Control'!$S4:$S47,"7.2.2",'Monitoring &amp; Control'!J4:J47,"No")</f>
        <v>0</v>
      </c>
      <c r="G46" s="3">
        <f>COUNTIFS('Monitoring &amp; Control'!$S4:$S47,"7.2.2",'Monitoring &amp; Control'!K4:K47,"No")</f>
        <v>0</v>
      </c>
      <c r="H46" s="3">
        <f>COUNTIFS('Monitoring &amp; Control'!$S4:$S47,"7.2.2",'Monitoring &amp; Control'!L4:L47,"No")</f>
        <v>0</v>
      </c>
      <c r="I46" s="5"/>
      <c r="J46" s="3" t="s">
        <v>121</v>
      </c>
      <c r="K46" s="3">
        <f>COUNTIF(Requirements!S4:S26,"7.2.2")</f>
        <v>2</v>
      </c>
      <c r="L46" s="3">
        <f>COUNTIFS(Requirements!S4:S34,"7.2.2",Requirements!H4:H34,"Yes")</f>
        <v>1</v>
      </c>
      <c r="M46" s="3">
        <f>COUNTIFS(Requirements!$S4:$S34,"7.2.2",Requirements!H4:H34,"No")</f>
        <v>0</v>
      </c>
      <c r="N46" s="3">
        <f>COUNTIFS(Requirements!$S4:$S34,"7.2.2",Requirements!I4:I34,"No")</f>
        <v>0</v>
      </c>
      <c r="O46" s="3">
        <f>COUNTIFS(Requirements!$S4:$S34,"7.2.2",Requirements!J4:J34,"No")</f>
        <v>0</v>
      </c>
      <c r="P46" s="3">
        <f>COUNTIFS(Requirements!$S4:$S34,"7.2.2",Requirements!K4:K34,"No")</f>
        <v>0</v>
      </c>
      <c r="Q46" s="3">
        <f>COUNTIFS(Requirements!$S4:$S34,"7.2.2",Requirements!L4:L34,"No")</f>
        <v>0</v>
      </c>
    </row>
    <row r="47" spans="1:17" ht="25.5" x14ac:dyDescent="0.2">
      <c r="A47" s="3" t="s">
        <v>122</v>
      </c>
      <c r="B47" s="3">
        <f>COUNTIF('Monitoring &amp; Control'!S4:S47,"7.2.3")</f>
        <v>0</v>
      </c>
      <c r="C47" s="3">
        <f>COUNTIFS('Monitoring &amp; Control'!S4:S47,"7.2.3",'Monitoring &amp; Control'!H4:H47,"Yes")</f>
        <v>0</v>
      </c>
      <c r="D47" s="3">
        <f>COUNTIFS('Monitoring &amp; Control'!$S4:$S47,"7.2.3",'Monitoring &amp; Control'!H4:H47,"No")</f>
        <v>0</v>
      </c>
      <c r="E47" s="3">
        <f>COUNTIFS('Monitoring &amp; Control'!$S4:$S47,"7.2.3",'Monitoring &amp; Control'!I4:I47,"No")</f>
        <v>0</v>
      </c>
      <c r="F47" s="3">
        <f>COUNTIFS('Monitoring &amp; Control'!$S4:$S47,"7.2.3",'Monitoring &amp; Control'!J4:J47,"No")</f>
        <v>0</v>
      </c>
      <c r="G47" s="3">
        <f>COUNTIFS('Monitoring &amp; Control'!$S4:$S47,"7.2.3",'Monitoring &amp; Control'!K4:K47,"No")</f>
        <v>0</v>
      </c>
      <c r="H47" s="3">
        <f>COUNTIFS('Monitoring &amp; Control'!$S4:$S47,"7.2.3",'Monitoring &amp; Control'!L4:L47,"No")</f>
        <v>0</v>
      </c>
      <c r="I47" s="5"/>
      <c r="J47" s="3" t="s">
        <v>122</v>
      </c>
      <c r="K47" s="3">
        <f>COUNTIF(Requirements!S4:S26,"7.2.3")</f>
        <v>0</v>
      </c>
      <c r="L47" s="3">
        <f>COUNTIFS(Requirements!S4:S34,"7.2.3",Requirements!H4:H34,"Yes")</f>
        <v>0</v>
      </c>
      <c r="M47" s="3">
        <f>COUNTIFS(Requirements!$S4:$S34,"7.2.3",Requirements!H4:H34,"No")</f>
        <v>0</v>
      </c>
      <c r="N47" s="3">
        <f>COUNTIFS(Requirements!$S4:$S34,"7.2.3",Requirements!I4:I34,"No")</f>
        <v>0</v>
      </c>
      <c r="O47" s="3">
        <f>COUNTIFS(Requirements!$S4:$S34,"7.2.3",Requirements!J4:J34,"No")</f>
        <v>0</v>
      </c>
      <c r="P47" s="3">
        <f>COUNTIFS(Requirements!$S4:$S34,"7.2.3",Requirements!K4:K34,"No")</f>
        <v>0</v>
      </c>
      <c r="Q47" s="3">
        <f>COUNTIFS(Requirements!$S4:$S34,"7.2.3",Requirements!L4:L34,"No")</f>
        <v>0</v>
      </c>
    </row>
    <row r="48" spans="1:17" ht="25.5" x14ac:dyDescent="0.2">
      <c r="A48" s="3" t="s">
        <v>123</v>
      </c>
      <c r="B48" s="3">
        <f>COUNTIF('Monitoring &amp; Control'!S4:S47,"7.3.1")</f>
        <v>0</v>
      </c>
      <c r="C48" s="3">
        <f>COUNTIFS('Monitoring &amp; Control'!S4:S47,"7.3.1",'Monitoring &amp; Control'!H4:H47,"Yes")</f>
        <v>0</v>
      </c>
      <c r="D48" s="3">
        <f>COUNTIFS('Monitoring &amp; Control'!$S4:$S47,"7.3.1",'Monitoring &amp; Control'!H4:H47,"No")</f>
        <v>0</v>
      </c>
      <c r="E48" s="3">
        <f>COUNTIFS('Monitoring &amp; Control'!$S4:$S47,"7.3.1",'Monitoring &amp; Control'!I4:I47,"No")</f>
        <v>0</v>
      </c>
      <c r="F48" s="3">
        <f>COUNTIFS('Monitoring &amp; Control'!$S4:$S47,"7.3.1",'Monitoring &amp; Control'!J4:J47,"No")</f>
        <v>0</v>
      </c>
      <c r="G48" s="3">
        <f>COUNTIFS('Monitoring &amp; Control'!$S4:$S47,"7.3.1",'Monitoring &amp; Control'!K4:K47,"No")</f>
        <v>0</v>
      </c>
      <c r="H48" s="3">
        <f>COUNTIFS('Monitoring &amp; Control'!$S4:$S47,"7.3.1",'Monitoring &amp; Control'!L4:L47,"No")</f>
        <v>0</v>
      </c>
      <c r="I48" s="5"/>
      <c r="J48" s="3" t="s">
        <v>123</v>
      </c>
      <c r="K48" s="3">
        <f>COUNTIF(Requirements!S4:S26,"7.3.1")</f>
        <v>0</v>
      </c>
      <c r="L48" s="3">
        <f>COUNTIFS(Requirements!S4:S34,"7.3.1",Requirements!H4:H34,"Yes")</f>
        <v>0</v>
      </c>
      <c r="M48" s="3">
        <f>COUNTIFS(Requirements!$S4:$S34,"7.3.1",Requirements!H4:H34,"No")</f>
        <v>0</v>
      </c>
      <c r="N48" s="3">
        <f>COUNTIFS(Requirements!$S4:$S34,"7.3.1",Requirements!I4:I34,"No")</f>
        <v>0</v>
      </c>
      <c r="O48" s="3">
        <f>COUNTIFS(Requirements!$S4:$S34,"7.3.1",Requirements!J4:J34,"No")</f>
        <v>0</v>
      </c>
      <c r="P48" s="3">
        <f>COUNTIFS(Requirements!$S4:$S34,"7.3.1",Requirements!K4:K34,"No")</f>
        <v>0</v>
      </c>
      <c r="Q48" s="3">
        <f>COUNTIFS(Requirements!$S4:$S34,"7.3.1",Requirements!L4:L34,"No")</f>
        <v>0</v>
      </c>
    </row>
    <row r="49" spans="1:17" x14ac:dyDescent="0.2">
      <c r="A49" s="3" t="s">
        <v>124</v>
      </c>
      <c r="B49" s="3">
        <f>COUNTIF('Monitoring &amp; Control'!S4:S47,"7.3.2")</f>
        <v>0</v>
      </c>
      <c r="C49" s="3">
        <f>COUNTIFS('Monitoring &amp; Control'!S4:S47,"7.3.2",'Monitoring &amp; Control'!H4:H47,"Yes")</f>
        <v>0</v>
      </c>
      <c r="D49" s="3">
        <f>COUNTIFS('Monitoring &amp; Control'!$S4:$S47,"7.3.2",'Monitoring &amp; Control'!H4:H47,"No")</f>
        <v>0</v>
      </c>
      <c r="E49" s="3">
        <f>COUNTIFS('Monitoring &amp; Control'!$S4:$S47,"7.3.2",'Monitoring &amp; Control'!I4:I47,"No")</f>
        <v>0</v>
      </c>
      <c r="F49" s="3">
        <f>COUNTIFS('Monitoring &amp; Control'!$S4:$S47,"7.3.2",'Monitoring &amp; Control'!J4:J47,"No")</f>
        <v>0</v>
      </c>
      <c r="G49" s="3">
        <f>COUNTIFS('Monitoring &amp; Control'!$S4:$S47,"7.3.2",'Monitoring &amp; Control'!K4:K47,"No")</f>
        <v>0</v>
      </c>
      <c r="H49" s="3">
        <f>COUNTIFS('Monitoring &amp; Control'!$S4:$S47,"7.3.2",'Monitoring &amp; Control'!L4:L47,"No")</f>
        <v>0</v>
      </c>
      <c r="I49" s="5"/>
      <c r="J49" s="3" t="s">
        <v>124</v>
      </c>
      <c r="K49" s="3">
        <f>COUNTIF(Requirements!S4:S26,"7.3.2")</f>
        <v>0</v>
      </c>
      <c r="L49" s="3">
        <f>COUNTIFS(Requirements!S4:S34,"7.3.2",Requirements!H4:H34,"Yes")</f>
        <v>0</v>
      </c>
      <c r="M49" s="3">
        <f>COUNTIFS(Requirements!$S4:$S34,"7.3.2",Requirements!H4:H34,"No")</f>
        <v>0</v>
      </c>
      <c r="N49" s="3">
        <f>COUNTIFS(Requirements!$S4:$S34,"7.3.2",Requirements!I4:I34,"No")</f>
        <v>0</v>
      </c>
      <c r="O49" s="3">
        <f>COUNTIFS(Requirements!$S4:$S34,"7.3.2",Requirements!J4:J34,"No")</f>
        <v>0</v>
      </c>
      <c r="P49" s="3">
        <f>COUNTIFS(Requirements!$S4:$S34,"7.3.2",Requirements!K4:K34,"No")</f>
        <v>0</v>
      </c>
      <c r="Q49" s="3">
        <f>COUNTIFS(Requirements!$S4:$S34,"7.3.2",Requirements!L4:L34,"No")</f>
        <v>0</v>
      </c>
    </row>
    <row r="50" spans="1:17" ht="25.5" x14ac:dyDescent="0.2">
      <c r="A50" s="3" t="s">
        <v>125</v>
      </c>
      <c r="B50" s="3">
        <f>COUNTIF('Monitoring &amp; Control'!S4:S47,"7.3.3")</f>
        <v>0</v>
      </c>
      <c r="C50" s="3">
        <f>COUNTIFS('Monitoring &amp; Control'!S4:S47,"7.3.3",'Monitoring &amp; Control'!H4:H47,"Yes")</f>
        <v>0</v>
      </c>
      <c r="D50" s="3">
        <f>COUNTIFS('Monitoring &amp; Control'!$S4:$S47,"7.3.3",'Monitoring &amp; Control'!H4:H47,"No")</f>
        <v>0</v>
      </c>
      <c r="E50" s="3">
        <f>COUNTIFS('Monitoring &amp; Control'!$S4:$S47,"7.3.3",'Monitoring &amp; Control'!I4:I47,"No")</f>
        <v>0</v>
      </c>
      <c r="F50" s="3">
        <f>COUNTIFS('Monitoring &amp; Control'!$S4:$S47,"7.3.3",'Monitoring &amp; Control'!J4:J47,"No")</f>
        <v>0</v>
      </c>
      <c r="G50" s="3">
        <f>COUNTIFS('Monitoring &amp; Control'!$S4:$S47,"7.3.3",'Monitoring &amp; Control'!K4:K47,"No")</f>
        <v>0</v>
      </c>
      <c r="H50" s="3">
        <f>COUNTIFS('Monitoring &amp; Control'!$S4:$S47,"7.3.3",'Monitoring &amp; Control'!L4:L47,"No")</f>
        <v>0</v>
      </c>
      <c r="I50" s="5"/>
      <c r="J50" s="3" t="s">
        <v>125</v>
      </c>
      <c r="K50" s="3">
        <f>COUNTIF(Requirements!S4:S26,"7.3.3")</f>
        <v>0</v>
      </c>
      <c r="L50" s="3">
        <f>COUNTIFS(Requirements!S4:S34,"7.3.3",Requirements!H4:H34,"Yes")</f>
        <v>0</v>
      </c>
      <c r="M50" s="3">
        <f>COUNTIFS(Requirements!$S4:$S34,"7.3.3",Requirements!H4:H34,"No")</f>
        <v>0</v>
      </c>
      <c r="N50" s="3">
        <f>COUNTIFS(Requirements!$S4:$S34,"7.3.3",Requirements!I4:I34,"No")</f>
        <v>0</v>
      </c>
      <c r="O50" s="3">
        <f>COUNTIFS(Requirements!$S4:$S34,"7.3.3",Requirements!J4:J34,"No")</f>
        <v>0</v>
      </c>
      <c r="P50" s="3">
        <f>COUNTIFS(Requirements!$S4:$S34,"7.3.3",Requirements!K4:K34,"No")</f>
        <v>0</v>
      </c>
      <c r="Q50" s="3">
        <f>COUNTIFS(Requirements!$S4:$S34,"7.3.3",Requirements!L4:L34,"No")</f>
        <v>0</v>
      </c>
    </row>
    <row r="51" spans="1:17" ht="25.5" x14ac:dyDescent="0.2">
      <c r="A51" s="3" t="s">
        <v>126</v>
      </c>
      <c r="B51" s="3">
        <f>COUNTIF('Monitoring &amp; Control'!S4:S47,"7.3.4")</f>
        <v>0</v>
      </c>
      <c r="C51" s="3">
        <f>COUNTIFS('Monitoring &amp; Control'!S4:S47,"7.3.4",'Monitoring &amp; Control'!H4:H47,"Yes")</f>
        <v>0</v>
      </c>
      <c r="D51" s="3">
        <f>COUNTIFS('Monitoring &amp; Control'!$S4:$S47,"7.3.4",'Monitoring &amp; Control'!H4:H47,"No")</f>
        <v>0</v>
      </c>
      <c r="E51" s="3">
        <f>COUNTIFS('Monitoring &amp; Control'!$S4:$S47,"7.3.4",'Monitoring &amp; Control'!I4:I47,"No")</f>
        <v>0</v>
      </c>
      <c r="F51" s="3">
        <f>COUNTIFS('Monitoring &amp; Control'!$S4:$S47,"7.3.4",'Monitoring &amp; Control'!J4:J47,"No")</f>
        <v>0</v>
      </c>
      <c r="G51" s="3">
        <f>COUNTIFS('Monitoring &amp; Control'!$S4:$S47,"7.3.4",'Monitoring &amp; Control'!K4:K47,"No")</f>
        <v>0</v>
      </c>
      <c r="H51" s="3">
        <f>COUNTIFS('Monitoring &amp; Control'!$S4:$S47,"7.3.4",'Monitoring &amp; Control'!L4:L47,"No")</f>
        <v>0</v>
      </c>
      <c r="I51" s="5"/>
      <c r="J51" s="3" t="s">
        <v>126</v>
      </c>
      <c r="K51" s="3">
        <f>COUNTIF(Requirements!S4:S26,"7.3.4")</f>
        <v>0</v>
      </c>
      <c r="L51" s="3">
        <f>COUNTIFS(Requirements!S4:S34,"7.3.4",Requirements!H4:H34,"Yes")</f>
        <v>0</v>
      </c>
      <c r="M51" s="3">
        <f>COUNTIFS(Requirements!$S4:$S34,"7.3.4",Requirements!H4:H34,"No")</f>
        <v>0</v>
      </c>
      <c r="N51" s="3">
        <f>COUNTIFS(Requirements!$S4:$S34,"7.3.4",Requirements!I4:I34,"No")</f>
        <v>0</v>
      </c>
      <c r="O51" s="3">
        <f>COUNTIFS(Requirements!$S4:$S34,"7.3.4",Requirements!J4:J34,"No")</f>
        <v>0</v>
      </c>
      <c r="P51" s="3">
        <f>COUNTIFS(Requirements!$S4:$S34,"7.3.4",Requirements!K4:K34,"No")</f>
        <v>0</v>
      </c>
      <c r="Q51" s="3">
        <f>COUNTIFS(Requirements!$S4:$S34,"7.3.4",Requirements!L4:L34,"No")</f>
        <v>0</v>
      </c>
    </row>
    <row r="52" spans="1:17" ht="25.5" x14ac:dyDescent="0.2">
      <c r="A52" s="3" t="s">
        <v>127</v>
      </c>
      <c r="B52" s="3">
        <f>COUNTIF('Monitoring &amp; Control'!S4:S47,"7.3.5")</f>
        <v>0</v>
      </c>
      <c r="C52" s="3">
        <f>COUNTIFS('Monitoring &amp; Control'!S4:S47,"7.3.5",'Monitoring &amp; Control'!H4:H47,"Yes")</f>
        <v>0</v>
      </c>
      <c r="D52" s="3">
        <f>COUNTIFS('Monitoring &amp; Control'!$S4:$S47,"7.3.5",'Monitoring &amp; Control'!H4:H47,"No")</f>
        <v>0</v>
      </c>
      <c r="E52" s="3">
        <f>COUNTIFS('Monitoring &amp; Control'!$S4:$S47,"7.3.5",'Monitoring &amp; Control'!I4:I47,"No")</f>
        <v>0</v>
      </c>
      <c r="F52" s="3">
        <f>COUNTIFS('Monitoring &amp; Control'!$S4:$S47,"7.3.5",'Monitoring &amp; Control'!J4:J47,"No")</f>
        <v>0</v>
      </c>
      <c r="G52" s="3">
        <f>COUNTIFS('Monitoring &amp; Control'!$S4:$S47,"7.3.5",'Monitoring &amp; Control'!K4:K47,"No")</f>
        <v>0</v>
      </c>
      <c r="H52" s="3">
        <f>COUNTIFS('Monitoring &amp; Control'!$S4:$S47,"7.3.5",'Monitoring &amp; Control'!L4:L47,"No")</f>
        <v>0</v>
      </c>
      <c r="I52" s="5"/>
      <c r="J52" s="3" t="s">
        <v>127</v>
      </c>
      <c r="K52" s="3">
        <f>COUNTIF(Requirements!S4:S26,"7.3.5")</f>
        <v>0</v>
      </c>
      <c r="L52" s="3">
        <f>COUNTIFS(Requirements!S4:S34,"7.3.5",Requirements!H4:H34,"Yes")</f>
        <v>0</v>
      </c>
      <c r="M52" s="3">
        <f>COUNTIFS(Requirements!$S4:$S34,"7.3.5",Requirements!H4:H34,"No")</f>
        <v>0</v>
      </c>
      <c r="N52" s="3">
        <f>COUNTIFS(Requirements!$S4:$S34,"7.3.5",Requirements!I4:I34,"No")</f>
        <v>0</v>
      </c>
      <c r="O52" s="3">
        <f>COUNTIFS(Requirements!$S4:$S34,"7.3.5",Requirements!J4:J34,"No")</f>
        <v>0</v>
      </c>
      <c r="P52" s="3">
        <f>COUNTIFS(Requirements!$S4:$S34,"7.3.5",Requirements!K4:K34,"No")</f>
        <v>0</v>
      </c>
      <c r="Q52" s="3">
        <f>COUNTIFS(Requirements!$S4:$S34,"7.3.5",Requirements!L4:L34,"No")</f>
        <v>0</v>
      </c>
    </row>
    <row r="53" spans="1:17" ht="25.5" x14ac:dyDescent="0.2">
      <c r="A53" s="3" t="s">
        <v>128</v>
      </c>
      <c r="B53" s="3">
        <f>COUNTIF('Monitoring &amp; Control'!S4:S47,"7.3.6")</f>
        <v>0</v>
      </c>
      <c r="C53" s="3">
        <f>COUNTIFS('Monitoring &amp; Control'!S4:S47,"7.3.6",'Monitoring &amp; Control'!H4:H47,"Yes")</f>
        <v>0</v>
      </c>
      <c r="D53" s="3">
        <f>COUNTIFS('Monitoring &amp; Control'!$S4:$S47,"7.3.6",'Monitoring &amp; Control'!H4:H47,"No")</f>
        <v>0</v>
      </c>
      <c r="E53" s="3">
        <f>COUNTIFS('Monitoring &amp; Control'!$S4:$S47,"7.3.6",'Monitoring &amp; Control'!I4:I47,"No")</f>
        <v>0</v>
      </c>
      <c r="F53" s="3">
        <f>COUNTIFS('Monitoring &amp; Control'!$S4:$S47,"7.3.6",'Monitoring &amp; Control'!J4:J47,"No")</f>
        <v>0</v>
      </c>
      <c r="G53" s="3">
        <f>COUNTIFS('Monitoring &amp; Control'!$S4:$S47,"7.3.6",'Monitoring &amp; Control'!K4:K47,"No")</f>
        <v>0</v>
      </c>
      <c r="H53" s="3">
        <f>COUNTIFS('Monitoring &amp; Control'!$S4:$S47,"7.3.6",'Monitoring &amp; Control'!L4:L47,"No")</f>
        <v>0</v>
      </c>
      <c r="I53" s="5"/>
      <c r="J53" s="3" t="s">
        <v>128</v>
      </c>
      <c r="K53" s="3">
        <f>COUNTIF(Requirements!S4:S26,"7.3.6")</f>
        <v>0</v>
      </c>
      <c r="L53" s="3">
        <f>COUNTIFS(Requirements!S4:S34,"7.3.6",Requirements!H4:H34,"Yes")</f>
        <v>0</v>
      </c>
      <c r="M53" s="3">
        <f>COUNTIFS(Requirements!$S4:$S34,"7.3.6",Requirements!H4:H34,"No")</f>
        <v>0</v>
      </c>
      <c r="N53" s="3">
        <f>COUNTIFS(Requirements!$S4:$S34,"7.3.6",Requirements!I4:I34,"No")</f>
        <v>0</v>
      </c>
      <c r="O53" s="3">
        <f>COUNTIFS(Requirements!$S4:$S34,"7.3.6",Requirements!J4:J34,"No")</f>
        <v>0</v>
      </c>
      <c r="P53" s="3">
        <f>COUNTIFS(Requirements!$S4:$S34,"7.3.6",Requirements!K4:K34,"No")</f>
        <v>0</v>
      </c>
      <c r="Q53" s="3">
        <f>COUNTIFS(Requirements!$S4:$S34,"7.3.6",Requirements!L4:L34,"No")</f>
        <v>0</v>
      </c>
    </row>
    <row r="54" spans="1:17" ht="25.5" x14ac:dyDescent="0.2">
      <c r="A54" s="3" t="s">
        <v>129</v>
      </c>
      <c r="B54" s="3">
        <f>COUNTIF('Monitoring &amp; Control'!S4:S47,"7.3.7")</f>
        <v>8</v>
      </c>
      <c r="C54" s="3">
        <f>COUNTIFS('Monitoring &amp; Control'!S4:S47,"7.3.7",'Monitoring &amp; Control'!H4:H47,"Yes")</f>
        <v>0</v>
      </c>
      <c r="D54" s="3">
        <f>COUNTIFS('Monitoring &amp; Control'!$S4:$S47,"7.3.7",'Monitoring &amp; Control'!H4:H47,"No")</f>
        <v>0</v>
      </c>
      <c r="E54" s="3">
        <f>COUNTIFS('Monitoring &amp; Control'!$S4:$S47,"7.3.7",'Monitoring &amp; Control'!I4:I47,"No")</f>
        <v>0</v>
      </c>
      <c r="F54" s="3">
        <f>COUNTIFS('Monitoring &amp; Control'!$S4:$S47,"7.3.7",'Monitoring &amp; Control'!J4:J47,"No")</f>
        <v>0</v>
      </c>
      <c r="G54" s="3">
        <f>COUNTIFS('Monitoring &amp; Control'!$S4:$S47,"7.3.7",'Monitoring &amp; Control'!K4:K47,"No")</f>
        <v>0</v>
      </c>
      <c r="H54" s="3">
        <f>COUNTIFS('Monitoring &amp; Control'!$S4:$S47,"7.3.7",'Monitoring &amp; Control'!L4:L47,"No")</f>
        <v>0</v>
      </c>
      <c r="I54" s="5"/>
      <c r="J54" s="3" t="s">
        <v>129</v>
      </c>
      <c r="K54" s="3">
        <f>COUNTIF(Requirements!S4:S26,"7.3.7")</f>
        <v>0</v>
      </c>
      <c r="L54" s="3">
        <f>COUNTIFS(Requirements!S4:S34,"7.3.7",Requirements!H4:H34,"Yes")</f>
        <v>0</v>
      </c>
      <c r="M54" s="3">
        <f>COUNTIFS(Requirements!$S4:$S34,"7.3.7",Requirements!H4:H34,"No")</f>
        <v>0</v>
      </c>
      <c r="N54" s="3">
        <f>COUNTIFS(Requirements!$S4:$S34,"7.3.7",Requirements!I4:I34,"No")</f>
        <v>0</v>
      </c>
      <c r="O54" s="3">
        <f>COUNTIFS(Requirements!$S4:$S34,"7.3.7",Requirements!J4:J34,"No")</f>
        <v>0</v>
      </c>
      <c r="P54" s="3">
        <f>COUNTIFS(Requirements!$S4:$S34,"7.3.7",Requirements!K4:K34,"No")</f>
        <v>0</v>
      </c>
      <c r="Q54" s="3">
        <f>COUNTIFS(Requirements!$S4:$S34,"7.3.7",Requirements!L4:L34,"No")</f>
        <v>0</v>
      </c>
    </row>
    <row r="55" spans="1:17" ht="25.5" x14ac:dyDescent="0.2">
      <c r="A55" s="3" t="s">
        <v>130</v>
      </c>
      <c r="B55" s="3">
        <f>COUNTIF('Monitoring &amp; Control'!S4:S47,"7.5.1")</f>
        <v>3</v>
      </c>
      <c r="C55" s="3">
        <f>COUNTIFS('Monitoring &amp; Control'!S4:S47,"7.5.1",'Monitoring &amp; Control'!H4:H47,"Yes")</f>
        <v>2</v>
      </c>
      <c r="D55" s="3">
        <f>COUNTIFS('Monitoring &amp; Control'!$S4:$S47,"7.5.1",'Monitoring &amp; Control'!H4:H47,"No")</f>
        <v>1</v>
      </c>
      <c r="E55" s="3">
        <f>COUNTIFS('Monitoring &amp; Control'!$S4:$S47,"7.5.1",'Monitoring &amp; Control'!I4:I47,"No")</f>
        <v>0</v>
      </c>
      <c r="F55" s="3">
        <f>COUNTIFS('Monitoring &amp; Control'!$S4:$S47,"7.5.1",'Monitoring &amp; Control'!J4:J47,"No")</f>
        <v>0</v>
      </c>
      <c r="G55" s="3">
        <f>COUNTIFS('Monitoring &amp; Control'!$S4:$S47,"7.5.1",'Monitoring &amp; Control'!K4:K47,"No")</f>
        <v>0</v>
      </c>
      <c r="H55" s="3">
        <f>COUNTIFS('Monitoring &amp; Control'!$S4:$S47,"7.5.1",'Monitoring &amp; Control'!L4:L47,"No")</f>
        <v>0</v>
      </c>
      <c r="I55" s="5"/>
      <c r="J55" s="3" t="s">
        <v>130</v>
      </c>
      <c r="K55" s="3">
        <f>COUNTIF(Requirements!S4:S26,"7.5.1")</f>
        <v>0</v>
      </c>
      <c r="L55" s="3">
        <f>COUNTIFS(Requirements!S4:S34,"7.5.1",Requirements!H4:H34,"Yes")</f>
        <v>0</v>
      </c>
      <c r="M55" s="3">
        <f>COUNTIFS(Requirements!$S4:$S34,"7.5.1",Requirements!H4:H34,"No")</f>
        <v>0</v>
      </c>
      <c r="N55" s="3">
        <f>COUNTIFS(Requirements!$S4:$S34,"7.5.1",Requirements!I4:I34,"No")</f>
        <v>0</v>
      </c>
      <c r="O55" s="3">
        <f>COUNTIFS(Requirements!$S4:$S34,"7.5.1",Requirements!J4:J34,"No")</f>
        <v>0</v>
      </c>
      <c r="P55" s="3">
        <f>COUNTIFS(Requirements!$S4:$S34,"7.5.1",Requirements!K4:K34,"No")</f>
        <v>0</v>
      </c>
      <c r="Q55" s="3">
        <f>COUNTIFS(Requirements!$S4:$S34,"7.5.1",Requirements!L4:L34,"No")</f>
        <v>0</v>
      </c>
    </row>
    <row r="56" spans="1:17" ht="38.25" x14ac:dyDescent="0.2">
      <c r="A56" s="3" t="s">
        <v>131</v>
      </c>
      <c r="B56" s="3">
        <f>COUNTIF('Monitoring &amp; Control'!S4:S47,"7.5.2")</f>
        <v>0</v>
      </c>
      <c r="C56" s="3">
        <f>COUNTIFS('Monitoring &amp; Control'!S4:S47,"7.5.2",'Monitoring &amp; Control'!H4:H47,"Yes")</f>
        <v>0</v>
      </c>
      <c r="D56" s="3">
        <f>COUNTIFS('Monitoring &amp; Control'!$S4:$S47,"7.5.2",'Monitoring &amp; Control'!H4:H47,"No")</f>
        <v>0</v>
      </c>
      <c r="E56" s="3">
        <f>COUNTIFS('Monitoring &amp; Control'!$S4:$S47,"7.5.2",'Monitoring &amp; Control'!I4:I47,"No")</f>
        <v>0</v>
      </c>
      <c r="F56" s="3">
        <f>COUNTIFS('Monitoring &amp; Control'!$S4:$S47,"7.5.2",'Monitoring &amp; Control'!J4:J47,"No")</f>
        <v>0</v>
      </c>
      <c r="G56" s="3">
        <f>COUNTIFS('Monitoring &amp; Control'!$S4:$S47,"7.5.2",'Monitoring &amp; Control'!K4:K47,"No")</f>
        <v>0</v>
      </c>
      <c r="H56" s="3">
        <f>COUNTIFS('Monitoring &amp; Control'!$S4:$S47,"7.5.2",'Monitoring &amp; Control'!L4:L47,"No")</f>
        <v>0</v>
      </c>
      <c r="I56" s="5"/>
      <c r="J56" s="3" t="s">
        <v>131</v>
      </c>
      <c r="K56" s="3">
        <f>COUNTIF(Requirements!S4:S26,"7.5.2")</f>
        <v>0</v>
      </c>
      <c r="L56" s="3">
        <f>COUNTIFS(Requirements!S4:S34,"7.5.2",Requirements!H4:H34,"Yes")</f>
        <v>0</v>
      </c>
      <c r="M56" s="3">
        <f>COUNTIFS(Requirements!$S4:$S34,"7.5.2",Requirements!H4:H34,"No")</f>
        <v>0</v>
      </c>
      <c r="N56" s="3">
        <f>COUNTIFS(Requirements!$S4:$S34,"7.5.2",Requirements!I4:I34,"No")</f>
        <v>0</v>
      </c>
      <c r="O56" s="3">
        <f>COUNTIFS(Requirements!$S4:$S34,"7.5.2",Requirements!J4:J34,"No")</f>
        <v>0</v>
      </c>
      <c r="P56" s="3">
        <f>COUNTIFS(Requirements!$S4:$S34,"7.5.2",Requirements!K4:K34,"No")</f>
        <v>0</v>
      </c>
      <c r="Q56" s="3">
        <f>COUNTIFS(Requirements!$S4:$S34,"7.5.2",Requirements!L4:L34,"No")</f>
        <v>0</v>
      </c>
    </row>
    <row r="57" spans="1:17" ht="25.5" x14ac:dyDescent="0.2">
      <c r="A57" s="3" t="s">
        <v>132</v>
      </c>
      <c r="B57" s="3">
        <f>COUNTIF('Monitoring &amp; Control'!S4:S47,"7.5.3")</f>
        <v>0</v>
      </c>
      <c r="C57" s="3">
        <f>COUNTIFS('Monitoring &amp; Control'!S4:S47,"7.5.3",'Monitoring &amp; Control'!H4:H47,"Yes")</f>
        <v>0</v>
      </c>
      <c r="D57" s="3">
        <f>COUNTIFS('Monitoring &amp; Control'!$S4:$S47,"7.5.3",'Monitoring &amp; Control'!H4:H47,"No")</f>
        <v>0</v>
      </c>
      <c r="E57" s="3">
        <f>COUNTIFS('Monitoring &amp; Control'!$S4:$S47,"7.5.3",'Monitoring &amp; Control'!I4:I47,"No")</f>
        <v>0</v>
      </c>
      <c r="F57" s="3">
        <f>COUNTIFS('Monitoring &amp; Control'!$S4:$S47,"7.5.3",'Monitoring &amp; Control'!J4:J47,"No")</f>
        <v>0</v>
      </c>
      <c r="G57" s="3">
        <f>COUNTIFS('Monitoring &amp; Control'!$S4:$S47,"7.5.3",'Monitoring &amp; Control'!K4:K47,"No")</f>
        <v>0</v>
      </c>
      <c r="H57" s="3">
        <f>COUNTIFS('Monitoring &amp; Control'!$S4:$S47,"7.5.3",'Monitoring &amp; Control'!L4:L47,"No")</f>
        <v>0</v>
      </c>
      <c r="I57" s="5"/>
      <c r="J57" s="3" t="s">
        <v>132</v>
      </c>
      <c r="K57" s="3">
        <f>COUNTIF(Requirements!S4:S26,"7.5.3")</f>
        <v>1</v>
      </c>
      <c r="L57" s="3">
        <f>COUNTIFS(Requirements!S4:S34,"7.5.3",Requirements!H4:H34,"Yes")</f>
        <v>1</v>
      </c>
      <c r="M57" s="3">
        <f>COUNTIFS(Requirements!$S4:$S34,"7.5.3",Requirements!H4:H34,"No")</f>
        <v>0</v>
      </c>
      <c r="N57" s="3">
        <f>COUNTIFS(Requirements!$S4:$S34,"7.5.3",Requirements!I4:I34,"No")</f>
        <v>0</v>
      </c>
      <c r="O57" s="3">
        <f>COUNTIFS(Requirements!$S4:$S34,"7.5.3",Requirements!J4:J34,"No")</f>
        <v>0</v>
      </c>
      <c r="P57" s="3">
        <f>COUNTIFS(Requirements!$S4:$S34,"7.5.3",Requirements!K4:K34,"No")</f>
        <v>0</v>
      </c>
      <c r="Q57" s="3">
        <f>COUNTIFS(Requirements!$S4:$S34,"7.5.3",Requirements!L4:L34,"No")</f>
        <v>0</v>
      </c>
    </row>
    <row r="58" spans="1:17" x14ac:dyDescent="0.2">
      <c r="A58" s="3" t="s">
        <v>133</v>
      </c>
      <c r="B58" s="3">
        <f>COUNTIF('Monitoring &amp; Control'!S4:S47,"7.5.4")</f>
        <v>0</v>
      </c>
      <c r="C58" s="3">
        <f>COUNTIFS('Monitoring &amp; Control'!S4:S47,"7.5.4",'Monitoring &amp; Control'!H4:H47,"Yes")</f>
        <v>0</v>
      </c>
      <c r="D58" s="3">
        <f>COUNTIFS('Monitoring &amp; Control'!$S4:$S47,"7.5.4",'Monitoring &amp; Control'!H4:H47,"No")</f>
        <v>0</v>
      </c>
      <c r="E58" s="3">
        <f>COUNTIFS('Monitoring &amp; Control'!$S4:$S47,"7.5.4",'Monitoring &amp; Control'!I4:I47,"No")</f>
        <v>0</v>
      </c>
      <c r="F58" s="3">
        <f>COUNTIFS('Monitoring &amp; Control'!$S4:$S47,"7.5.4",'Monitoring &amp; Control'!J4:J47,"No")</f>
        <v>0</v>
      </c>
      <c r="G58" s="3">
        <f>COUNTIFS('Monitoring &amp; Control'!$S4:$S47,"7.5.4",'Monitoring &amp; Control'!K4:K47,"No")</f>
        <v>0</v>
      </c>
      <c r="H58" s="3">
        <f>COUNTIFS('Monitoring &amp; Control'!$S4:$S47,"7.5.4",'Monitoring &amp; Control'!L4:L47,"No")</f>
        <v>0</v>
      </c>
      <c r="I58" s="5"/>
      <c r="J58" s="3" t="s">
        <v>133</v>
      </c>
      <c r="K58" s="3">
        <f>COUNTIF(Requirements!S4:S26,"7.5.4")</f>
        <v>0</v>
      </c>
      <c r="L58" s="3">
        <f>COUNTIFS(Requirements!S4:S34,"7.5.4",Requirements!H4:H34,"Yes")</f>
        <v>0</v>
      </c>
      <c r="M58" s="3">
        <f>COUNTIFS(Requirements!$S4:$S34,"7.5.4",Requirements!H4:H34,"No")</f>
        <v>0</v>
      </c>
      <c r="N58" s="3">
        <f>COUNTIFS(Requirements!$S4:$S34,"7.5.4",Requirements!I4:I34,"No")</f>
        <v>0</v>
      </c>
      <c r="O58" s="3">
        <f>COUNTIFS(Requirements!$S4:$S34,"7.5.4",Requirements!J4:J34,"No")</f>
        <v>0</v>
      </c>
      <c r="P58" s="3">
        <f>COUNTIFS(Requirements!$S4:$S34,"7.5.4",Requirements!K4:K34,"No")</f>
        <v>0</v>
      </c>
      <c r="Q58" s="3">
        <f>COUNTIFS(Requirements!$S4:$S34,"7.5.4",Requirements!L4:L34,"No")</f>
        <v>0</v>
      </c>
    </row>
    <row r="59" spans="1:17" ht="25.5" x14ac:dyDescent="0.2">
      <c r="A59" s="3" t="s">
        <v>134</v>
      </c>
      <c r="B59" s="3">
        <f>COUNTIF('Monitoring &amp; Control'!S4:S47,"7.5.5")</f>
        <v>3</v>
      </c>
      <c r="C59" s="3">
        <f>COUNTIFS('Monitoring &amp; Control'!S4:S47,"7.5.5",'Monitoring &amp; Control'!H4:H47,"Yes")</f>
        <v>1</v>
      </c>
      <c r="D59" s="3">
        <f>COUNTIFS('Monitoring &amp; Control'!$S4:$S47,"7.5.5",'Monitoring &amp; Control'!H4:H47,"No")</f>
        <v>1</v>
      </c>
      <c r="E59" s="3">
        <f>COUNTIFS('Monitoring &amp; Control'!$S4:$S47,"7.5.5",'Monitoring &amp; Control'!I4:I47,"No")</f>
        <v>0</v>
      </c>
      <c r="F59" s="3">
        <f>COUNTIFS('Monitoring &amp; Control'!$S4:$S47,"7.5.5",'Monitoring &amp; Control'!J4:J47,"No")</f>
        <v>0</v>
      </c>
      <c r="G59" s="3">
        <f>COUNTIFS('Monitoring &amp; Control'!$S4:$S47,"7.5.5",'Monitoring &amp; Control'!K4:K47,"No")</f>
        <v>0</v>
      </c>
      <c r="H59" s="3">
        <f>COUNTIFS('Monitoring &amp; Control'!$S4:$S47,"7.5.5",'Monitoring &amp; Control'!L4:L47,"No")</f>
        <v>0</v>
      </c>
      <c r="I59" s="5"/>
      <c r="J59" s="3" t="s">
        <v>134</v>
      </c>
      <c r="K59" s="3">
        <f>COUNTIF(Requirements!S4:S26,"7.5.5")</f>
        <v>0</v>
      </c>
      <c r="L59" s="3">
        <f>COUNTIFS(Requirements!S4:S34,"7.5.5",Requirements!H4:H34,"Yes")</f>
        <v>0</v>
      </c>
      <c r="M59" s="3">
        <f>COUNTIFS(Requirements!$S4:$S34,"7.5.5",Requirements!H4:H34,"No")</f>
        <v>0</v>
      </c>
      <c r="N59" s="3">
        <f>COUNTIFS(Requirements!$S4:$S34,"7.5.5",Requirements!I4:I34,"No")</f>
        <v>0</v>
      </c>
      <c r="O59" s="3">
        <f>COUNTIFS(Requirements!$S4:$S34,"7.5.5",Requirements!J4:J34,"No")</f>
        <v>0</v>
      </c>
      <c r="P59" s="3">
        <f>COUNTIFS(Requirements!$S4:$S34,"7.5.5",Requirements!K4:K34,"No")</f>
        <v>0</v>
      </c>
      <c r="Q59" s="3">
        <f>COUNTIFS(Requirements!$S4:$S34,"7.5.5",Requirements!L4:L34,"No")</f>
        <v>0</v>
      </c>
    </row>
    <row r="60" spans="1:17" ht="25.5" x14ac:dyDescent="0.2">
      <c r="A60" s="3" t="s">
        <v>135</v>
      </c>
      <c r="B60" s="3">
        <f>COUNTIF('Monitoring &amp; Control'!S4:S47,"7.6")</f>
        <v>0</v>
      </c>
      <c r="C60" s="3">
        <f>COUNTIFS('Monitoring &amp; Control'!S4:S47,"7.6",'Monitoring &amp; Control'!H4:H47,"Yes")</f>
        <v>0</v>
      </c>
      <c r="D60" s="3">
        <f>COUNTIFS('Monitoring &amp; Control'!$S4:$S47,"7.6",'Monitoring &amp; Control'!H4:H47,"No")</f>
        <v>0</v>
      </c>
      <c r="E60" s="3">
        <f>COUNTIFS('Monitoring &amp; Control'!$S4:$S47,"7.6",'Monitoring &amp; Control'!I4:I47,"No")</f>
        <v>0</v>
      </c>
      <c r="F60" s="3">
        <f>COUNTIFS('Monitoring &amp; Control'!$S4:$S47,"7.6",'Monitoring &amp; Control'!J4:J47,"No")</f>
        <v>0</v>
      </c>
      <c r="G60" s="3">
        <f>COUNTIFS('Monitoring &amp; Control'!$S4:$S47,"7.6",'Monitoring &amp; Control'!K4:K47,"No")</f>
        <v>0</v>
      </c>
      <c r="H60" s="3">
        <f>COUNTIFS('Monitoring &amp; Control'!$S4:$S47,"7.6",'Monitoring &amp; Control'!L4:L47,"No")</f>
        <v>0</v>
      </c>
      <c r="I60" s="5"/>
      <c r="J60" s="3" t="s">
        <v>135</v>
      </c>
      <c r="K60" s="3">
        <f>COUNTIF(Requirements!S4:S26,"7.6")</f>
        <v>0</v>
      </c>
      <c r="L60" s="3">
        <f>COUNTIFS(Requirements!S4:S34,"7.6",Requirements!H4:H34,"Yes")</f>
        <v>0</v>
      </c>
      <c r="M60" s="3">
        <f>COUNTIFS(Requirements!$S4:$S34,"7.6",Requirements!H4:H34,"No")</f>
        <v>0</v>
      </c>
      <c r="N60" s="3">
        <f>COUNTIFS(Requirements!$S4:$S34,"7.6",Requirements!I4:I34,"No")</f>
        <v>0</v>
      </c>
      <c r="O60" s="3">
        <f>COUNTIFS(Requirements!$S4:$S34,"7.6",Requirements!J4:J34,"No")</f>
        <v>0</v>
      </c>
      <c r="P60" s="3">
        <f>COUNTIFS(Requirements!$S4:$S34,"7.6",Requirements!K4:K34,"No")</f>
        <v>0</v>
      </c>
      <c r="Q60" s="3">
        <f>COUNTIFS(Requirements!$S4:$S34,"7.6",Requirements!L4:L34,"No")</f>
        <v>0</v>
      </c>
    </row>
    <row r="61" spans="1:17" ht="38.25" x14ac:dyDescent="0.2">
      <c r="A61" s="3" t="s">
        <v>136</v>
      </c>
      <c r="B61" s="3">
        <f>COUNTIF('Monitoring &amp; Control'!S4:S47,"8.1")</f>
        <v>10</v>
      </c>
      <c r="C61" s="3">
        <f>COUNTIFS('Monitoring &amp; Control'!S4:S47,"8.1",'Monitoring &amp; Control'!H4:H47,"Yes")</f>
        <v>2</v>
      </c>
      <c r="D61" s="3">
        <f>COUNTIFS('Monitoring &amp; Control'!$S4:$S47,"8.1",'Monitoring &amp; Control'!H4:H47,"No")</f>
        <v>7</v>
      </c>
      <c r="E61" s="3">
        <f>COUNTIFS('Monitoring &amp; Control'!$S4:$S47,"8.1",'Monitoring &amp; Control'!I4:I47,"No")</f>
        <v>0</v>
      </c>
      <c r="F61" s="3">
        <f>COUNTIFS('Monitoring &amp; Control'!$S4:$S47,"8.1",'Monitoring &amp; Control'!J4:J47,"No")</f>
        <v>0</v>
      </c>
      <c r="G61" s="3">
        <f>COUNTIFS('Monitoring &amp; Control'!$S4:$S47,"8.1",'Monitoring &amp; Control'!K4:K47,"No")</f>
        <v>0</v>
      </c>
      <c r="H61" s="3">
        <f>COUNTIFS('Monitoring &amp; Control'!$S4:$S47,"8.1",'Monitoring &amp; Control'!L4:L47,"No")</f>
        <v>0</v>
      </c>
      <c r="I61" s="5"/>
      <c r="J61" s="3" t="s">
        <v>136</v>
      </c>
      <c r="K61" s="3">
        <f>COUNTIF(Requirements!S4:S26,"8.1")</f>
        <v>0</v>
      </c>
      <c r="L61" s="3">
        <f>COUNTIFS(Requirements!S4:S34,"8.1",Requirements!H4:H34,"Yes")</f>
        <v>0</v>
      </c>
      <c r="M61" s="3">
        <f>COUNTIFS(Requirements!$S4:$S34,"8.1",Requirements!H4:H34,"No")</f>
        <v>0</v>
      </c>
      <c r="N61" s="3">
        <f>COUNTIFS(Requirements!$S4:$S34,"8.1",Requirements!I4:I34,"No")</f>
        <v>0</v>
      </c>
      <c r="O61" s="3">
        <f>COUNTIFS(Requirements!$S4:$S34,"8.1",Requirements!J4:J34,"No")</f>
        <v>0</v>
      </c>
      <c r="P61" s="3">
        <f>COUNTIFS(Requirements!$S4:$S34,"8.1",Requirements!K4:K34,"No")</f>
        <v>0</v>
      </c>
      <c r="Q61" s="3">
        <f>COUNTIFS(Requirements!$S4:$S34,"8.1",Requirements!L4:L34,"No")</f>
        <v>0</v>
      </c>
    </row>
    <row r="62" spans="1:17" ht="25.5" x14ac:dyDescent="0.2">
      <c r="A62" s="3" t="s">
        <v>137</v>
      </c>
      <c r="B62" s="3">
        <f>COUNTIF('Monitoring &amp; Control'!S4:S47,"8.2.1")</f>
        <v>1</v>
      </c>
      <c r="C62" s="3">
        <f>COUNTIFS('Monitoring &amp; Control'!S4:S47,"8.2.1",'Monitoring &amp; Control'!H4:H47,"Yes")</f>
        <v>0</v>
      </c>
      <c r="D62" s="3">
        <f>COUNTIFS('Monitoring &amp; Control'!$S4:$S47,"8.2.1",'Monitoring &amp; Control'!H4:H47,"No")</f>
        <v>1</v>
      </c>
      <c r="E62" s="3">
        <f>COUNTIFS('Monitoring &amp; Control'!$S4:$S47,"8.2.1",'Monitoring &amp; Control'!I4:I47,"No")</f>
        <v>0</v>
      </c>
      <c r="F62" s="3">
        <f>COUNTIFS('Monitoring &amp; Control'!$S4:$S47,"8.2.1",'Monitoring &amp; Control'!J4:J47,"No")</f>
        <v>0</v>
      </c>
      <c r="G62" s="3">
        <f>COUNTIFS('Monitoring &amp; Control'!$S4:$S47,"8.2.1",'Monitoring &amp; Control'!K4:K47,"No")</f>
        <v>0</v>
      </c>
      <c r="H62" s="3">
        <f>COUNTIFS('Monitoring &amp; Control'!$S4:$S47,"8.2.1",'Monitoring &amp; Control'!L4:L47,"No")</f>
        <v>0</v>
      </c>
      <c r="I62" s="5"/>
      <c r="J62" s="3" t="s">
        <v>137</v>
      </c>
      <c r="K62" s="3">
        <f>COUNTIF(Requirements!S4:S26,"8.2.1")</f>
        <v>0</v>
      </c>
      <c r="L62" s="3">
        <f>COUNTIFS(Requirements!S4:S34,"8.2.1",Requirements!H4:H34,"Yes")</f>
        <v>0</v>
      </c>
      <c r="M62" s="3">
        <f>COUNTIFS(Requirements!$S4:$S34,"8.2.1",Requirements!H4:H34,"No")</f>
        <v>0</v>
      </c>
      <c r="N62" s="3">
        <f>COUNTIFS(Requirements!$S4:$S34,"8.2.1",Requirements!I4:I34,"No")</f>
        <v>0</v>
      </c>
      <c r="O62" s="3">
        <f>COUNTIFS(Requirements!$S4:$S34,"8.2.1",Requirements!J4:J34,"No")</f>
        <v>0</v>
      </c>
      <c r="P62" s="3">
        <f>COUNTIFS(Requirements!$S4:$S34,"8.2.1",Requirements!K4:K34,"No")</f>
        <v>0</v>
      </c>
      <c r="Q62" s="3">
        <f>COUNTIFS(Requirements!$S4:$S34,"8.2.1",Requirements!L4:L34,"No")</f>
        <v>0</v>
      </c>
    </row>
    <row r="63" spans="1:17" ht="25.5" x14ac:dyDescent="0.2">
      <c r="A63" s="3" t="s">
        <v>138</v>
      </c>
      <c r="B63" s="3">
        <f>COUNTIF('Monitoring &amp; Control'!S4:S47,"8.2.3")</f>
        <v>1</v>
      </c>
      <c r="C63" s="3">
        <f>COUNTIFS('Monitoring &amp; Control'!S4:S47,"8.2.3",'Monitoring &amp; Control'!H4:H47,"Yes")</f>
        <v>0</v>
      </c>
      <c r="D63" s="3">
        <f>COUNTIFS('Monitoring &amp; Control'!$S4:$S47,"8.2.3",'Monitoring &amp; Control'!H4:H47,"No")</f>
        <v>0</v>
      </c>
      <c r="E63" s="3">
        <f>COUNTIFS('Monitoring &amp; Control'!$S4:$S47,"8.2.3",'Monitoring &amp; Control'!I4:I47,"No")</f>
        <v>0</v>
      </c>
      <c r="F63" s="3">
        <f>COUNTIFS('Monitoring &amp; Control'!$S4:$S47,"8.2.3",'Monitoring &amp; Control'!J4:J47,"No")</f>
        <v>0</v>
      </c>
      <c r="G63" s="3">
        <f>COUNTIFS('Monitoring &amp; Control'!$S4:$S47,"8.2.3",'Monitoring &amp; Control'!K4:K47,"No")</f>
        <v>0</v>
      </c>
      <c r="H63" s="3">
        <f>COUNTIFS('Monitoring &amp; Control'!$S4:$S47,"8.2.3",'Monitoring &amp; Control'!L4:L47,"No")</f>
        <v>0</v>
      </c>
      <c r="I63" s="5"/>
      <c r="J63" s="3" t="s">
        <v>138</v>
      </c>
      <c r="K63" s="3">
        <f>COUNTIF(Requirements!S4:S26,"8.2.3")</f>
        <v>1</v>
      </c>
      <c r="L63" s="3">
        <f>COUNTIFS(Requirements!S4:S34,"8.2.3",Requirements!H4:H34,"Yes")</f>
        <v>0</v>
      </c>
      <c r="M63" s="3">
        <f>COUNTIFS(Requirements!$S4:$S34,"8.2.3",Requirements!H4:H34,"No")</f>
        <v>0</v>
      </c>
      <c r="N63" s="3">
        <f>COUNTIFS(Requirements!$S4:$S34,"8.2.3",Requirements!I4:I34,"No")</f>
        <v>0</v>
      </c>
      <c r="O63" s="3">
        <f>COUNTIFS(Requirements!$S4:$S34,"8.2.3",Requirements!J4:J34,"No")</f>
        <v>0</v>
      </c>
      <c r="P63" s="3">
        <f>COUNTIFS(Requirements!$S4:$S34,"8.2.3",Requirements!K4:K34,"No")</f>
        <v>0</v>
      </c>
      <c r="Q63" s="3">
        <f>COUNTIFS(Requirements!$S4:$S34,"8.2.3",Requirements!L4:L34,"No")</f>
        <v>0</v>
      </c>
    </row>
    <row r="64" spans="1:17" ht="25.5" x14ac:dyDescent="0.2">
      <c r="A64" s="3" t="s">
        <v>139</v>
      </c>
      <c r="B64" s="3">
        <f>COUNTIF('Monitoring &amp; Control'!S4:S47,"8.2.4")</f>
        <v>0</v>
      </c>
      <c r="C64" s="3">
        <f>COUNTIFS('Monitoring &amp; Control'!S4:S47,"8.2.4",'Monitoring &amp; Control'!H4:H47,"Yes")</f>
        <v>0</v>
      </c>
      <c r="D64" s="3">
        <f>COUNTIFS('Monitoring &amp; Control'!$S4:$S47,"8.2.4",'Monitoring &amp; Control'!H4:H47,"No")</f>
        <v>0</v>
      </c>
      <c r="E64" s="3">
        <f>COUNTIFS('Monitoring &amp; Control'!$S4:$S47,"8.2.4",'Monitoring &amp; Control'!I4:I47,"No")</f>
        <v>0</v>
      </c>
      <c r="F64" s="3">
        <f>COUNTIFS('Monitoring &amp; Control'!$S4:$S47,"8.2.4",'Monitoring &amp; Control'!J4:J47,"No")</f>
        <v>0</v>
      </c>
      <c r="G64" s="3">
        <f>COUNTIFS('Monitoring &amp; Control'!$S4:$S47,"8.2.4",'Monitoring &amp; Control'!K4:K47,"No")</f>
        <v>0</v>
      </c>
      <c r="H64" s="3">
        <f>COUNTIFS('Monitoring &amp; Control'!$S4:$S47,"8.2.4",'Monitoring &amp; Control'!L4:L47,"No")</f>
        <v>0</v>
      </c>
      <c r="I64" s="5"/>
      <c r="J64" s="3" t="s">
        <v>139</v>
      </c>
      <c r="K64" s="3">
        <f>COUNTIF(Requirements!S4:S26,"8.2.4")</f>
        <v>0</v>
      </c>
      <c r="L64" s="3">
        <f>COUNTIFS(Requirements!S4:S34,"8.2.4",Requirements!H4:H34,"Yes")</f>
        <v>0</v>
      </c>
      <c r="M64" s="3">
        <f>COUNTIFS(Requirements!$S4:$S34,"8.2.4",Requirements!H4:H34,"No")</f>
        <v>0</v>
      </c>
      <c r="N64" s="3">
        <f>COUNTIFS(Requirements!$S4:$S34,"8.2.4",Requirements!I4:I34,"No")</f>
        <v>0</v>
      </c>
      <c r="O64" s="3">
        <f>COUNTIFS(Requirements!$S4:$S34,"8.2.4",Requirements!J4:J34,"No")</f>
        <v>0</v>
      </c>
      <c r="P64" s="3">
        <f>COUNTIFS(Requirements!$S4:$S34,"8.2.4",Requirements!K4:K34,"No")</f>
        <v>0</v>
      </c>
      <c r="Q64" s="3">
        <f>COUNTIFS(Requirements!$S4:$S34,"8.2.4",Requirements!L4:L34,"No")</f>
        <v>0</v>
      </c>
    </row>
    <row r="65" spans="1:17" ht="25.5" x14ac:dyDescent="0.2">
      <c r="A65" s="3" t="s">
        <v>140</v>
      </c>
      <c r="B65" s="3">
        <f>COUNTIF('Monitoring &amp; Control'!S4:S47,"8.3")</f>
        <v>0</v>
      </c>
      <c r="C65" s="3">
        <f>COUNTIFS('Monitoring &amp; Control'!S4:S47,"8.3",'Monitoring &amp; Control'!H4:H47,"Yes")</f>
        <v>0</v>
      </c>
      <c r="D65" s="3">
        <f>COUNTIFS('Monitoring &amp; Control'!$S4:$S47,"8.3",'Monitoring &amp; Control'!H4:H47,"No")</f>
        <v>0</v>
      </c>
      <c r="E65" s="3">
        <f>COUNTIFS('Monitoring &amp; Control'!$S4:$S47,"8.3",'Monitoring &amp; Control'!I4:I47,"No")</f>
        <v>0</v>
      </c>
      <c r="F65" s="3">
        <f>COUNTIFS('Monitoring &amp; Control'!$S4:$S47,"8.3",'Monitoring &amp; Control'!J4:J47,"No")</f>
        <v>0</v>
      </c>
      <c r="G65" s="3">
        <f>COUNTIFS('Monitoring &amp; Control'!$S4:$S47,"8.3",'Monitoring &amp; Control'!K4:K47,"No")</f>
        <v>0</v>
      </c>
      <c r="H65" s="3">
        <f>COUNTIFS('Monitoring &amp; Control'!$S4:$S47,"8.3",'Monitoring &amp; Control'!L4:L47,"No")</f>
        <v>0</v>
      </c>
      <c r="I65" s="5"/>
      <c r="J65" s="3" t="s">
        <v>140</v>
      </c>
      <c r="K65" s="3">
        <f>COUNTIF(Requirements!S4:S26,"8.3")</f>
        <v>0</v>
      </c>
      <c r="L65" s="3">
        <f>COUNTIFS(Requirements!S4:S34,"8.3",Requirements!H4:H34,"Yes")</f>
        <v>0</v>
      </c>
      <c r="M65" s="3">
        <f>COUNTIFS(Requirements!$S4:$S34,"8.3",Requirements!H4:H34,"No")</f>
        <v>0</v>
      </c>
      <c r="N65" s="3">
        <f>COUNTIFS(Requirements!$S4:$S34,"8.3",Requirements!I4:I34,"No")</f>
        <v>0</v>
      </c>
      <c r="O65" s="3">
        <f>COUNTIFS(Requirements!$S4:$S34,"8.3",Requirements!J4:J34,"No")</f>
        <v>0</v>
      </c>
      <c r="P65" s="3">
        <f>COUNTIFS(Requirements!$S4:$S34,"8.3",Requirements!K4:K34,"No")</f>
        <v>0</v>
      </c>
      <c r="Q65" s="3">
        <f>COUNTIFS(Requirements!$S4:$S34,"8.3",Requirements!L4:L34,"No")</f>
        <v>0</v>
      </c>
    </row>
    <row r="66" spans="1:17" x14ac:dyDescent="0.2">
      <c r="A66" s="3" t="s">
        <v>141</v>
      </c>
      <c r="B66" s="3">
        <f>COUNTIF('Monitoring &amp; Control'!S4:S47,"8.4")</f>
        <v>1</v>
      </c>
      <c r="C66" s="3">
        <f>COUNTIFS('Monitoring &amp; Control'!S4:S47,"8.4",'Monitoring &amp; Control'!H4:H47,"Yes")</f>
        <v>0</v>
      </c>
      <c r="D66" s="3">
        <f>COUNTIFS('Monitoring &amp; Control'!$S4:$S47,"8.4",'Monitoring &amp; Control'!H4:H47,"No")</f>
        <v>1</v>
      </c>
      <c r="E66" s="3">
        <f>COUNTIFS('Monitoring &amp; Control'!$S4:$S47,"8.4",'Monitoring &amp; Control'!I4:I47,"No")</f>
        <v>0</v>
      </c>
      <c r="F66" s="3">
        <f>COUNTIFS('Monitoring &amp; Control'!$S4:$S47,"8.4",'Monitoring &amp; Control'!J4:J47,"No")</f>
        <v>0</v>
      </c>
      <c r="G66" s="3">
        <f>COUNTIFS('Monitoring &amp; Control'!$S4:$S47,"8.4",'Monitoring &amp; Control'!K4:K47,"No")</f>
        <v>0</v>
      </c>
      <c r="H66" s="3">
        <f>COUNTIFS('Monitoring &amp; Control'!$S4:$S47,"8.4",'Monitoring &amp; Control'!L4:L47,"No")</f>
        <v>0</v>
      </c>
      <c r="I66" s="5"/>
      <c r="J66" s="3" t="s">
        <v>141</v>
      </c>
      <c r="K66" s="3">
        <f>COUNTIF(Requirements!S4:S26,"8.4")</f>
        <v>0</v>
      </c>
      <c r="L66" s="3">
        <f>COUNTIFS(Requirements!S4:S34,"8.4",Requirements!H4:H34,"Yes")</f>
        <v>0</v>
      </c>
      <c r="M66" s="3">
        <f>COUNTIFS(Requirements!$S4:$S34,"8.4",Requirements!H4:H34,"No")</f>
        <v>0</v>
      </c>
      <c r="N66" s="3">
        <f>COUNTIFS(Requirements!$S4:$S34,"8.4",Requirements!I4:I34,"No")</f>
        <v>0</v>
      </c>
      <c r="O66" s="3">
        <f>COUNTIFS(Requirements!$S4:$S34,"8.4",Requirements!J4:J34,"No")</f>
        <v>0</v>
      </c>
      <c r="P66" s="3">
        <f>COUNTIFS(Requirements!$S4:$S34,"8.4",Requirements!K4:K34,"No")</f>
        <v>0</v>
      </c>
      <c r="Q66" s="3">
        <f>COUNTIFS(Requirements!$S4:$S34,"8.4",Requirements!L4:L34,"No")</f>
        <v>0</v>
      </c>
    </row>
    <row r="67" spans="1:17" ht="25.5" x14ac:dyDescent="0.2">
      <c r="A67" s="3" t="s">
        <v>142</v>
      </c>
      <c r="B67" s="3">
        <f>COUNTIF('Monitoring &amp; Control'!S4:S47,"8.5.1")</f>
        <v>0</v>
      </c>
      <c r="C67" s="3">
        <f>COUNTIFS('Monitoring &amp; Control'!S4:S47,"8.5.1",'Monitoring &amp; Control'!H4:H47,"Yes")</f>
        <v>0</v>
      </c>
      <c r="D67" s="3">
        <f>COUNTIFS('Monitoring &amp; Control'!$S4:$S47,"8.5.1",'Monitoring &amp; Control'!H4:H47,"No")</f>
        <v>0</v>
      </c>
      <c r="E67" s="3">
        <f>COUNTIFS('Monitoring &amp; Control'!$S4:$S47,"8.5.1",'Monitoring &amp; Control'!I4:I47,"No")</f>
        <v>0</v>
      </c>
      <c r="F67" s="3">
        <f>COUNTIFS('Monitoring &amp; Control'!$S4:$S47,"8.5.1",'Monitoring &amp; Control'!J4:J47,"No")</f>
        <v>0</v>
      </c>
      <c r="G67" s="3">
        <f>COUNTIFS('Monitoring &amp; Control'!$S4:$S47,"8.5.1",'Monitoring &amp; Control'!K4:K47,"No")</f>
        <v>0</v>
      </c>
      <c r="H67" s="3">
        <f>COUNTIFS('Monitoring &amp; Control'!$S4:$S47,"8.5.1",'Monitoring &amp; Control'!L4:L47,"No")</f>
        <v>0</v>
      </c>
      <c r="I67" s="5"/>
      <c r="J67" s="3" t="s">
        <v>142</v>
      </c>
      <c r="K67" s="3">
        <f>COUNTIF(Requirements!S4:S26,"8.5.1")</f>
        <v>0</v>
      </c>
      <c r="L67" s="3">
        <f>COUNTIFS(Requirements!S4:S34,"8.5.1",Requirements!H4:H34,"Yes")</f>
        <v>0</v>
      </c>
      <c r="M67" s="3">
        <f>COUNTIFS(Requirements!$S4:$S34,"8.5.1",Requirements!H4:H34,"No")</f>
        <v>0</v>
      </c>
      <c r="N67" s="3">
        <f>COUNTIFS(Requirements!$S4:$S34,"8.5.1",Requirements!I4:I34,"No")</f>
        <v>0</v>
      </c>
      <c r="O67" s="3">
        <f>COUNTIFS(Requirements!$S4:$S34,"8.5.1",Requirements!J4:J34,"No")</f>
        <v>0</v>
      </c>
      <c r="P67" s="3">
        <f>COUNTIFS(Requirements!$S4:$S34,"8.5.1",Requirements!K4:K34,"No")</f>
        <v>0</v>
      </c>
      <c r="Q67" s="3">
        <f>COUNTIFS(Requirements!$S4:$S34,"8.5.1",Requirements!L4:L34,"No")</f>
        <v>0</v>
      </c>
    </row>
    <row r="68" spans="1:17" x14ac:dyDescent="0.2">
      <c r="A68" s="3" t="s">
        <v>143</v>
      </c>
      <c r="B68" s="3">
        <f>COUNTIF('Monitoring &amp; Control'!S4:S47,"8.5.2")</f>
        <v>2</v>
      </c>
      <c r="C68" s="3">
        <f>COUNTIFS('Monitoring &amp; Control'!S4:S47,"8.5.2",'Monitoring &amp; Control'!H4:H47,"Yes")</f>
        <v>0</v>
      </c>
      <c r="D68" s="3">
        <f>COUNTIFS('Monitoring &amp; Control'!$S4:$S47,"8.5.2",'Monitoring &amp; Control'!H4:H47,"No")</f>
        <v>2</v>
      </c>
      <c r="E68" s="3">
        <f>COUNTIFS('Monitoring &amp; Control'!$S4:$S47,"8.5.2",'Monitoring &amp; Control'!I4:I47,"No")</f>
        <v>0</v>
      </c>
      <c r="F68" s="3">
        <f>COUNTIFS('Monitoring &amp; Control'!$S4:$S47,"8.5.2",'Monitoring &amp; Control'!J4:J47,"No")</f>
        <v>0</v>
      </c>
      <c r="G68" s="3">
        <f>COUNTIFS('Monitoring &amp; Control'!$S4:$S47,"8.5.2",'Monitoring &amp; Control'!K4:K47,"No")</f>
        <v>0</v>
      </c>
      <c r="H68" s="3">
        <f>COUNTIFS('Monitoring &amp; Control'!$S4:$S47,"8.5.2",'Monitoring &amp; Control'!L4:L47,"No")</f>
        <v>0</v>
      </c>
      <c r="I68" s="5"/>
      <c r="J68" s="3" t="s">
        <v>143</v>
      </c>
      <c r="K68" s="3">
        <f>COUNTIF(Requirements!S4:S26,"8.5.2")</f>
        <v>0</v>
      </c>
      <c r="L68" s="3">
        <f>COUNTIFS(Requirements!S4:S34,"8.5.2",Requirements!H4:H34,"Yes")</f>
        <v>0</v>
      </c>
      <c r="M68" s="3">
        <f>COUNTIFS(Requirements!$S4:$S34,"8.5.2",Requirements!H4:H34,"No")</f>
        <v>0</v>
      </c>
      <c r="N68" s="3">
        <f>COUNTIFS(Requirements!$S4:$S34,"8.5.2",Requirements!I4:I34,"No")</f>
        <v>0</v>
      </c>
      <c r="O68" s="3">
        <f>COUNTIFS(Requirements!$S4:$S34,"8.5.2",Requirements!J4:J34,"No")</f>
        <v>0</v>
      </c>
      <c r="P68" s="3">
        <f>COUNTIFS(Requirements!$S4:$S34,"8.5.2",Requirements!K4:K34,"No")</f>
        <v>0</v>
      </c>
      <c r="Q68" s="3">
        <f>COUNTIFS(Requirements!$S4:$S34,"8.5.2",Requirements!L4:L34,"No")</f>
        <v>0</v>
      </c>
    </row>
    <row r="69" spans="1:17" x14ac:dyDescent="0.2">
      <c r="A69" s="3" t="s">
        <v>144</v>
      </c>
      <c r="B69" s="3">
        <f>COUNTIF('Monitoring &amp; Control'!S4:S47,"8.5.3")</f>
        <v>0</v>
      </c>
      <c r="C69" s="3">
        <f>COUNTIFS('Monitoring &amp; Control'!S4:S47,"8.5.3",'Monitoring &amp; Control'!H4:H47,"Yes")</f>
        <v>0</v>
      </c>
      <c r="D69" s="3">
        <f>COUNTIFS('Monitoring &amp; Control'!$S4:$S47,"8.5.3",'Monitoring &amp; Control'!H4:H47,"No")</f>
        <v>0</v>
      </c>
      <c r="E69" s="3">
        <f>COUNTIFS('Monitoring &amp; Control'!$S4:$S47,"8.5.3",'Monitoring &amp; Control'!I4:I47,"No")</f>
        <v>0</v>
      </c>
      <c r="F69" s="3">
        <f>COUNTIFS('Monitoring &amp; Control'!$S4:$S47,"8.5.3",'Monitoring &amp; Control'!J4:J47,"No")</f>
        <v>0</v>
      </c>
      <c r="G69" s="3">
        <f>COUNTIFS('Monitoring &amp; Control'!$S4:$S47,"8.5.3",'Monitoring &amp; Control'!K4:K47,"No")</f>
        <v>0</v>
      </c>
      <c r="H69" s="3">
        <f>COUNTIFS('Monitoring &amp; Control'!$S4:$S47,"8.5.3",'Monitoring &amp; Control'!L4:L47,"No")</f>
        <v>0</v>
      </c>
      <c r="I69" s="5"/>
      <c r="J69" s="3" t="s">
        <v>144</v>
      </c>
      <c r="K69" s="3">
        <f>COUNTIF(Requirements!S4:S26,"8.5.3")</f>
        <v>0</v>
      </c>
      <c r="L69" s="3">
        <f>COUNTIFS(Requirements!S4:S34,"8.5.3",Requirements!H4:H34,"Yes")</f>
        <v>0</v>
      </c>
      <c r="M69" s="3">
        <f>COUNTIFS(Requirements!$S4:$S34,"8.5.3",Requirements!H4:H34,"No")</f>
        <v>0</v>
      </c>
      <c r="N69" s="3">
        <f>COUNTIFS(Requirements!$S4:$S34,"8.5.3",Requirements!I4:I34,"No")</f>
        <v>0</v>
      </c>
      <c r="O69" s="3">
        <f>COUNTIFS(Requirements!$S4:$S34,"8.5.3",Requirements!J4:J34,"No")</f>
        <v>0</v>
      </c>
      <c r="P69" s="3">
        <f>COUNTIFS(Requirements!$S4:$S34,"8.5.3",Requirements!K4:K34,"No")</f>
        <v>0</v>
      </c>
      <c r="Q69" s="3">
        <f>COUNTIFS(Requirements!$S4:$S34,"8.5.3",Requirements!L4:L34,"No")</f>
        <v>0</v>
      </c>
    </row>
    <row r="70" spans="1:17" x14ac:dyDescent="0.2">
      <c r="A70" s="7" t="s">
        <v>9</v>
      </c>
      <c r="B70" s="9">
        <f t="shared" ref="B70:H70" si="2">SUM(B39:B69)</f>
        <v>32</v>
      </c>
      <c r="C70" s="9">
        <f t="shared" si="2"/>
        <v>6</v>
      </c>
      <c r="D70" s="9">
        <f t="shared" si="2"/>
        <v>14</v>
      </c>
      <c r="E70" s="9">
        <f t="shared" si="2"/>
        <v>0</v>
      </c>
      <c r="F70" s="9">
        <f t="shared" si="2"/>
        <v>0</v>
      </c>
      <c r="G70" s="9">
        <f t="shared" si="2"/>
        <v>0</v>
      </c>
      <c r="H70" s="9">
        <f t="shared" si="2"/>
        <v>0</v>
      </c>
      <c r="I70" s="5"/>
      <c r="J70" s="7" t="s">
        <v>9</v>
      </c>
      <c r="K70" s="9">
        <f t="shared" ref="K70:Q70" si="3">SUM(K39:K69)</f>
        <v>12</v>
      </c>
      <c r="L70" s="9">
        <f t="shared" si="3"/>
        <v>6</v>
      </c>
      <c r="M70" s="9">
        <f t="shared" si="3"/>
        <v>0</v>
      </c>
      <c r="N70" s="9">
        <f t="shared" si="3"/>
        <v>0</v>
      </c>
      <c r="O70" s="9">
        <f t="shared" si="3"/>
        <v>0</v>
      </c>
      <c r="P70" s="9">
        <f t="shared" si="3"/>
        <v>0</v>
      </c>
      <c r="Q70" s="9">
        <f t="shared" si="3"/>
        <v>0</v>
      </c>
    </row>
    <row r="71" spans="1:17" x14ac:dyDescent="0.2">
      <c r="A71" s="5"/>
      <c r="B71" s="5"/>
      <c r="C71" s="5"/>
      <c r="D71" s="5"/>
      <c r="E71" s="5"/>
      <c r="F71" s="5"/>
      <c r="G71" s="5"/>
      <c r="H71" s="5"/>
      <c r="I71" s="5"/>
      <c r="J71" s="5"/>
      <c r="K71" s="5"/>
      <c r="L71" s="5"/>
      <c r="M71" s="5"/>
    </row>
    <row r="72" spans="1:17" x14ac:dyDescent="0.2">
      <c r="A72" s="6" t="s">
        <v>86</v>
      </c>
      <c r="B72" s="5"/>
      <c r="C72" s="5"/>
      <c r="D72" s="5"/>
      <c r="E72" s="5"/>
      <c r="F72" s="5"/>
      <c r="G72" s="5"/>
      <c r="H72" s="5"/>
      <c r="I72" s="5"/>
      <c r="J72" s="6" t="s">
        <v>13</v>
      </c>
      <c r="K72" s="5"/>
      <c r="L72" s="5"/>
      <c r="M72" s="5"/>
    </row>
    <row r="73" spans="1:17" ht="25.5" x14ac:dyDescent="0.2">
      <c r="A73" s="7" t="s">
        <v>111</v>
      </c>
      <c r="B73" s="7" t="s">
        <v>112</v>
      </c>
      <c r="C73" s="7" t="s">
        <v>113</v>
      </c>
      <c r="D73" s="7" t="s">
        <v>516</v>
      </c>
      <c r="E73" s="7" t="s">
        <v>517</v>
      </c>
      <c r="F73" s="7" t="s">
        <v>520</v>
      </c>
      <c r="G73" s="7" t="s">
        <v>519</v>
      </c>
      <c r="H73" s="7" t="s">
        <v>518</v>
      </c>
      <c r="I73" s="5"/>
      <c r="J73" s="7" t="s">
        <v>111</v>
      </c>
      <c r="K73" s="7" t="s">
        <v>112</v>
      </c>
      <c r="L73" s="7" t="s">
        <v>113</v>
      </c>
      <c r="M73" s="7" t="s">
        <v>516</v>
      </c>
      <c r="N73" s="7" t="s">
        <v>517</v>
      </c>
      <c r="O73" s="7" t="s">
        <v>520</v>
      </c>
      <c r="P73" s="7" t="s">
        <v>519</v>
      </c>
      <c r="Q73" s="7" t="s">
        <v>518</v>
      </c>
    </row>
    <row r="74" spans="1:17" x14ac:dyDescent="0.2">
      <c r="A74" s="3" t="s">
        <v>114</v>
      </c>
      <c r="B74" s="3">
        <f>COUNTIF(Design!S4:S70,"4.2.3")</f>
        <v>0</v>
      </c>
      <c r="C74" s="3">
        <f>COUNTIFS(Design!S4:S70,"4.2.3",Design!H4:H70,"Yes")</f>
        <v>0</v>
      </c>
      <c r="D74" s="3">
        <f>COUNTIFS(Design!$S4:$S70,"4.2.3",Design!H4:H70,"No")</f>
        <v>0</v>
      </c>
      <c r="E74" s="3">
        <f>COUNTIFS(Design!$S4:$S70,"4.2.3",Design!I4:I70,"No")</f>
        <v>0</v>
      </c>
      <c r="F74" s="3">
        <f>COUNTIFS(Design!$S4:$S70,"4.2.3",Design!J4:J70,"No")</f>
        <v>0</v>
      </c>
      <c r="G74" s="3">
        <f>COUNTIFS(Design!$S4:$S70,"4.2.3",Design!K4:K70,"No")</f>
        <v>0</v>
      </c>
      <c r="H74" s="3">
        <f>COUNTIFS(Design!$S4:$S70,"4.2.3",Design!L4:L70,"No")</f>
        <v>0</v>
      </c>
      <c r="I74" s="5"/>
      <c r="J74" s="3" t="s">
        <v>114</v>
      </c>
      <c r="K74" s="3">
        <f>COUNTIF(Testing!S4:S47,"4.2.3")</f>
        <v>0</v>
      </c>
      <c r="L74" s="3">
        <f>COUNTIFS(Testing!S4:S47,"4.2.3",Testing!H4:H47,"Yes")</f>
        <v>0</v>
      </c>
      <c r="M74" s="3">
        <f>COUNTIFS(Testing!$S4:$S47,"4.2.3",Testing!H4:H47,"No")</f>
        <v>0</v>
      </c>
      <c r="N74" s="3">
        <f>COUNTIFS(Testing!$S4:$S47,"4.2.3",Testing!I4:I47,"No")</f>
        <v>0</v>
      </c>
      <c r="O74" s="3">
        <f>COUNTIFS(Testing!$S4:$S47,"4.2.3",Testing!J4:J47,"No")</f>
        <v>0</v>
      </c>
      <c r="P74" s="3">
        <f>COUNTIFS(Testing!$S4:$S47,"4.2.3",Testing!K4:K47,"No")</f>
        <v>0</v>
      </c>
      <c r="Q74" s="3">
        <f>COUNTIFS(Testing!$S4:$S47,"4.2.3",Testing!L4:L47,"No")</f>
        <v>0</v>
      </c>
    </row>
    <row r="75" spans="1:17" x14ac:dyDescent="0.2">
      <c r="A75" s="3" t="s">
        <v>115</v>
      </c>
      <c r="B75" s="3">
        <f>COUNTIF(Design!S4:S70,"4.2.4")</f>
        <v>25</v>
      </c>
      <c r="C75" s="3">
        <f>COUNTIFS(Design!S4:S70,"4.2.4",Design!H4:H70,"Yes")</f>
        <v>0</v>
      </c>
      <c r="D75" s="3">
        <f>COUNTIFS(Design!$S4:$S70,"4.2.4",Design!H4:H70,"No")</f>
        <v>2</v>
      </c>
      <c r="E75" s="3">
        <f>COUNTIFS(Design!$S4:$S70,"4.2.4",Design!I4:I70,"No")</f>
        <v>0</v>
      </c>
      <c r="F75" s="3">
        <f>COUNTIFS(Design!$S4:$S70,"4.2.4",Design!J4:J70,"No")</f>
        <v>0</v>
      </c>
      <c r="G75" s="3">
        <f>COUNTIFS(Design!$S4:$S70,"4.2.4",Design!K4:K70,"No")</f>
        <v>0</v>
      </c>
      <c r="H75" s="3">
        <f>COUNTIFS(Design!$S4:$S70,"4.2.4",Design!L4:L70,"No")</f>
        <v>0</v>
      </c>
      <c r="I75" s="5"/>
      <c r="J75" s="3" t="s">
        <v>115</v>
      </c>
      <c r="K75" s="3">
        <f>COUNTIF(Testing!S4:S47,"4.2.4")</f>
        <v>0</v>
      </c>
      <c r="L75" s="3">
        <f>COUNTIFS(Testing!S4:S47,"4.2.4",Testing!H4:H47,"Yes")</f>
        <v>0</v>
      </c>
      <c r="M75" s="3">
        <f>COUNTIFS(Testing!$S4:$S47,"4.2.4",Testing!H4:H47,"No")</f>
        <v>0</v>
      </c>
      <c r="N75" s="3">
        <f>COUNTIFS(Testing!$S4:$S47,"4.2.4",Testing!I4:I47,"No")</f>
        <v>0</v>
      </c>
      <c r="O75" s="3">
        <f>COUNTIFS(Testing!$S4:$S47,"4.2.4",Testing!J4:J47,"No")</f>
        <v>0</v>
      </c>
      <c r="P75" s="3">
        <f>COUNTIFS(Testing!$S4:$S47,"4.2.4",Testing!K4:K47,"No")</f>
        <v>0</v>
      </c>
      <c r="Q75" s="3">
        <f>COUNTIFS(Testing!$S4:$S47,"4.2.4",Testing!L4:L47,"No")</f>
        <v>0</v>
      </c>
    </row>
    <row r="76" spans="1:17" x14ac:dyDescent="0.2">
      <c r="A76" s="3" t="s">
        <v>116</v>
      </c>
      <c r="B76" s="3">
        <f>COUNTIF(Design!S4:S70,"6.2.2")</f>
        <v>0</v>
      </c>
      <c r="C76" s="3">
        <f>COUNTIFS(Design!S4:S70,"6.2.2",Design!H4:H70,"Yes")</f>
        <v>0</v>
      </c>
      <c r="D76" s="3">
        <f>COUNTIFS(Design!$S4:$S70,"6.2.2",Design!H4:H70,"No")</f>
        <v>0</v>
      </c>
      <c r="E76" s="3">
        <f>COUNTIFS(Design!$S4:$S70,"6.2.2",Design!I4:I70,"No")</f>
        <v>0</v>
      </c>
      <c r="F76" s="3">
        <f>COUNTIFS(Design!$S4:$S70,"6.2.2",Design!J4:J70,"No")</f>
        <v>0</v>
      </c>
      <c r="G76" s="3">
        <f>COUNTIFS(Design!$S4:$S70,"6.2.2",Design!K4:K70,"No")</f>
        <v>0</v>
      </c>
      <c r="H76" s="3">
        <f>COUNTIFS(Design!$S4:$S70,"6.2.2",Design!L4:L70,"No")</f>
        <v>0</v>
      </c>
      <c r="I76" s="5"/>
      <c r="J76" s="3" t="s">
        <v>116</v>
      </c>
      <c r="K76" s="3">
        <f>COUNTIF(Testing!S4:S47,"6.2.2")</f>
        <v>0</v>
      </c>
      <c r="L76" s="3">
        <f>COUNTIFS(Testing!S4:S47,"6.2.2",Testing!H4:H47,"Yes")</f>
        <v>0</v>
      </c>
      <c r="M76" s="3">
        <f>COUNTIFS(Testing!$S4:$S47,"6.2.2",Testing!H4:H47,"No")</f>
        <v>0</v>
      </c>
      <c r="N76" s="3">
        <f>COUNTIFS(Testing!$S4:$S47,"6.2.2",Testing!I4:I47,"No")</f>
        <v>0</v>
      </c>
      <c r="O76" s="3">
        <f>COUNTIFS(Testing!$S4:$S47,"6.2.2",Testing!J4:J47,"No")</f>
        <v>0</v>
      </c>
      <c r="P76" s="3">
        <f>COUNTIFS(Testing!$S4:$S47,"6.2.2",Testing!K4:K47,"No")</f>
        <v>0</v>
      </c>
      <c r="Q76" s="3">
        <f>COUNTIFS(Testing!$S4:$S47,"6.2.2",Testing!L4:L47,"No")</f>
        <v>0</v>
      </c>
    </row>
    <row r="77" spans="1:17" x14ac:dyDescent="0.2">
      <c r="A77" s="3" t="s">
        <v>117</v>
      </c>
      <c r="B77" s="3">
        <f>COUNTIF(Design!S4:S70,"6.3")</f>
        <v>0</v>
      </c>
      <c r="C77" s="3">
        <f>COUNTIFS(Design!S4:S70,"6.3",Design!H4:H70,"Yes")</f>
        <v>0</v>
      </c>
      <c r="D77" s="3">
        <f>COUNTIFS(Design!$S4:$S70,"6.3",Design!H4:H70,"No")</f>
        <v>0</v>
      </c>
      <c r="E77" s="3">
        <f>COUNTIFS(Design!$S4:$S70,"6.3",Design!I4:I70,"No")</f>
        <v>0</v>
      </c>
      <c r="F77" s="3">
        <f>COUNTIFS(Design!$S4:$S70,"6.3",Design!J4:J70,"No")</f>
        <v>0</v>
      </c>
      <c r="G77" s="3">
        <f>COUNTIFS(Design!$S4:$S70,"6.3",Design!K4:K70,"No")</f>
        <v>0</v>
      </c>
      <c r="H77" s="3">
        <f>COUNTIFS(Design!$S4:$S70,"6.3",Design!L4:L70,"No")</f>
        <v>0</v>
      </c>
      <c r="I77" s="5"/>
      <c r="J77" s="3" t="s">
        <v>117</v>
      </c>
      <c r="K77" s="3">
        <f>COUNTIF(Testing!S4:S47,"6.3")</f>
        <v>0</v>
      </c>
      <c r="L77" s="3">
        <f>COUNTIFS(Testing!S4:S47,"6.3",Testing!H4:H47,"Yes")</f>
        <v>0</v>
      </c>
      <c r="M77" s="3">
        <f>COUNTIFS(Testing!$S4:$S47,"6.3",Testing!H4:H47,"No")</f>
        <v>0</v>
      </c>
      <c r="N77" s="3">
        <f>COUNTIFS(Testing!$S4:$S47,"6.3",Testing!I4:I47,"No")</f>
        <v>0</v>
      </c>
      <c r="O77" s="3">
        <f>COUNTIFS(Testing!$S4:$S47,"6.3",Testing!J4:J47,"No")</f>
        <v>0</v>
      </c>
      <c r="P77" s="3">
        <f>COUNTIFS(Testing!$S4:$S47,"6.3",Testing!K4:K47,"No")</f>
        <v>0</v>
      </c>
      <c r="Q77" s="3">
        <f>COUNTIFS(Testing!$S4:$S47,"6.3",Testing!L4:L47,"No")</f>
        <v>0</v>
      </c>
    </row>
    <row r="78" spans="1:17" x14ac:dyDescent="0.2">
      <c r="A78" s="3" t="s">
        <v>118</v>
      </c>
      <c r="B78" s="3">
        <f>COUNTIF(Design!S4:S70,"6.4")</f>
        <v>0</v>
      </c>
      <c r="C78" s="3">
        <f>COUNTIFS(Design!S4:S70,"6.4",Design!H4:H70,"Yes")</f>
        <v>0</v>
      </c>
      <c r="D78" s="3">
        <f>COUNTIFS(Design!$S4:$S70,"6.4",Design!H4:H70,"No")</f>
        <v>0</v>
      </c>
      <c r="E78" s="3">
        <f>COUNTIFS(Design!$S4:$S70,"6.4",Design!I4:I70,"No")</f>
        <v>0</v>
      </c>
      <c r="F78" s="3">
        <f>COUNTIFS(Design!$S4:$S70,"6.4",Design!J4:J70,"No")</f>
        <v>0</v>
      </c>
      <c r="G78" s="3">
        <f>COUNTIFS(Design!$S4:$S70,"6.4",Design!K4:K70,"No")</f>
        <v>0</v>
      </c>
      <c r="H78" s="3">
        <f>COUNTIFS(Design!$S4:$S70,"6.4",Design!L4:L70,"No")</f>
        <v>0</v>
      </c>
      <c r="I78" s="5"/>
      <c r="J78" s="3" t="s">
        <v>118</v>
      </c>
      <c r="K78" s="3">
        <f>COUNTIF(Testing!S4:S47,"6.4")</f>
        <v>0</v>
      </c>
      <c r="L78" s="3">
        <f>COUNTIFS(Testing!S4:S47,"6.4",Testing!H4:H47,"Yes")</f>
        <v>0</v>
      </c>
      <c r="M78" s="3">
        <f>COUNTIFS(Testing!$S4:$S47,"6.4",Testing!H4:H47,"No")</f>
        <v>0</v>
      </c>
      <c r="N78" s="3">
        <f>COUNTIFS(Testing!$S4:$S47,"6.4",Testing!I4:I47,"No")</f>
        <v>0</v>
      </c>
      <c r="O78" s="3">
        <f>COUNTIFS(Testing!$S4:$S47,"6.4",Testing!J4:J47,"No")</f>
        <v>0</v>
      </c>
      <c r="P78" s="3">
        <f>COUNTIFS(Testing!$S4:$S47,"6.4",Testing!K4:K47,"No")</f>
        <v>0</v>
      </c>
      <c r="Q78" s="3">
        <f>COUNTIFS(Testing!$S4:$S47,"6.4",Testing!L4:L47,"No")</f>
        <v>0</v>
      </c>
    </row>
    <row r="79" spans="1:17" x14ac:dyDescent="0.2">
      <c r="A79" s="3" t="s">
        <v>119</v>
      </c>
      <c r="B79" s="3">
        <f>COUNTIF(Design!S4:S70,"7.1")</f>
        <v>0</v>
      </c>
      <c r="C79" s="3">
        <f>COUNTIFS(Design!S4:S70,"7.1",Design!H4:H70,"Yes")</f>
        <v>0</v>
      </c>
      <c r="D79" s="3">
        <f>COUNTIFS(Design!$S4:$S70,"7.1",Design!H4:H70,"No")</f>
        <v>0</v>
      </c>
      <c r="E79" s="3">
        <f>COUNTIFS(Design!$S4:$S70,"7.1",Design!I4:I70,"No")</f>
        <v>0</v>
      </c>
      <c r="F79" s="3">
        <f>COUNTIFS(Design!$S4:$S70,"7.1",Design!J4:J70,"No")</f>
        <v>0</v>
      </c>
      <c r="G79" s="3">
        <f>COUNTIFS(Design!$S4:$S70,"7.1",Design!K4:K70,"No")</f>
        <v>0</v>
      </c>
      <c r="H79" s="3">
        <f>COUNTIFS(Design!$S4:$S70,"7.1",Design!L4:L70,"No")</f>
        <v>0</v>
      </c>
      <c r="I79" s="5"/>
      <c r="J79" s="3" t="s">
        <v>119</v>
      </c>
      <c r="K79" s="3">
        <f>COUNTIF(Testing!S4:S47,"7.1")</f>
        <v>0</v>
      </c>
      <c r="L79" s="3">
        <f>COUNTIFS(Testing!S4:S47,"7.1",Testing!H4:H47,"Yes")</f>
        <v>0</v>
      </c>
      <c r="M79" s="3">
        <f>COUNTIFS(Testing!$S4:$S47,"7.1",Testing!H4:H47,"No")</f>
        <v>0</v>
      </c>
      <c r="N79" s="3">
        <f>COUNTIFS(Testing!$S4:$S47,"7.1",Testing!I4:I47,"No")</f>
        <v>0</v>
      </c>
      <c r="O79" s="3">
        <f>COUNTIFS(Testing!$S4:$S47,"7.1",Testing!J4:J47,"No")</f>
        <v>0</v>
      </c>
      <c r="P79" s="3">
        <f>COUNTIFS(Testing!$S4:$S47,"7.1",Testing!K4:K47,"No")</f>
        <v>0</v>
      </c>
      <c r="Q79" s="3">
        <f>COUNTIFS(Testing!$S4:$S47,"7.1",Testing!L4:L47,"No")</f>
        <v>0</v>
      </c>
    </row>
    <row r="80" spans="1:17" ht="25.5" x14ac:dyDescent="0.2">
      <c r="A80" s="3" t="s">
        <v>120</v>
      </c>
      <c r="B80" s="3">
        <f>COUNTIF(Design!S4:S70,"7.2.1")</f>
        <v>0</v>
      </c>
      <c r="C80" s="3">
        <f>COUNTIFS(Design!S4:S70,"7.2.1",Design!H4:H70,"Yes")</f>
        <v>0</v>
      </c>
      <c r="D80" s="3">
        <f>COUNTIFS(Design!$S4:$S70,"7.2.1",Design!H4:H70,"No")</f>
        <v>0</v>
      </c>
      <c r="E80" s="3">
        <f>COUNTIFS(Design!$S4:$S70,"7.2.1",Design!I4:I70,"No")</f>
        <v>0</v>
      </c>
      <c r="F80" s="3">
        <f>COUNTIFS(Design!$S4:$S70,"7.2.1",Design!J4:J70,"No")</f>
        <v>0</v>
      </c>
      <c r="G80" s="3">
        <f>COUNTIFS(Design!$S4:$S70,"7.2.1",Design!K4:K70,"No")</f>
        <v>0</v>
      </c>
      <c r="H80" s="3">
        <f>COUNTIFS(Design!$S4:$S70,"7.2.1",Design!L4:L70,"No")</f>
        <v>0</v>
      </c>
      <c r="I80" s="5"/>
      <c r="J80" s="3" t="s">
        <v>120</v>
      </c>
      <c r="K80" s="3">
        <f>COUNTIF(Testing!S4:S47,"7.2.1")</f>
        <v>0</v>
      </c>
      <c r="L80" s="3">
        <f>COUNTIFS(Testing!S4:S47,"7.2.1",Testing!H4:H47,"Yes")</f>
        <v>0</v>
      </c>
      <c r="M80" s="3">
        <f>COUNTIFS(Testing!$S4:$S47,"7.2.1",Testing!H4:H47,"No")</f>
        <v>0</v>
      </c>
      <c r="N80" s="3">
        <f>COUNTIFS(Testing!$S4:$S47,"7.2.1",Testing!I4:I47,"No")</f>
        <v>0</v>
      </c>
      <c r="O80" s="3">
        <f>COUNTIFS(Testing!$S4:$S47,"7.2.1",Testing!J4:J47,"No")</f>
        <v>0</v>
      </c>
      <c r="P80" s="3">
        <f>COUNTIFS(Testing!$S4:$S47,"7.2.1",Testing!K4:K47,"No")</f>
        <v>0</v>
      </c>
      <c r="Q80" s="3">
        <f>COUNTIFS(Testing!$S4:$S47,"7.2.1",Testing!L4:L47,"No")</f>
        <v>0</v>
      </c>
    </row>
    <row r="81" spans="1:17" ht="25.5" x14ac:dyDescent="0.2">
      <c r="A81" s="3" t="s">
        <v>121</v>
      </c>
      <c r="B81" s="3">
        <f>COUNTIF(Design!S4:S70,"7.2.2")</f>
        <v>0</v>
      </c>
      <c r="C81" s="3">
        <f>COUNTIFS(Design!S4:S70,"7.2.2",Design!H4:H70,"Yes")</f>
        <v>0</v>
      </c>
      <c r="D81" s="3">
        <f>COUNTIFS(Design!$S4:$S70,"7.2.2",Design!H4:H70,"No")</f>
        <v>0</v>
      </c>
      <c r="E81" s="3">
        <f>COUNTIFS(Design!$S4:$S70,"7.2.2",Design!I4:I70,"No")</f>
        <v>0</v>
      </c>
      <c r="F81" s="3">
        <f>COUNTIFS(Design!$S4:$S70,"7.2.2",Design!J4:J70,"No")</f>
        <v>0</v>
      </c>
      <c r="G81" s="3">
        <f>COUNTIFS(Design!$S4:$S70,"7.2.2",Design!K4:K70,"No")</f>
        <v>0</v>
      </c>
      <c r="H81" s="3">
        <f>COUNTIFS(Design!$S4:$S70,"7.2.2",Design!L4:L70,"No")</f>
        <v>0</v>
      </c>
      <c r="I81" s="5"/>
      <c r="J81" s="3" t="s">
        <v>121</v>
      </c>
      <c r="K81" s="3">
        <f>COUNTIF(Testing!S4:S47,"7.2.2")</f>
        <v>0</v>
      </c>
      <c r="L81" s="3">
        <f>COUNTIFS(Testing!S4:S47,"7.2.2",Testing!H4:H47,"Yes")</f>
        <v>0</v>
      </c>
      <c r="M81" s="3">
        <f>COUNTIFS(Testing!$S4:$S47,"7.2.2",Testing!H4:H47,"No")</f>
        <v>0</v>
      </c>
      <c r="N81" s="3">
        <f>COUNTIFS(Testing!$S4:$S47,"7.2.2",Testing!I4:I47,"No")</f>
        <v>0</v>
      </c>
      <c r="O81" s="3">
        <f>COUNTIFS(Testing!$S4:$S47,"7.2.2",Testing!J4:J47,"No")</f>
        <v>0</v>
      </c>
      <c r="P81" s="3">
        <f>COUNTIFS(Testing!$S4:$S47,"7.2.2",Testing!K4:K47,"No")</f>
        <v>0</v>
      </c>
      <c r="Q81" s="3">
        <f>COUNTIFS(Testing!$S4:$S47,"7.2.2",Testing!L4:L47,"No")</f>
        <v>0</v>
      </c>
    </row>
    <row r="82" spans="1:17" ht="25.5" x14ac:dyDescent="0.2">
      <c r="A82" s="3" t="s">
        <v>122</v>
      </c>
      <c r="B82" s="3">
        <f>COUNTIF(Design!S4:S70,"7.2.3")</f>
        <v>0</v>
      </c>
      <c r="C82" s="3">
        <f>COUNTIFS(Design!S4:S70,"7.2.3",Design!H4:H70,"Yes")</f>
        <v>0</v>
      </c>
      <c r="D82" s="3">
        <f>COUNTIFS(Design!$S4:$S70,"7.2.3",Design!H4:H70,"No")</f>
        <v>0</v>
      </c>
      <c r="E82" s="3">
        <f>COUNTIFS(Design!$S4:$S70,"7.2.3",Design!I4:I70,"No")</f>
        <v>0</v>
      </c>
      <c r="F82" s="3">
        <f>COUNTIFS(Design!$S4:$S70,"7.2.3",Design!J4:J70,"No")</f>
        <v>0</v>
      </c>
      <c r="G82" s="3">
        <f>COUNTIFS(Design!$S4:$S70,"7.2.3",Design!K4:K70,"No")</f>
        <v>0</v>
      </c>
      <c r="H82" s="3">
        <f>COUNTIFS(Design!$S4:$S70,"7.2.3",Design!L4:L70,"No")</f>
        <v>0</v>
      </c>
      <c r="I82" s="5"/>
      <c r="J82" s="3" t="s">
        <v>122</v>
      </c>
      <c r="K82" s="3">
        <f>COUNTIF(Testing!S4:S47,"7.2.3")</f>
        <v>0</v>
      </c>
      <c r="L82" s="3">
        <f>COUNTIFS(Testing!S4:S47,"7.2.3",Testing!H4:H47,"Yes")</f>
        <v>0</v>
      </c>
      <c r="M82" s="3">
        <f>COUNTIFS(Testing!$S4:$S47,"7.2.3",Testing!H4:H47,"No")</f>
        <v>0</v>
      </c>
      <c r="N82" s="3">
        <f>COUNTIFS(Testing!$S4:$S47,"7.2.3",Testing!I4:I47,"No")</f>
        <v>0</v>
      </c>
      <c r="O82" s="3">
        <f>COUNTIFS(Testing!$S4:$S47,"7.2.3",Testing!J4:J47,"No")</f>
        <v>0</v>
      </c>
      <c r="P82" s="3">
        <f>COUNTIFS(Testing!$S4:$S47,"7.2.3",Testing!K4:K47,"No")</f>
        <v>0</v>
      </c>
      <c r="Q82" s="3">
        <f>COUNTIFS(Testing!$S4:$S47,"7.2.3",Testing!L4:L47,"No")</f>
        <v>0</v>
      </c>
    </row>
    <row r="83" spans="1:17" ht="25.5" x14ac:dyDescent="0.2">
      <c r="A83" s="3" t="s">
        <v>123</v>
      </c>
      <c r="B83" s="3">
        <f>COUNTIF(Design!S4:S70,"7.3.1")</f>
        <v>2</v>
      </c>
      <c r="C83" s="3">
        <f>COUNTIFS(Design!S4:S70,"7.3.1",Design!H4:H70,"Yes")</f>
        <v>1</v>
      </c>
      <c r="D83" s="3">
        <f>COUNTIFS(Design!$S4:$S70,"7.3.1",Design!H4:H70,"No")</f>
        <v>0</v>
      </c>
      <c r="E83" s="3">
        <f>COUNTIFS(Design!$S4:$S70,"7.3.1",Design!I4:I70,"No")</f>
        <v>0</v>
      </c>
      <c r="F83" s="3">
        <f>COUNTIFS(Design!$S4:$S70,"7.3.1",Design!J4:J70,"No")</f>
        <v>0</v>
      </c>
      <c r="G83" s="3">
        <f>COUNTIFS(Design!$S4:$S70,"7.3.1",Design!K4:K70,"No")</f>
        <v>0</v>
      </c>
      <c r="H83" s="3">
        <f>COUNTIFS(Design!$S4:$S70,"7.3.1",Design!L4:L70,"No")</f>
        <v>0</v>
      </c>
      <c r="I83" s="5"/>
      <c r="J83" s="3" t="s">
        <v>123</v>
      </c>
      <c r="K83" s="3">
        <f>COUNTIF(Testing!S4:S47,"7.3.1")</f>
        <v>0</v>
      </c>
      <c r="L83" s="3">
        <f>COUNTIFS(Testing!S4:S47,"7.3.1",Testing!H4:H47,"Yes")</f>
        <v>0</v>
      </c>
      <c r="M83" s="3">
        <f>COUNTIFS(Testing!$S4:$S47,"7.3.1",Testing!H4:H47,"No")</f>
        <v>0</v>
      </c>
      <c r="N83" s="3">
        <f>COUNTIFS(Testing!$S4:$S47,"7.3.1",Testing!I4:I47,"No")</f>
        <v>0</v>
      </c>
      <c r="O83" s="3">
        <f>COUNTIFS(Testing!$S4:$S47,"7.3.1",Testing!J4:J47,"No")</f>
        <v>0</v>
      </c>
      <c r="P83" s="3">
        <f>COUNTIFS(Testing!$S4:$S47,"7.3.1",Testing!K4:K47,"No")</f>
        <v>0</v>
      </c>
      <c r="Q83" s="3">
        <f>COUNTIFS(Testing!$S4:$S47,"7.3.1",Testing!L4:L47,"No")</f>
        <v>0</v>
      </c>
    </row>
    <row r="84" spans="1:17" x14ac:dyDescent="0.2">
      <c r="A84" s="3" t="s">
        <v>124</v>
      </c>
      <c r="B84" s="3">
        <f>COUNTIF(Design!S4:S70,"7.3.2")</f>
        <v>3</v>
      </c>
      <c r="C84" s="3">
        <f>COUNTIFS(Design!S4:S70,"7.3.2",Design!H4:H70,"Yes")</f>
        <v>0</v>
      </c>
      <c r="D84" s="3">
        <f>COUNTIFS(Design!$S4:$S70,"7.3.2",Design!H4:H70,"No")</f>
        <v>0</v>
      </c>
      <c r="E84" s="3">
        <f>COUNTIFS(Design!$S4:$S70,"7.3.2",Design!I4:I70,"No")</f>
        <v>0</v>
      </c>
      <c r="F84" s="3">
        <f>COUNTIFS(Design!$S4:$S70,"7.3.2",Design!J4:J70,"No")</f>
        <v>0</v>
      </c>
      <c r="G84" s="3">
        <f>COUNTIFS(Design!$S4:$S70,"7.3.2",Design!K4:K70,"No")</f>
        <v>0</v>
      </c>
      <c r="H84" s="3">
        <f>COUNTIFS(Design!$S4:$S70,"7.3.2",Design!L4:L70,"No")</f>
        <v>0</v>
      </c>
      <c r="I84" s="5"/>
      <c r="J84" s="3" t="s">
        <v>124</v>
      </c>
      <c r="K84" s="3">
        <f>COUNTIF(Testing!S4:S47,"7.3.2")</f>
        <v>0</v>
      </c>
      <c r="L84" s="3">
        <f>COUNTIFS(Testing!S4:S47,"7.3.2",Testing!H4:H47,"Yes")</f>
        <v>0</v>
      </c>
      <c r="M84" s="3">
        <f>COUNTIFS(Testing!$S4:$S47,"7.3.2",Testing!H4:H47,"No")</f>
        <v>0</v>
      </c>
      <c r="N84" s="3">
        <f>COUNTIFS(Testing!$S4:$S47,"7.3.2",Testing!I4:I47,"No")</f>
        <v>0</v>
      </c>
      <c r="O84" s="3">
        <f>COUNTIFS(Testing!$S4:$S47,"7.3.2",Testing!J4:J47,"No")</f>
        <v>0</v>
      </c>
      <c r="P84" s="3">
        <f>COUNTIFS(Testing!$S4:$S47,"7.3.2",Testing!K4:K47,"No")</f>
        <v>0</v>
      </c>
      <c r="Q84" s="3">
        <f>COUNTIFS(Testing!$S4:$S47,"7.3.2",Testing!L4:L47,"No")</f>
        <v>0</v>
      </c>
    </row>
    <row r="85" spans="1:17" ht="25.5" x14ac:dyDescent="0.2">
      <c r="A85" s="3" t="s">
        <v>125</v>
      </c>
      <c r="B85" s="3">
        <f>COUNTIF(Design!S4:S70,"7.3.3")</f>
        <v>6</v>
      </c>
      <c r="C85" s="3">
        <f>COUNTIFS(Design!S4:S70,"7.3.3",Design!H4:H70,"Yes")</f>
        <v>1</v>
      </c>
      <c r="D85" s="3">
        <f>COUNTIFS(Design!$S4:$S70,"7.3.3",Design!H4:H70,"No")</f>
        <v>0</v>
      </c>
      <c r="E85" s="3">
        <f>COUNTIFS(Design!$S4:$S70,"7.3.3",Design!I4:I70,"No")</f>
        <v>0</v>
      </c>
      <c r="F85" s="3">
        <f>COUNTIFS(Design!$S4:$S70,"7.3.3",Design!J4:J70,"No")</f>
        <v>0</v>
      </c>
      <c r="G85" s="3">
        <f>COUNTIFS(Design!$S4:$S70,"7.3.3",Design!K4:K70,"No")</f>
        <v>0</v>
      </c>
      <c r="H85" s="3">
        <f>COUNTIFS(Design!$S4:$S70,"7.3.3",Design!L4:L70,"No")</f>
        <v>0</v>
      </c>
      <c r="I85" s="5"/>
      <c r="J85" s="3" t="s">
        <v>125</v>
      </c>
      <c r="K85" s="3">
        <f>COUNTIF(Testing!S4:S47,"7.3.3")</f>
        <v>0</v>
      </c>
      <c r="L85" s="3">
        <f>COUNTIFS(Testing!S4:S47,"7.3.3",Testing!H4:H47,"Yes")</f>
        <v>0</v>
      </c>
      <c r="M85" s="3">
        <f>COUNTIFS(Testing!$S4:$S47,"7.3.3",Testing!H4:H47,"No")</f>
        <v>0</v>
      </c>
      <c r="N85" s="3">
        <f>COUNTIFS(Testing!$S4:$S47,"7.3.3",Testing!I4:I47,"No")</f>
        <v>0</v>
      </c>
      <c r="O85" s="3">
        <f>COUNTIFS(Testing!$S4:$S47,"7.3.3",Testing!J4:J47,"No")</f>
        <v>0</v>
      </c>
      <c r="P85" s="3">
        <f>COUNTIFS(Testing!$S4:$S47,"7.3.3",Testing!K4:K47,"No")</f>
        <v>0</v>
      </c>
      <c r="Q85" s="3">
        <f>COUNTIFS(Testing!$S4:$S47,"7.3.3",Testing!L4:L47,"No")</f>
        <v>0</v>
      </c>
    </row>
    <row r="86" spans="1:17" ht="25.5" x14ac:dyDescent="0.2">
      <c r="A86" s="3" t="s">
        <v>126</v>
      </c>
      <c r="B86" s="3">
        <f>COUNTIF(Design!S4:S70,"7.3.4")</f>
        <v>6</v>
      </c>
      <c r="C86" s="3">
        <f>COUNTIFS(Design!S4:S70,"7.3.4",Design!H4:H70,"Yes")</f>
        <v>0</v>
      </c>
      <c r="D86" s="3">
        <f>COUNTIFS(Design!$S4:$S70,"7.3.4",Design!H4:H70,"No")</f>
        <v>0</v>
      </c>
      <c r="E86" s="3">
        <f>COUNTIFS(Design!$S4:$S70,"7.3.4",Design!I4:I70,"No")</f>
        <v>0</v>
      </c>
      <c r="F86" s="3">
        <f>COUNTIFS(Design!$S4:$S70,"7.3.4",Design!J4:J70,"No")</f>
        <v>0</v>
      </c>
      <c r="G86" s="3">
        <f>COUNTIFS(Design!$S4:$S70,"7.3.4",Design!K4:K70,"No")</f>
        <v>0</v>
      </c>
      <c r="H86" s="3">
        <f>COUNTIFS(Design!$S4:$S70,"7.3.4",Design!L4:L70,"No")</f>
        <v>0</v>
      </c>
      <c r="I86" s="5"/>
      <c r="J86" s="3" t="s">
        <v>126</v>
      </c>
      <c r="K86" s="3">
        <f>COUNTIF(Testing!S4:S47,"7.3.4")</f>
        <v>0</v>
      </c>
      <c r="L86" s="3">
        <f>COUNTIFS(Testing!S4:S47,"7.3.4",Testing!H4:H47,"Yes")</f>
        <v>0</v>
      </c>
      <c r="M86" s="3">
        <f>COUNTIFS(Testing!$S4:$S47,"7.3.4",Testing!H4:H47,"No")</f>
        <v>0</v>
      </c>
      <c r="N86" s="3">
        <f>COUNTIFS(Testing!$S4:$S47,"7.3.4",Testing!I4:I47,"No")</f>
        <v>0</v>
      </c>
      <c r="O86" s="3">
        <f>COUNTIFS(Testing!$S4:$S47,"7.3.4",Testing!J4:J47,"No")</f>
        <v>0</v>
      </c>
      <c r="P86" s="3">
        <f>COUNTIFS(Testing!$S4:$S47,"7.3.4",Testing!K4:K47,"No")</f>
        <v>0</v>
      </c>
      <c r="Q86" s="3">
        <f>COUNTIFS(Testing!$S4:$S47,"7.3.4",Testing!L4:L47,"No")</f>
        <v>0</v>
      </c>
    </row>
    <row r="87" spans="1:17" ht="25.5" x14ac:dyDescent="0.2">
      <c r="A87" s="3" t="s">
        <v>127</v>
      </c>
      <c r="B87" s="3">
        <f>COUNTIF(Design!S4:S70,"7.3.5")</f>
        <v>1</v>
      </c>
      <c r="C87" s="3">
        <f>COUNTIFS(Design!S4:S70,"7.3.5",Design!H4:H70,"Yes")</f>
        <v>0</v>
      </c>
      <c r="D87" s="3">
        <f>COUNTIFS(Design!$S4:$S70,"7.3.5",Design!H4:H70,"No")</f>
        <v>0</v>
      </c>
      <c r="E87" s="3">
        <f>COUNTIFS(Design!$S4:$S70,"7.3.5",Design!I4:I70,"No")</f>
        <v>0</v>
      </c>
      <c r="F87" s="3">
        <f>COUNTIFS(Design!$S4:$S70,"7.3.5",Design!J4:J70,"No")</f>
        <v>0</v>
      </c>
      <c r="G87" s="3">
        <f>COUNTIFS(Design!$S4:$S70,"7.3.5",Design!K4:K70,"No")</f>
        <v>0</v>
      </c>
      <c r="H87" s="3">
        <f>COUNTIFS(Design!$S4:$S70,"7.3.5",Design!L4:L70,"No")</f>
        <v>0</v>
      </c>
      <c r="I87" s="5"/>
      <c r="J87" s="3" t="s">
        <v>127</v>
      </c>
      <c r="K87" s="3">
        <f>COUNTIF(Testing!S4:S47,"7.3.5")</f>
        <v>0</v>
      </c>
      <c r="L87" s="3">
        <f>COUNTIFS(Testing!S4:S47,"7.3.5",Testing!H4:H47,"Yes")</f>
        <v>0</v>
      </c>
      <c r="M87" s="3">
        <f>COUNTIFS(Testing!$S4:$S47,"7.3.5",Testing!H4:H47,"No")</f>
        <v>0</v>
      </c>
      <c r="N87" s="3">
        <f>COUNTIFS(Testing!$S4:$S47,"7.3.5",Testing!I4:I47,"No")</f>
        <v>0</v>
      </c>
      <c r="O87" s="3">
        <f>COUNTIFS(Testing!$S4:$S47,"7.3.5",Testing!J4:J47,"No")</f>
        <v>0</v>
      </c>
      <c r="P87" s="3">
        <f>COUNTIFS(Testing!$S4:$S47,"7.3.5",Testing!K4:K47,"No")</f>
        <v>0</v>
      </c>
      <c r="Q87" s="3">
        <f>COUNTIFS(Testing!$S4:$S47,"7.3.5",Testing!L4:L47,"No")</f>
        <v>0</v>
      </c>
    </row>
    <row r="88" spans="1:17" ht="25.5" x14ac:dyDescent="0.2">
      <c r="A88" s="3" t="s">
        <v>128</v>
      </c>
      <c r="B88" s="3">
        <f>COUNTIF(Design!S4:S70,"7.3.6")</f>
        <v>5</v>
      </c>
      <c r="C88" s="3">
        <f>COUNTIFS(Design!S4:S70,"7.3.6",Design!H4:H70,"Yes")</f>
        <v>0</v>
      </c>
      <c r="D88" s="3">
        <f>COUNTIFS(Design!$S4:$S70,"7.3.6",Design!H4:H70,"No")</f>
        <v>0</v>
      </c>
      <c r="E88" s="3">
        <f>COUNTIFS(Design!$S4:$S70,"7.3.6",Design!I4:I70,"No")</f>
        <v>0</v>
      </c>
      <c r="F88" s="3">
        <f>COUNTIFS(Design!$S4:$S70,"7.3.6",Design!J4:J70,"No")</f>
        <v>0</v>
      </c>
      <c r="G88" s="3">
        <f>COUNTIFS(Design!$S4:$S70,"7.3.6",Design!K4:K70,"No")</f>
        <v>0</v>
      </c>
      <c r="H88" s="3">
        <f>COUNTIFS(Design!$S4:$S70,"7.3.6",Design!L4:L70,"No")</f>
        <v>0</v>
      </c>
      <c r="I88" s="5"/>
      <c r="J88" s="3" t="s">
        <v>128</v>
      </c>
      <c r="K88" s="3">
        <f>COUNTIF(Testing!S4:S47,"7.3.6")</f>
        <v>0</v>
      </c>
      <c r="L88" s="3">
        <f>COUNTIFS(Testing!S4:S47,"7.3.6",Testing!H4:H47,"Yes")</f>
        <v>0</v>
      </c>
      <c r="M88" s="3">
        <f>COUNTIFS(Testing!$S4:$S47,"7.3.6",Testing!H4:H47,"No")</f>
        <v>0</v>
      </c>
      <c r="N88" s="3">
        <f>COUNTIFS(Testing!$S4:$S47,"7.3.6",Testing!I4:I47,"No")</f>
        <v>0</v>
      </c>
      <c r="O88" s="3">
        <f>COUNTIFS(Testing!$S4:$S47,"7.3.6",Testing!J4:J47,"No")</f>
        <v>0</v>
      </c>
      <c r="P88" s="3">
        <f>COUNTIFS(Testing!$S4:$S47,"7.3.6",Testing!K4:K47,"No")</f>
        <v>0</v>
      </c>
      <c r="Q88" s="3">
        <f>COUNTIFS(Testing!$S4:$S47,"7.3.6",Testing!L4:L47,"No")</f>
        <v>0</v>
      </c>
    </row>
    <row r="89" spans="1:17" ht="25.5" x14ac:dyDescent="0.2">
      <c r="A89" s="3" t="s">
        <v>129</v>
      </c>
      <c r="B89" s="3">
        <f>COUNTIF(Design!S4:S70,"7.3.7")</f>
        <v>0</v>
      </c>
      <c r="C89" s="3">
        <f>COUNTIFS(Design!S4:S70,"7.3.7",Design!H4:H70,"Yes")</f>
        <v>0</v>
      </c>
      <c r="D89" s="3">
        <f>COUNTIFS(Design!$S4:$S70,"7.3.7",Design!H4:H70,"No")</f>
        <v>0</v>
      </c>
      <c r="E89" s="3">
        <f>COUNTIFS(Design!$S4:$S70,"7.3.7",Design!I4:I70,"No")</f>
        <v>0</v>
      </c>
      <c r="F89" s="3">
        <f>COUNTIFS(Design!$S4:$S70,"7.3.7",Design!J4:J70,"No")</f>
        <v>0</v>
      </c>
      <c r="G89" s="3">
        <f>COUNTIFS(Design!$S4:$S70,"7.3.7",Design!K4:K70,"No")</f>
        <v>0</v>
      </c>
      <c r="H89" s="3">
        <f>COUNTIFS(Design!$S4:$S70,"7.3.7",Design!L4:L70,"No")</f>
        <v>0</v>
      </c>
      <c r="I89" s="5"/>
      <c r="J89" s="3" t="s">
        <v>129</v>
      </c>
      <c r="K89" s="3">
        <f>COUNTIF(Testing!S4:S47,"7.3.7")</f>
        <v>0</v>
      </c>
      <c r="L89" s="3">
        <f>COUNTIFS(Testing!S4:S47,"7.3.7",Testing!H4:H47,"Yes")</f>
        <v>0</v>
      </c>
      <c r="M89" s="3">
        <f>COUNTIFS(Testing!$S4:$S47,"7.3.7",Testing!H4:H47,"No")</f>
        <v>0</v>
      </c>
      <c r="N89" s="3">
        <f>COUNTIFS(Testing!$S4:$S47,"7.3.7",Testing!I4:I47,"No")</f>
        <v>0</v>
      </c>
      <c r="O89" s="3">
        <f>COUNTIFS(Testing!$S4:$S47,"7.3.7",Testing!J4:J47,"No")</f>
        <v>0</v>
      </c>
      <c r="P89" s="3">
        <f>COUNTIFS(Testing!$S4:$S47,"7.3.7",Testing!K4:K47,"No")</f>
        <v>0</v>
      </c>
      <c r="Q89" s="3">
        <f>COUNTIFS(Testing!$S4:$S47,"7.3.7",Testing!L4:L47,"No")</f>
        <v>0</v>
      </c>
    </row>
    <row r="90" spans="1:17" ht="25.5" x14ac:dyDescent="0.2">
      <c r="A90" s="3" t="s">
        <v>130</v>
      </c>
      <c r="B90" s="3">
        <f>COUNTIF(Design!S4:S70,"7.5.1")</f>
        <v>0</v>
      </c>
      <c r="C90" s="3">
        <f>COUNTIFS(Design!S4:S70,"7.5.1",Design!H4:H70,"Yes")</f>
        <v>0</v>
      </c>
      <c r="D90" s="3">
        <f>COUNTIFS(Design!$S4:$S70,"7.5.1",Design!H4:H70,"No")</f>
        <v>0</v>
      </c>
      <c r="E90" s="3">
        <f>COUNTIFS(Design!$S4:$S70,"7.5.1",Design!I4:I70,"No")</f>
        <v>0</v>
      </c>
      <c r="F90" s="3">
        <f>COUNTIFS(Design!$S4:$S70,"7.5.1",Design!J4:J70,"No")</f>
        <v>0</v>
      </c>
      <c r="G90" s="3">
        <f>COUNTIFS(Design!$S4:$S70,"7.5.1",Design!K4:K70,"No")</f>
        <v>0</v>
      </c>
      <c r="H90" s="3">
        <f>COUNTIFS(Design!$S4:$S70,"7.5.1",Design!L4:L70,"No")</f>
        <v>0</v>
      </c>
      <c r="I90" s="5"/>
      <c r="J90" s="3" t="s">
        <v>130</v>
      </c>
      <c r="K90" s="3">
        <f>COUNTIF(Testing!S4:S47,"7.5.1")</f>
        <v>0</v>
      </c>
      <c r="L90" s="3">
        <f>COUNTIFS(Testing!S4:S47,"7.5.1",Testing!H4:H47,"Yes")</f>
        <v>0</v>
      </c>
      <c r="M90" s="3">
        <f>COUNTIFS(Testing!$S4:$S47,"7.5.1",Testing!H4:H47,"No")</f>
        <v>0</v>
      </c>
      <c r="N90" s="3">
        <f>COUNTIFS(Testing!$S4:$S47,"7.5.1",Testing!I4:I47,"No")</f>
        <v>0</v>
      </c>
      <c r="O90" s="3">
        <f>COUNTIFS(Testing!$S4:$S47,"7.5.1",Testing!J4:J47,"No")</f>
        <v>0</v>
      </c>
      <c r="P90" s="3">
        <f>COUNTIFS(Testing!$S4:$S47,"7.5.1",Testing!K4:K47,"No")</f>
        <v>0</v>
      </c>
      <c r="Q90" s="3">
        <f>COUNTIFS(Testing!$S4:$S47,"7.5.1",Testing!L4:L47,"No")</f>
        <v>0</v>
      </c>
    </row>
    <row r="91" spans="1:17" ht="38.25" x14ac:dyDescent="0.2">
      <c r="A91" s="3" t="s">
        <v>131</v>
      </c>
      <c r="B91" s="3">
        <f>COUNTIF(Design!S4:S70,"7.5.2")</f>
        <v>0</v>
      </c>
      <c r="C91" s="3">
        <f>COUNTIFS(Design!S4:S70,"7.5.2",Design!H4:H70,"Yes")</f>
        <v>0</v>
      </c>
      <c r="D91" s="3">
        <f>COUNTIFS(Design!$S4:$S70,"7.5.2",Design!H4:H70,"No")</f>
        <v>0</v>
      </c>
      <c r="E91" s="3">
        <f>COUNTIFS(Design!$S4:$S70,"7.5.2",Design!I4:I70,"No")</f>
        <v>0</v>
      </c>
      <c r="F91" s="3">
        <f>COUNTIFS(Design!$S4:$S70,"7.5.2",Design!J4:J70,"No")</f>
        <v>0</v>
      </c>
      <c r="G91" s="3">
        <f>COUNTIFS(Design!$S4:$S70,"7.5.2",Design!K4:K70,"No")</f>
        <v>0</v>
      </c>
      <c r="H91" s="3">
        <f>COUNTIFS(Design!$S4:$S70,"7.5.2",Design!L4:L70,"No")</f>
        <v>0</v>
      </c>
      <c r="I91" s="5"/>
      <c r="J91" s="3" t="s">
        <v>131</v>
      </c>
      <c r="K91" s="3">
        <f>COUNTIF(Testing!S4:S47,"7.5.2")</f>
        <v>0</v>
      </c>
      <c r="L91" s="3">
        <f>COUNTIFS(Testing!S4:S47,"7.5.2",Testing!H4:H47,"Yes")</f>
        <v>0</v>
      </c>
      <c r="M91" s="3">
        <f>COUNTIFS(Testing!$S4:$S47,"7.5.2",Testing!H4:H47,"No")</f>
        <v>0</v>
      </c>
      <c r="N91" s="3">
        <f>COUNTIFS(Testing!$S4:$S47,"7.5.2",Testing!I4:I47,"No")</f>
        <v>0</v>
      </c>
      <c r="O91" s="3">
        <f>COUNTIFS(Testing!$S4:$S47,"7.5.2",Testing!J4:J47,"No")</f>
        <v>0</v>
      </c>
      <c r="P91" s="3">
        <f>COUNTIFS(Testing!$S4:$S47,"7.5.2",Testing!K4:K47,"No")</f>
        <v>0</v>
      </c>
      <c r="Q91" s="3">
        <f>COUNTIFS(Testing!$S4:$S47,"7.5.2",Testing!L4:L47,"No")</f>
        <v>0</v>
      </c>
    </row>
    <row r="92" spans="1:17" ht="25.5" x14ac:dyDescent="0.2">
      <c r="A92" s="3" t="s">
        <v>132</v>
      </c>
      <c r="B92" s="3">
        <f>COUNTIF(Design!S4:S70,"7.5.3")</f>
        <v>0</v>
      </c>
      <c r="C92" s="3">
        <f>COUNTIFS(Design!S4:S70,"7.5.3",Design!H4:H70,"Yes")</f>
        <v>0</v>
      </c>
      <c r="D92" s="3">
        <f>COUNTIFS(Design!$S4:$S70,"7.5.3",Design!H4:H70,"No")</f>
        <v>0</v>
      </c>
      <c r="E92" s="3">
        <f>COUNTIFS(Design!$S4:$S70,"7.5.3",Design!I4:I70,"No")</f>
        <v>0</v>
      </c>
      <c r="F92" s="3">
        <f>COUNTIFS(Design!$S4:$S70,"7.5.3",Design!J4:J70,"No")</f>
        <v>0</v>
      </c>
      <c r="G92" s="3">
        <f>COUNTIFS(Design!$S4:$S70,"7.5.3",Design!K4:K70,"No")</f>
        <v>0</v>
      </c>
      <c r="H92" s="3">
        <f>COUNTIFS(Design!$S4:$S70,"7.5.3",Design!L4:L70,"No")</f>
        <v>0</v>
      </c>
      <c r="I92" s="5"/>
      <c r="J92" s="3" t="s">
        <v>132</v>
      </c>
      <c r="K92" s="3">
        <f>COUNTIF(Testing!S4:S47,"7.5.3")</f>
        <v>0</v>
      </c>
      <c r="L92" s="3">
        <f>COUNTIFS(Testing!S4:S47,"7.5.3",Testing!H4:H47,"Yes")</f>
        <v>0</v>
      </c>
      <c r="M92" s="3">
        <f>COUNTIFS(Testing!$S4:$S47,"7.5.3",Testing!H4:H47,"No")</f>
        <v>0</v>
      </c>
      <c r="N92" s="3">
        <f>COUNTIFS(Testing!$S4:$S47,"7.5.3",Testing!I4:I47,"No")</f>
        <v>0</v>
      </c>
      <c r="O92" s="3">
        <f>COUNTIFS(Testing!$S4:$S47,"7.5.3",Testing!J4:J47,"No")</f>
        <v>0</v>
      </c>
      <c r="P92" s="3">
        <f>COUNTIFS(Testing!$S4:$S47,"7.5.3",Testing!K4:K47,"No")</f>
        <v>0</v>
      </c>
      <c r="Q92" s="3">
        <f>COUNTIFS(Testing!$S4:$S47,"7.5.3",Testing!L4:L47,"No")</f>
        <v>0</v>
      </c>
    </row>
    <row r="93" spans="1:17" x14ac:dyDescent="0.2">
      <c r="A93" s="3" t="s">
        <v>133</v>
      </c>
      <c r="B93" s="3">
        <f>COUNTIF(Design!S4:S70,"7.5.4")</f>
        <v>0</v>
      </c>
      <c r="C93" s="3">
        <f>COUNTIFS(Design!S4:S70,"7.5.4",Design!H4:H70,"Yes")</f>
        <v>0</v>
      </c>
      <c r="D93" s="3">
        <f>COUNTIFS(Design!$S4:$S70,"7.5.4",Design!H4:H70,"No")</f>
        <v>0</v>
      </c>
      <c r="E93" s="3">
        <f>COUNTIFS(Design!$S4:$S70,"7.5.4",Design!I4:I70,"No")</f>
        <v>0</v>
      </c>
      <c r="F93" s="3">
        <f>COUNTIFS(Design!$S4:$S70,"7.5.4",Design!J4:J70,"No")</f>
        <v>0</v>
      </c>
      <c r="G93" s="3">
        <f>COUNTIFS(Design!$S4:$S70,"7.5.4",Design!K4:K70,"No")</f>
        <v>0</v>
      </c>
      <c r="H93" s="3">
        <f>COUNTIFS(Design!$S4:$S70,"7.5.4",Design!L4:L70,"No")</f>
        <v>0</v>
      </c>
      <c r="I93" s="5"/>
      <c r="J93" s="3" t="s">
        <v>133</v>
      </c>
      <c r="K93" s="3">
        <f>COUNTIF(Testing!S4:S47,"7.5.4")</f>
        <v>0</v>
      </c>
      <c r="L93" s="3">
        <f>COUNTIFS(Testing!S4:S47,"7.5.4",Testing!H4:H47,"Yes")</f>
        <v>0</v>
      </c>
      <c r="M93" s="3">
        <f>COUNTIFS(Testing!$S4:$S47,"7.5.4",Testing!H4:H47,"No")</f>
        <v>0</v>
      </c>
      <c r="N93" s="3">
        <f>COUNTIFS(Testing!$S4:$S47,"7.5.4",Testing!I4:I47,"No")</f>
        <v>0</v>
      </c>
      <c r="O93" s="3">
        <f>COUNTIFS(Testing!$S4:$S47,"7.5.4",Testing!J4:J47,"No")</f>
        <v>0</v>
      </c>
      <c r="P93" s="3">
        <f>COUNTIFS(Testing!$S4:$S47,"7.5.4",Testing!K4:K47,"No")</f>
        <v>0</v>
      </c>
      <c r="Q93" s="3">
        <f>COUNTIFS(Testing!$S4:$S47,"7.5.4",Testing!L4:L47,"No")</f>
        <v>0</v>
      </c>
    </row>
    <row r="94" spans="1:17" ht="25.5" x14ac:dyDescent="0.2">
      <c r="A94" s="3" t="s">
        <v>134</v>
      </c>
      <c r="B94" s="3">
        <f>COUNTIF(Design!S4:S70,"7.5.5")</f>
        <v>0</v>
      </c>
      <c r="C94" s="3">
        <f>COUNTIFS(Design!S4:S70,"7.5.5",Design!H4:H70,"Yes")</f>
        <v>0</v>
      </c>
      <c r="D94" s="3">
        <f>COUNTIFS(Design!$S4:$S70,"7.5.5",Design!H4:H70,"No")</f>
        <v>0</v>
      </c>
      <c r="E94" s="3">
        <f>COUNTIFS(Design!$S4:$S70,"7.5.5",Design!I4:I70,"No")</f>
        <v>0</v>
      </c>
      <c r="F94" s="3">
        <f>COUNTIFS(Design!$S4:$S70,"7.5.5",Design!J4:J70,"No")</f>
        <v>0</v>
      </c>
      <c r="G94" s="3">
        <f>COUNTIFS(Design!$S4:$S70,"7.5.5",Design!K4:K70,"No")</f>
        <v>0</v>
      </c>
      <c r="H94" s="3">
        <f>COUNTIFS(Design!$S4:$S70,"7.5.5",Design!L4:L70,"No")</f>
        <v>0</v>
      </c>
      <c r="I94" s="5"/>
      <c r="J94" s="3" t="s">
        <v>134</v>
      </c>
      <c r="K94" s="3">
        <f>COUNTIF(Testing!S4:S47,"7.5.5")</f>
        <v>0</v>
      </c>
      <c r="L94" s="3">
        <f>COUNTIFS(Testing!S4:S47,"7.5.5",Testing!H4:H47,"Yes")</f>
        <v>0</v>
      </c>
      <c r="M94" s="3">
        <f>COUNTIFS(Testing!$S4:$S47,"7.5.5",Testing!H4:H47,"No")</f>
        <v>0</v>
      </c>
      <c r="N94" s="3">
        <f>COUNTIFS(Testing!$S4:$S47,"7.5.5",Testing!I4:I47,"No")</f>
        <v>0</v>
      </c>
      <c r="O94" s="3">
        <f>COUNTIFS(Testing!$S4:$S47,"7.5.5",Testing!J4:J47,"No")</f>
        <v>0</v>
      </c>
      <c r="P94" s="3">
        <f>COUNTIFS(Testing!$S4:$S47,"7.5.5",Testing!K4:K47,"No")</f>
        <v>0</v>
      </c>
      <c r="Q94" s="3">
        <f>COUNTIFS(Testing!$S4:$S47,"7.5.5",Testing!L4:L47,"No")</f>
        <v>0</v>
      </c>
    </row>
    <row r="95" spans="1:17" ht="25.5" x14ac:dyDescent="0.2">
      <c r="A95" s="3" t="s">
        <v>135</v>
      </c>
      <c r="B95" s="3">
        <f>COUNTIF(Design!S4:S70,"7.6")</f>
        <v>0</v>
      </c>
      <c r="C95" s="3">
        <f>COUNTIFS(Design!S4:S70,"7.6",Design!H4:H70,"Yes")</f>
        <v>0</v>
      </c>
      <c r="D95" s="3">
        <f>COUNTIFS(Design!$S4:$S70,"7.6",Design!H4:H70,"No")</f>
        <v>0</v>
      </c>
      <c r="E95" s="3">
        <f>COUNTIFS(Design!$S4:$S70,"7.6",Design!I4:I70,"No")</f>
        <v>0</v>
      </c>
      <c r="F95" s="3">
        <f>COUNTIFS(Design!$S4:$S70,"7.6",Design!J4:J70,"No")</f>
        <v>0</v>
      </c>
      <c r="G95" s="3">
        <f>COUNTIFS(Design!$S4:$S70,"7.6",Design!K4:K70,"No")</f>
        <v>0</v>
      </c>
      <c r="H95" s="3">
        <f>COUNTIFS(Design!$S4:$S70,"7.6",Design!L4:L70,"No")</f>
        <v>0</v>
      </c>
      <c r="I95" s="5"/>
      <c r="J95" s="3" t="s">
        <v>135</v>
      </c>
      <c r="K95" s="3">
        <f>COUNTIF(Testing!S4:S47,"7.6")</f>
        <v>0</v>
      </c>
      <c r="L95" s="3">
        <f>COUNTIFS(Testing!S4:S47,"7.6",Testing!H4:H47,"Yes")</f>
        <v>0</v>
      </c>
      <c r="M95" s="3">
        <f>COUNTIFS(Testing!$S4:$S47,"7.6",Testing!H4:H47,"No")</f>
        <v>0</v>
      </c>
      <c r="N95" s="3">
        <f>COUNTIFS(Testing!$S4:$S47,"7.6",Testing!I4:I47,"No")</f>
        <v>0</v>
      </c>
      <c r="O95" s="3">
        <f>COUNTIFS(Testing!$S4:$S47,"7.6",Testing!J4:J47,"No")</f>
        <v>0</v>
      </c>
      <c r="P95" s="3">
        <f>COUNTIFS(Testing!$S4:$S47,"7.6",Testing!K4:K47,"No")</f>
        <v>0</v>
      </c>
      <c r="Q95" s="3">
        <f>COUNTIFS(Testing!$S4:$S47,"7.6",Testing!L4:L47,"No")</f>
        <v>0</v>
      </c>
    </row>
    <row r="96" spans="1:17" ht="38.25" x14ac:dyDescent="0.2">
      <c r="A96" s="3" t="s">
        <v>136</v>
      </c>
      <c r="B96" s="3">
        <f>COUNTIF(Design!S4:S70,"8.1")</f>
        <v>0</v>
      </c>
      <c r="C96" s="3">
        <f>COUNTIFS(Design!S4:S70,"8.1",Design!H4:H70,"Yes")</f>
        <v>0</v>
      </c>
      <c r="D96" s="3">
        <f>COUNTIFS(Design!$S4:$S70,"8.1",Design!H4:H70,"No")</f>
        <v>0</v>
      </c>
      <c r="E96" s="3">
        <f>COUNTIFS(Design!$S4:$S70,"8.1",Design!I4:I70,"No")</f>
        <v>0</v>
      </c>
      <c r="F96" s="3">
        <f>COUNTIFS(Design!$S4:$S70,"8.1",Design!J4:J70,"No")</f>
        <v>0</v>
      </c>
      <c r="G96" s="3">
        <f>COUNTIFS(Design!$S4:$S70,"8.1",Design!K4:K70,"No")</f>
        <v>0</v>
      </c>
      <c r="H96" s="3">
        <f>COUNTIFS(Design!$S4:$S70,"8.1",Design!L4:L70,"No")</f>
        <v>0</v>
      </c>
      <c r="I96" s="5"/>
      <c r="J96" s="3" t="s">
        <v>136</v>
      </c>
      <c r="K96" s="3">
        <f>COUNTIF(Testing!S4:S47,"8.1")</f>
        <v>0</v>
      </c>
      <c r="L96" s="3">
        <f>COUNTIFS(Testing!S4:S47,"8.1",Testing!H4:H47,"Yes")</f>
        <v>0</v>
      </c>
      <c r="M96" s="3">
        <f>COUNTIFS(Testing!$S4:$S47,"8.1",Testing!H4:H47,"No")</f>
        <v>0</v>
      </c>
      <c r="N96" s="3">
        <f>COUNTIFS(Testing!$S4:$S47,"8.1",Testing!I4:I47,"No")</f>
        <v>0</v>
      </c>
      <c r="O96" s="3">
        <f>COUNTIFS(Testing!$S4:$S47,"8.1",Testing!J4:J47,"No")</f>
        <v>0</v>
      </c>
      <c r="P96" s="3">
        <f>COUNTIFS(Testing!$S4:$S47,"8.1",Testing!K4:K47,"No")</f>
        <v>0</v>
      </c>
      <c r="Q96" s="3">
        <f>COUNTIFS(Testing!$S4:$S47,"8.1",Testing!L4:L47,"No")</f>
        <v>0</v>
      </c>
    </row>
    <row r="97" spans="1:17" ht="25.5" x14ac:dyDescent="0.2">
      <c r="A97" s="3" t="s">
        <v>137</v>
      </c>
      <c r="B97" s="3">
        <f>COUNTIF(Design!S4:S70,"8.2.1")</f>
        <v>0</v>
      </c>
      <c r="C97" s="3">
        <f>COUNTIFS(Design!S4:S70,"8.2.1",Design!H4:H70,"Yes")</f>
        <v>0</v>
      </c>
      <c r="D97" s="3">
        <f>COUNTIFS(Design!$S4:$S70,"8.2.1",Design!H4:H70,"No")</f>
        <v>0</v>
      </c>
      <c r="E97" s="3">
        <f>COUNTIFS(Design!$S4:$S70,"8.2.1",Design!I4:I70,"No")</f>
        <v>0</v>
      </c>
      <c r="F97" s="3">
        <f>COUNTIFS(Design!$S4:$S70,"8.2.1",Design!J4:J70,"No")</f>
        <v>0</v>
      </c>
      <c r="G97" s="3">
        <f>COUNTIFS(Design!$S4:$S70,"8.2.1",Design!K4:K70,"No")</f>
        <v>0</v>
      </c>
      <c r="H97" s="3">
        <f>COUNTIFS(Design!$S4:$S70,"8.2.1",Design!L4:L70,"No")</f>
        <v>0</v>
      </c>
      <c r="I97" s="5"/>
      <c r="J97" s="3" t="s">
        <v>137</v>
      </c>
      <c r="K97" s="3">
        <f>COUNTIF(Testing!S4:S47,"8.2.1")</f>
        <v>0</v>
      </c>
      <c r="L97" s="3">
        <f>COUNTIFS(Testing!S4:S47,"8.2.1",Testing!H4:H47,"Yes")</f>
        <v>0</v>
      </c>
      <c r="M97" s="3">
        <f>COUNTIFS(Testing!$S4:$S47,"8.2.1",Testing!H4:H47,"No")</f>
        <v>0</v>
      </c>
      <c r="N97" s="3">
        <f>COUNTIFS(Testing!$S4:$S47,"8.2.1",Testing!I4:I47,"No")</f>
        <v>0</v>
      </c>
      <c r="O97" s="3">
        <f>COUNTIFS(Testing!$S4:$S47,"8.2.1",Testing!J4:J47,"No")</f>
        <v>0</v>
      </c>
      <c r="P97" s="3">
        <f>COUNTIFS(Testing!$S4:$S47,"8.2.1",Testing!K4:K47,"No")</f>
        <v>0</v>
      </c>
      <c r="Q97" s="3">
        <f>COUNTIFS(Testing!$S4:$S47,"8.2.1",Testing!L4:L47,"No")</f>
        <v>0</v>
      </c>
    </row>
    <row r="98" spans="1:17" ht="25.5" x14ac:dyDescent="0.2">
      <c r="A98" s="3" t="s">
        <v>138</v>
      </c>
      <c r="B98" s="3">
        <f>COUNTIF(Design!S4:S70,"8.2.3")</f>
        <v>9</v>
      </c>
      <c r="C98" s="3">
        <f>COUNTIFS(Design!S4:S70,"8.2.3",Design!H4:H70,"Yes")</f>
        <v>0</v>
      </c>
      <c r="D98" s="3">
        <f>COUNTIFS(Design!$S4:$S70,"8.2.3",Design!H4:H70,"No")</f>
        <v>0</v>
      </c>
      <c r="E98" s="3">
        <f>COUNTIFS(Design!$S4:$S70,"8.2.3",Design!I4:I70,"No")</f>
        <v>0</v>
      </c>
      <c r="F98" s="3">
        <f>COUNTIFS(Design!$S4:$S70,"8.2.3",Design!J4:J70,"No")</f>
        <v>0</v>
      </c>
      <c r="G98" s="3">
        <f>COUNTIFS(Design!$S4:$S70,"8.2.3",Design!K4:K70,"No")</f>
        <v>0</v>
      </c>
      <c r="H98" s="3">
        <f>COUNTIFS(Design!$S4:$S70,"8.2.3",Design!L4:L70,"No")</f>
        <v>0</v>
      </c>
      <c r="I98" s="5"/>
      <c r="J98" s="3" t="s">
        <v>138</v>
      </c>
      <c r="K98" s="3">
        <f>COUNTIF(Testing!S4:S47,"8.2.3")</f>
        <v>0</v>
      </c>
      <c r="L98" s="3">
        <f>COUNTIFS(Testing!S4:S47,"8.2.3",Testing!H4:H47,"Yes")</f>
        <v>0</v>
      </c>
      <c r="M98" s="3">
        <f>COUNTIFS(Testing!$S4:$S47,"8.2.3",Testing!H4:H47,"No")</f>
        <v>0</v>
      </c>
      <c r="N98" s="3">
        <f>COUNTIFS(Testing!$S4:$S47,"8.2.3",Testing!I4:I47,"No")</f>
        <v>0</v>
      </c>
      <c r="O98" s="3">
        <f>COUNTIFS(Testing!$S4:$S47,"8.2.3",Testing!J4:J47,"No")</f>
        <v>0</v>
      </c>
      <c r="P98" s="3">
        <f>COUNTIFS(Testing!$S4:$S47,"8.2.3",Testing!K4:K47,"No")</f>
        <v>0</v>
      </c>
      <c r="Q98" s="3">
        <f>COUNTIFS(Testing!$S4:$S47,"8.2.3",Testing!L4:L47,"No")</f>
        <v>0</v>
      </c>
    </row>
    <row r="99" spans="1:17" ht="25.5" x14ac:dyDescent="0.2">
      <c r="A99" s="3" t="s">
        <v>139</v>
      </c>
      <c r="B99" s="3">
        <f>COUNTIF(Design!S4:S70,"8.2.4")</f>
        <v>0</v>
      </c>
      <c r="C99" s="3">
        <f>COUNTIFS(Design!S4:S70,"8.2.4",Design!H4:H70,"Yes")</f>
        <v>0</v>
      </c>
      <c r="D99" s="3">
        <f>COUNTIFS(Design!$S4:$S70,"8.2.4",Design!H4:H70,"No")</f>
        <v>0</v>
      </c>
      <c r="E99" s="3">
        <f>COUNTIFS(Design!$S4:$S70,"8.2.4",Design!I4:I70,"No")</f>
        <v>0</v>
      </c>
      <c r="F99" s="3">
        <f>COUNTIFS(Design!$S4:$S70,"8.2.4",Design!J4:J70,"No")</f>
        <v>0</v>
      </c>
      <c r="G99" s="3">
        <f>COUNTIFS(Design!$S4:$S70,"8.2.4",Design!K4:K70,"No")</f>
        <v>0</v>
      </c>
      <c r="H99" s="3">
        <f>COUNTIFS(Design!$S4:$S70,"8.2.4",Design!L4:L70,"No")</f>
        <v>0</v>
      </c>
      <c r="I99" s="5"/>
      <c r="J99" s="3" t="s">
        <v>139</v>
      </c>
      <c r="K99" s="3">
        <f>COUNTIF(Testing!S4:S47,"8.2.4")</f>
        <v>0</v>
      </c>
      <c r="L99" s="3">
        <f>COUNTIFS(Testing!S4:S47,"8.2.4",Testing!H4:H47,"Yes")</f>
        <v>0</v>
      </c>
      <c r="M99" s="3">
        <f>COUNTIFS(Testing!$S4:$S47,"8.2.4",Testing!H4:H47,"No")</f>
        <v>0</v>
      </c>
      <c r="N99" s="3">
        <f>COUNTIFS(Testing!$S4:$S47,"8.2.4",Testing!I4:I47,"No")</f>
        <v>0</v>
      </c>
      <c r="O99" s="3">
        <f>COUNTIFS(Testing!$S4:$S47,"8.2.4",Testing!J4:J47,"No")</f>
        <v>0</v>
      </c>
      <c r="P99" s="3">
        <f>COUNTIFS(Testing!$S4:$S47,"8.2.4",Testing!K4:K47,"No")</f>
        <v>0</v>
      </c>
      <c r="Q99" s="3">
        <f>COUNTIFS(Testing!$S4:$S47,"8.2.4",Testing!L4:L47,"No")</f>
        <v>0</v>
      </c>
    </row>
    <row r="100" spans="1:17" ht="25.5" x14ac:dyDescent="0.2">
      <c r="A100" s="3" t="s">
        <v>140</v>
      </c>
      <c r="B100" s="3">
        <f>COUNTIF(Design!S4:S70,"8.3")</f>
        <v>1</v>
      </c>
      <c r="C100" s="3">
        <f>COUNTIFS(Design!S4:S70,"8.3",Design!H4:H70,"Yes")</f>
        <v>1</v>
      </c>
      <c r="D100" s="3">
        <f>COUNTIFS(Design!$S4:$S70,"8.3",Design!H4:H70,"No")</f>
        <v>0</v>
      </c>
      <c r="E100" s="3">
        <f>COUNTIFS(Design!$S4:$S70,"8.3",Design!I4:I70,"No")</f>
        <v>0</v>
      </c>
      <c r="F100" s="3">
        <f>COUNTIFS(Design!$S4:$S70,"8.3",Design!J4:J70,"No")</f>
        <v>0</v>
      </c>
      <c r="G100" s="3">
        <f>COUNTIFS(Design!$S4:$S70,"8.3",Design!K4:K70,"No")</f>
        <v>0</v>
      </c>
      <c r="H100" s="3">
        <f>COUNTIFS(Design!$S4:$S70,"8.3",Design!L4:L70,"No")</f>
        <v>0</v>
      </c>
      <c r="I100" s="5"/>
      <c r="J100" s="3" t="s">
        <v>140</v>
      </c>
      <c r="K100" s="3">
        <f>COUNTIF(Testing!S4:S47,"8.3")</f>
        <v>0</v>
      </c>
      <c r="L100" s="3">
        <f>COUNTIFS(Testing!S4:S47,"8.3",Testing!H4:H47,"Yes")</f>
        <v>0</v>
      </c>
      <c r="M100" s="3">
        <f>COUNTIFS(Testing!$S4:$S47,"8.3",Testing!H4:H47,"No")</f>
        <v>0</v>
      </c>
      <c r="N100" s="3">
        <f>COUNTIFS(Testing!$S4:$S47,"8.3",Testing!I4:I47,"No")</f>
        <v>0</v>
      </c>
      <c r="O100" s="3">
        <f>COUNTIFS(Testing!$S4:$S47,"8.3",Testing!J4:J47,"No")</f>
        <v>0</v>
      </c>
      <c r="P100" s="3">
        <f>COUNTIFS(Testing!$S4:$S47,"8.3",Testing!K4:K47,"No")</f>
        <v>0</v>
      </c>
      <c r="Q100" s="3">
        <f>COUNTIFS(Testing!$S4:$S47,"8.3",Testing!L4:L47,"No")</f>
        <v>0</v>
      </c>
    </row>
    <row r="101" spans="1:17" x14ac:dyDescent="0.2">
      <c r="A101" s="3" t="s">
        <v>141</v>
      </c>
      <c r="B101" s="3">
        <f>COUNTIF(Design!S4:S70,"8.4")</f>
        <v>0</v>
      </c>
      <c r="C101" s="3">
        <f>COUNTIFS(Design!S4:S70,"8.4",Design!H4:H70,"Yes")</f>
        <v>0</v>
      </c>
      <c r="D101" s="3">
        <f>COUNTIFS(Design!$S4:$S70,"8.4",Design!H4:H70,"No")</f>
        <v>0</v>
      </c>
      <c r="E101" s="3">
        <f>COUNTIFS(Design!$S4:$S70,"8.4",Design!I4:I70,"No")</f>
        <v>0</v>
      </c>
      <c r="F101" s="3">
        <f>COUNTIFS(Design!$S4:$S70,"8.4",Design!J4:J70,"No")</f>
        <v>0</v>
      </c>
      <c r="G101" s="3">
        <f>COUNTIFS(Design!$S4:$S70,"8.4",Design!K4:K70,"No")</f>
        <v>0</v>
      </c>
      <c r="H101" s="3">
        <f>COUNTIFS(Design!$S4:$S70,"8.4",Design!L4:L70,"No")</f>
        <v>0</v>
      </c>
      <c r="I101" s="5"/>
      <c r="J101" s="3" t="s">
        <v>141</v>
      </c>
      <c r="K101" s="3">
        <f>COUNTIF(Testing!S4:S47,"8.4")</f>
        <v>0</v>
      </c>
      <c r="L101" s="3">
        <f>COUNTIFS(Testing!S4:S47,"8.4",Testing!H4:H47,"Yes")</f>
        <v>0</v>
      </c>
      <c r="M101" s="3">
        <f>COUNTIFS(Testing!$S4:$S47,"8.4",Testing!H4:H47,"No")</f>
        <v>0</v>
      </c>
      <c r="N101" s="3">
        <f>COUNTIFS(Testing!$S4:$S47,"8.4",Testing!I4:I47,"No")</f>
        <v>0</v>
      </c>
      <c r="O101" s="3">
        <f>COUNTIFS(Testing!$S4:$S47,"8.4",Testing!J4:J47,"No")</f>
        <v>0</v>
      </c>
      <c r="P101" s="3">
        <f>COUNTIFS(Testing!$S4:$S47,"8.4",Testing!K4:K47,"No")</f>
        <v>0</v>
      </c>
      <c r="Q101" s="3">
        <f>COUNTIFS(Testing!$S4:$S47,"8.4",Testing!L4:L47,"No")</f>
        <v>0</v>
      </c>
    </row>
    <row r="102" spans="1:17" ht="25.5" x14ac:dyDescent="0.2">
      <c r="A102" s="3" t="s">
        <v>142</v>
      </c>
      <c r="B102" s="3">
        <f>COUNTIF(Design!S4:S70,"8.5.1")</f>
        <v>0</v>
      </c>
      <c r="C102" s="3">
        <f>COUNTIFS(Design!S4:S70,"8.5.1",Design!H4:H70,"Yes")</f>
        <v>0</v>
      </c>
      <c r="D102" s="3">
        <f>COUNTIFS(Design!$S4:$S70,"8.5.1",Design!H4:H70,"No")</f>
        <v>0</v>
      </c>
      <c r="E102" s="3">
        <f>COUNTIFS(Design!$S4:$S70,"8.5.1",Design!I4:I70,"No")</f>
        <v>0</v>
      </c>
      <c r="F102" s="3">
        <f>COUNTIFS(Design!$S4:$S70,"8.5.1",Design!J4:J70,"No")</f>
        <v>0</v>
      </c>
      <c r="G102" s="3">
        <f>COUNTIFS(Design!$S4:$S70,"8.5.1",Design!K4:K70,"No")</f>
        <v>0</v>
      </c>
      <c r="H102" s="3">
        <f>COUNTIFS(Design!$S4:$S70,"8.5.1",Design!L4:L70,"No")</f>
        <v>0</v>
      </c>
      <c r="I102" s="5"/>
      <c r="J102" s="3" t="s">
        <v>142</v>
      </c>
      <c r="K102" s="3">
        <f>COUNTIF(Testing!S4:S47,"8.5.1")</f>
        <v>0</v>
      </c>
      <c r="L102" s="3">
        <f>COUNTIFS(Testing!S4:S47,"8.5.1",Testing!H4:H47,"Yes")</f>
        <v>0</v>
      </c>
      <c r="M102" s="3">
        <f>COUNTIFS(Testing!$S4:$S47,"8.5.1",Testing!H4:H47,"No")</f>
        <v>0</v>
      </c>
      <c r="N102" s="3">
        <f>COUNTIFS(Testing!$S4:$S47,"8.5.1",Testing!I4:I47,"No")</f>
        <v>0</v>
      </c>
      <c r="O102" s="3">
        <f>COUNTIFS(Testing!$S4:$S47,"8.5.1",Testing!J4:J47,"No")</f>
        <v>0</v>
      </c>
      <c r="P102" s="3">
        <f>COUNTIFS(Testing!$S4:$S47,"8.5.1",Testing!K4:K47,"No")</f>
        <v>0</v>
      </c>
      <c r="Q102" s="3">
        <f>COUNTIFS(Testing!$S4:$S47,"8.5.1",Testing!L4:L47,"No")</f>
        <v>0</v>
      </c>
    </row>
    <row r="103" spans="1:17" x14ac:dyDescent="0.2">
      <c r="A103" s="3" t="s">
        <v>143</v>
      </c>
      <c r="B103" s="3">
        <f>COUNTIF(Design!S4:S70,"8.5.2")</f>
        <v>0</v>
      </c>
      <c r="C103" s="3">
        <f>COUNTIFS(Design!S4:S70,"8.5.2",Design!H4:H70,"Yes")</f>
        <v>0</v>
      </c>
      <c r="D103" s="3">
        <f>COUNTIFS(Design!$S4:$S70,"8.5.2",Design!H4:H70,"No")</f>
        <v>0</v>
      </c>
      <c r="E103" s="3">
        <f>COUNTIFS(Design!$S4:$S70,"8.5.2",Design!I4:I70,"No")</f>
        <v>0</v>
      </c>
      <c r="F103" s="3">
        <f>COUNTIFS(Design!$S4:$S70,"8.5.2",Design!J4:J70,"No")</f>
        <v>0</v>
      </c>
      <c r="G103" s="3">
        <f>COUNTIFS(Design!$S4:$S70,"8.5.2",Design!K4:K70,"No")</f>
        <v>0</v>
      </c>
      <c r="H103" s="3">
        <f>COUNTIFS(Design!$S4:$S70,"8.5.2",Design!L4:L70,"No")</f>
        <v>0</v>
      </c>
      <c r="I103" s="5"/>
      <c r="J103" s="3" t="s">
        <v>143</v>
      </c>
      <c r="K103" s="3">
        <f>COUNTIF(Testing!S4:S47,"8.5.2")</f>
        <v>0</v>
      </c>
      <c r="L103" s="3">
        <f>COUNTIFS(Testing!S4:S47,"8.5.2",Testing!H4:H47,"Yes")</f>
        <v>0</v>
      </c>
      <c r="M103" s="3">
        <f>COUNTIFS(Testing!$S4:$S47,"8.5.2",Testing!H4:H47,"No")</f>
        <v>0</v>
      </c>
      <c r="N103" s="3">
        <f>COUNTIFS(Testing!$S4:$S47,"8.5.2",Testing!I4:I47,"No")</f>
        <v>0</v>
      </c>
      <c r="O103" s="3">
        <f>COUNTIFS(Testing!$S4:$S47,"8.5.2",Testing!J4:J47,"No")</f>
        <v>0</v>
      </c>
      <c r="P103" s="3">
        <f>COUNTIFS(Testing!$S4:$S47,"8.5.2",Testing!K4:K47,"No")</f>
        <v>0</v>
      </c>
      <c r="Q103" s="3">
        <f>COUNTIFS(Testing!$S4:$S47,"8.5.2",Testing!L4:L47,"No")</f>
        <v>0</v>
      </c>
    </row>
    <row r="104" spans="1:17" x14ac:dyDescent="0.2">
      <c r="A104" s="3" t="s">
        <v>144</v>
      </c>
      <c r="B104" s="3">
        <f>COUNTIF(Design!S4:S70,"8.5.3")</f>
        <v>0</v>
      </c>
      <c r="C104" s="3">
        <f>COUNTIFS(Design!S4:S70,"8.5.3",Design!H4:H70,"Yes")</f>
        <v>0</v>
      </c>
      <c r="D104" s="3">
        <f>COUNTIFS(Design!$S4:$S70,"8.5.3",Design!H4:H70,"No")</f>
        <v>0</v>
      </c>
      <c r="E104" s="3">
        <f>COUNTIFS(Design!$S4:$S70,"8.5.3",Design!I4:I70,"No")</f>
        <v>0</v>
      </c>
      <c r="F104" s="3">
        <f>COUNTIFS(Design!$S4:$S70,"8.5.3",Design!J4:J70,"No")</f>
        <v>0</v>
      </c>
      <c r="G104" s="3">
        <f>COUNTIFS(Design!$S4:$S70,"8.5.3",Design!K4:K70,"No")</f>
        <v>0</v>
      </c>
      <c r="H104" s="3">
        <f>COUNTIFS(Design!$S4:$S70,"8.5.3",Design!L4:L70,"No")</f>
        <v>0</v>
      </c>
      <c r="I104" s="5"/>
      <c r="J104" s="3" t="s">
        <v>144</v>
      </c>
      <c r="K104" s="3">
        <f>COUNTIF(Testing!S4:S47,"8.5.3")</f>
        <v>0</v>
      </c>
      <c r="L104" s="3">
        <f>COUNTIFS(Testing!S4:S47,"8.5.3",Testing!H4:H47,"Yes")</f>
        <v>0</v>
      </c>
      <c r="M104" s="3">
        <f>COUNTIFS(Testing!$S4:$S47,"8.5.3",Testing!H4:H47,"No")</f>
        <v>0</v>
      </c>
      <c r="N104" s="3">
        <f>COUNTIFS(Testing!$S4:$S47,"8.5.3",Testing!I4:I47,"No")</f>
        <v>0</v>
      </c>
      <c r="O104" s="3">
        <f>COUNTIFS(Testing!$S4:$S47,"8.5.3",Testing!J4:J47,"No")</f>
        <v>0</v>
      </c>
      <c r="P104" s="3">
        <f>COUNTIFS(Testing!$S4:$S47,"8.5.3",Testing!K4:K47,"No")</f>
        <v>0</v>
      </c>
      <c r="Q104" s="3">
        <f>COUNTIFS(Testing!$S4:$S47,"8.5.3",Testing!L4:L47,"No")</f>
        <v>0</v>
      </c>
    </row>
    <row r="105" spans="1:17" x14ac:dyDescent="0.2">
      <c r="A105" s="7" t="s">
        <v>9</v>
      </c>
      <c r="B105" s="9">
        <f t="shared" ref="B105:H105" si="4">SUM(B74:B104)</f>
        <v>58</v>
      </c>
      <c r="C105" s="9">
        <f t="shared" si="4"/>
        <v>3</v>
      </c>
      <c r="D105" s="9">
        <f t="shared" si="4"/>
        <v>2</v>
      </c>
      <c r="E105" s="9">
        <f t="shared" si="4"/>
        <v>0</v>
      </c>
      <c r="F105" s="9">
        <f t="shared" si="4"/>
        <v>0</v>
      </c>
      <c r="G105" s="9">
        <f t="shared" si="4"/>
        <v>0</v>
      </c>
      <c r="H105" s="9">
        <f t="shared" si="4"/>
        <v>0</v>
      </c>
      <c r="I105" s="5"/>
      <c r="J105" s="7" t="s">
        <v>9</v>
      </c>
      <c r="K105" s="9">
        <f t="shared" ref="K105:Q105" si="5">SUM(K74:K104)</f>
        <v>0</v>
      </c>
      <c r="L105" s="9">
        <f t="shared" si="5"/>
        <v>0</v>
      </c>
      <c r="M105" s="9">
        <f t="shared" si="5"/>
        <v>0</v>
      </c>
      <c r="N105" s="9">
        <f t="shared" si="5"/>
        <v>0</v>
      </c>
      <c r="O105" s="9">
        <f t="shared" si="5"/>
        <v>0</v>
      </c>
      <c r="P105" s="9">
        <f t="shared" si="5"/>
        <v>0</v>
      </c>
      <c r="Q105" s="9">
        <f t="shared" si="5"/>
        <v>0</v>
      </c>
    </row>
    <row r="106" spans="1:17" x14ac:dyDescent="0.2">
      <c r="A106" s="5"/>
      <c r="B106" s="5"/>
      <c r="C106" s="5"/>
      <c r="D106" s="5"/>
      <c r="E106" s="5"/>
      <c r="F106" s="5"/>
      <c r="G106" s="5"/>
      <c r="H106" s="5"/>
      <c r="I106" s="5"/>
      <c r="J106" s="5"/>
      <c r="K106" s="5"/>
      <c r="L106" s="5"/>
      <c r="M106" s="5"/>
    </row>
    <row r="107" spans="1:17" x14ac:dyDescent="0.2">
      <c r="A107" s="6" t="s">
        <v>11</v>
      </c>
      <c r="B107" s="5"/>
      <c r="C107" s="5"/>
      <c r="D107" s="5"/>
      <c r="E107" s="5"/>
      <c r="F107" s="5"/>
      <c r="G107" s="5"/>
      <c r="H107" s="5"/>
      <c r="I107" s="5"/>
      <c r="J107" s="6" t="s">
        <v>29</v>
      </c>
      <c r="K107" s="5"/>
      <c r="L107" s="5"/>
      <c r="M107" s="5"/>
    </row>
    <row r="108" spans="1:17" ht="25.5" x14ac:dyDescent="0.2">
      <c r="A108" s="7" t="s">
        <v>111</v>
      </c>
      <c r="B108" s="7" t="s">
        <v>112</v>
      </c>
      <c r="C108" s="7" t="s">
        <v>113</v>
      </c>
      <c r="D108" s="7" t="s">
        <v>516</v>
      </c>
      <c r="E108" s="7" t="s">
        <v>517</v>
      </c>
      <c r="F108" s="7" t="s">
        <v>520</v>
      </c>
      <c r="G108" s="7" t="s">
        <v>519</v>
      </c>
      <c r="H108" s="7" t="s">
        <v>518</v>
      </c>
      <c r="I108" s="5"/>
      <c r="J108" s="7" t="s">
        <v>111</v>
      </c>
      <c r="K108" s="7" t="s">
        <v>112</v>
      </c>
      <c r="L108" s="7" t="s">
        <v>113</v>
      </c>
      <c r="M108" s="7" t="s">
        <v>516</v>
      </c>
      <c r="N108" s="7" t="s">
        <v>517</v>
      </c>
      <c r="O108" s="7" t="s">
        <v>520</v>
      </c>
      <c r="P108" s="7" t="s">
        <v>519</v>
      </c>
      <c r="Q108" s="7" t="s">
        <v>518</v>
      </c>
    </row>
    <row r="109" spans="1:17" x14ac:dyDescent="0.2">
      <c r="A109" s="3" t="s">
        <v>114</v>
      </c>
      <c r="B109" s="3">
        <f>COUNTIF(Delivery!S3:S78,"4.2.3")</f>
        <v>0</v>
      </c>
      <c r="C109" s="3">
        <f>COUNTIFS(Delivery!S3:S5,"4.2.3",Delivery!H3:H5,"Yes")</f>
        <v>0</v>
      </c>
      <c r="D109" s="3">
        <f>COUNTIFS(Delivery!$S3:$S5,"4.2.3",Delivery!H3:H5,"No")</f>
        <v>0</v>
      </c>
      <c r="E109" s="3">
        <f>COUNTIFS(Delivery!$S3:$S5,"4.2.3",Delivery!I3:I5,"No")</f>
        <v>0</v>
      </c>
      <c r="F109" s="3">
        <f>COUNTIFS(Delivery!$S3:$S5,"4.2.3",Delivery!J3:J5,"No")</f>
        <v>0</v>
      </c>
      <c r="G109" s="3">
        <f>COUNTIFS(Delivery!$S3:$S5,"4.2.3",Delivery!K3:K5,"No")</f>
        <v>0</v>
      </c>
      <c r="H109" s="3">
        <f>COUNTIFS(Delivery!$S3:$S5,"4.2.3",Delivery!L3:L5,"No")</f>
        <v>0</v>
      </c>
      <c r="I109" s="5"/>
      <c r="J109" s="3" t="s">
        <v>114</v>
      </c>
      <c r="K109" s="3">
        <f>COUNTIF('Project Closure'!S4:S88,"4.2.3")</f>
        <v>0</v>
      </c>
      <c r="L109" s="3">
        <f>COUNTIFS('Project Closure'!S4:S18,"4.2.3",'Project Closure'!H4:H18,"Yes")</f>
        <v>0</v>
      </c>
      <c r="M109" s="3">
        <f>COUNTIFS('Project Closure'!$S4:$S18,"4.2.3",'Project Closure'!H4:H18,"No")</f>
        <v>0</v>
      </c>
      <c r="N109" s="3">
        <f>COUNTIFS('Project Closure'!$S4:$S18,"4.2.3",'Project Closure'!I4:I18,"No")</f>
        <v>0</v>
      </c>
      <c r="O109" s="3">
        <f>COUNTIFS('Project Closure'!$S4:$S18,"4.2.3",'Project Closure'!J4:J18,"No")</f>
        <v>0</v>
      </c>
      <c r="P109" s="3">
        <f>COUNTIFS('Project Closure'!$S4:$S18,"4.2.3",'Project Closure'!K4:K18,"No")</f>
        <v>0</v>
      </c>
      <c r="Q109" s="3">
        <f>COUNTIFS('Project Closure'!$S4:$S18,"4.2.3",'Project Closure'!L4:L18,"No")</f>
        <v>0</v>
      </c>
    </row>
    <row r="110" spans="1:17" x14ac:dyDescent="0.2">
      <c r="A110" s="3" t="s">
        <v>115</v>
      </c>
      <c r="B110" s="3">
        <f>COUNTIF(Delivery!S3:S78,"4.2.4")</f>
        <v>1</v>
      </c>
      <c r="C110" s="3">
        <f>COUNTIFS(Delivery!S3:S5,"4.2.4",Delivery!H3:H5,"Yes")</f>
        <v>1</v>
      </c>
      <c r="D110" s="3">
        <f>COUNTIFS(Delivery!$S3:$S5,"4.2.4",Delivery!H3:H5,"No")</f>
        <v>0</v>
      </c>
      <c r="E110" s="3">
        <f>COUNTIFS(Delivery!$S3:$S5,"4.2.4",Delivery!I3:I5,"No")</f>
        <v>0</v>
      </c>
      <c r="F110" s="3">
        <f>COUNTIFS(Delivery!$S3:$S5,"4.2.4",Delivery!J3:J5,"No")</f>
        <v>0</v>
      </c>
      <c r="G110" s="3">
        <f>COUNTIFS(Delivery!$S3:$S5,"4.2.4",Delivery!K3:K5,"No")</f>
        <v>0</v>
      </c>
      <c r="H110" s="3">
        <f>COUNTIFS(Delivery!$S3:$S5,"4.2.4",Delivery!L3:L5,"No")</f>
        <v>0</v>
      </c>
      <c r="I110" s="5"/>
      <c r="J110" s="3" t="s">
        <v>115</v>
      </c>
      <c r="K110" s="3">
        <f>COUNTIF('Project Closure'!S4:S88,"4.2.4")</f>
        <v>0</v>
      </c>
      <c r="L110" s="3">
        <f>COUNTIFS('Project Closure'!S4:S18,"4.2.4",'Project Closure'!H4:H18,"Yes")</f>
        <v>0</v>
      </c>
      <c r="M110" s="3">
        <f>COUNTIFS('Project Closure'!$S4:$S18,"4.2.4",'Project Closure'!H4:H18,"No")</f>
        <v>0</v>
      </c>
      <c r="N110" s="3">
        <f>COUNTIFS('Project Closure'!$S4:$S18,"4.2.4",'Project Closure'!I4:I18,"No")</f>
        <v>0</v>
      </c>
      <c r="O110" s="3">
        <f>COUNTIFS('Project Closure'!$S4:$S18,"4.2.4",'Project Closure'!J4:J18,"No")</f>
        <v>0</v>
      </c>
      <c r="P110" s="3">
        <f>COUNTIFS('Project Closure'!$S4:$S18,"4.2.4",'Project Closure'!K4:K18,"No")</f>
        <v>0</v>
      </c>
      <c r="Q110" s="3">
        <f>COUNTIFS('Project Closure'!$S4:$S18,"4.2.4",'Project Closure'!L4:L18,"No")</f>
        <v>0</v>
      </c>
    </row>
    <row r="111" spans="1:17" x14ac:dyDescent="0.2">
      <c r="A111" s="3" t="s">
        <v>116</v>
      </c>
      <c r="B111" s="3">
        <f>COUNTIF(Delivery!S3:S78,"6.2.2")</f>
        <v>0</v>
      </c>
      <c r="C111" s="3">
        <f>COUNTIFS(Delivery!S3:S5,"6.2.2",Delivery!H3:H5,"Yes")</f>
        <v>0</v>
      </c>
      <c r="D111" s="3">
        <f>COUNTIFS(Delivery!$S3:$S5,"6.2.2",Delivery!H3:H5,"No")</f>
        <v>0</v>
      </c>
      <c r="E111" s="3">
        <f>COUNTIFS(Delivery!$S3:$S5,"6.2.2",Delivery!I3:I5,"No")</f>
        <v>0</v>
      </c>
      <c r="F111" s="3">
        <f>COUNTIFS(Delivery!$S3:$S5,"6.2.2",Delivery!J3:J5,"No")</f>
        <v>0</v>
      </c>
      <c r="G111" s="3">
        <f>COUNTIFS(Delivery!$S3:$S5,"6.2.2",Delivery!K3:K5,"No")</f>
        <v>0</v>
      </c>
      <c r="H111" s="3">
        <f>COUNTIFS(Delivery!$S3:$S5,"6.2.2",Delivery!L3:L5,"No")</f>
        <v>0</v>
      </c>
      <c r="I111" s="5"/>
      <c r="J111" s="3" t="s">
        <v>116</v>
      </c>
      <c r="K111" s="3">
        <f>COUNTIF('Project Closure'!S4:S88,"6.2.2")</f>
        <v>0</v>
      </c>
      <c r="L111" s="3">
        <f>COUNTIFS('Project Closure'!S4:S18,"6.2.2",'Project Closure'!H4:H18,"Yes")</f>
        <v>0</v>
      </c>
      <c r="M111" s="3">
        <f>COUNTIFS('Project Closure'!$S4:$S18,"6.2.2",'Project Closure'!H4:H18,"No")</f>
        <v>0</v>
      </c>
      <c r="N111" s="3">
        <f>COUNTIFS('Project Closure'!$S4:$S18,"6.2.2",'Project Closure'!I4:I18,"No")</f>
        <v>0</v>
      </c>
      <c r="O111" s="3">
        <f>COUNTIFS('Project Closure'!$S4:$S18,"6.2.2",'Project Closure'!J4:J18,"No")</f>
        <v>0</v>
      </c>
      <c r="P111" s="3">
        <f>COUNTIFS('Project Closure'!$S4:$S18,"6.2.2",'Project Closure'!K4:K18,"No")</f>
        <v>0</v>
      </c>
      <c r="Q111" s="3">
        <f>COUNTIFS('Project Closure'!$S4:$S18,"6.2.2",'Project Closure'!L4:L18,"No")</f>
        <v>0</v>
      </c>
    </row>
    <row r="112" spans="1:17" x14ac:dyDescent="0.2">
      <c r="A112" s="3" t="s">
        <v>117</v>
      </c>
      <c r="B112" s="3">
        <f>COUNTIF(Delivery!S3:S78,"6.3")</f>
        <v>0</v>
      </c>
      <c r="C112" s="3">
        <f>COUNTIFS(Delivery!S3:S5,"6.3",Delivery!H3:H5,"Yes")</f>
        <v>0</v>
      </c>
      <c r="D112" s="3">
        <f>COUNTIFS(Delivery!$S3:$S5,"6.3",Delivery!H3:H5,"No")</f>
        <v>0</v>
      </c>
      <c r="E112" s="3">
        <f>COUNTIFS(Delivery!$S3:$S5,"6.3",Delivery!I3:I5,"No")</f>
        <v>0</v>
      </c>
      <c r="F112" s="3">
        <f>COUNTIFS(Delivery!$S3:$S5,"6.3",Delivery!J3:J5,"No")</f>
        <v>0</v>
      </c>
      <c r="G112" s="3">
        <f>COUNTIFS(Delivery!$S3:$S5,"6.3",Delivery!K3:K5,"No")</f>
        <v>0</v>
      </c>
      <c r="H112" s="3">
        <f>COUNTIFS(Delivery!$S3:$S5,"6.3",Delivery!L3:L5,"No")</f>
        <v>0</v>
      </c>
      <c r="I112" s="5"/>
      <c r="J112" s="3" t="s">
        <v>117</v>
      </c>
      <c r="K112" s="3">
        <f>COUNTIF('Project Closure'!S4:S88,"6.3")</f>
        <v>0</v>
      </c>
      <c r="L112" s="3">
        <f>COUNTIFS('Project Closure'!S4:S18,"6.3",'Project Closure'!H4:H18,"Yes")</f>
        <v>0</v>
      </c>
      <c r="M112" s="3">
        <f>COUNTIFS('Project Closure'!$S4:$S18,"6.3",'Project Closure'!H4:H18,"No")</f>
        <v>0</v>
      </c>
      <c r="N112" s="3">
        <f>COUNTIFS('Project Closure'!$S4:$S18,"6.3",'Project Closure'!I4:I18,"No")</f>
        <v>0</v>
      </c>
      <c r="O112" s="3">
        <f>COUNTIFS('Project Closure'!$S4:$S18,"6.3",'Project Closure'!J4:J18,"No")</f>
        <v>0</v>
      </c>
      <c r="P112" s="3">
        <f>COUNTIFS('Project Closure'!$S4:$S18,"6.3",'Project Closure'!K4:K18,"No")</f>
        <v>0</v>
      </c>
      <c r="Q112" s="3">
        <f>COUNTIFS('Project Closure'!$S4:$S18,"6.3",'Project Closure'!L4:L18,"No")</f>
        <v>0</v>
      </c>
    </row>
    <row r="113" spans="1:17" x14ac:dyDescent="0.2">
      <c r="A113" s="3" t="s">
        <v>118</v>
      </c>
      <c r="B113" s="3">
        <f>COUNTIF(Delivery!S3:S78,"6.4")</f>
        <v>0</v>
      </c>
      <c r="C113" s="3">
        <f>COUNTIFS(Delivery!S3:S5,"6.4",Delivery!H3:H5,"Yes")</f>
        <v>0</v>
      </c>
      <c r="D113" s="3">
        <f>COUNTIFS(Delivery!$S3:$S5,"6.4",Delivery!H3:H5,"No")</f>
        <v>0</v>
      </c>
      <c r="E113" s="3">
        <f>COUNTIFS(Delivery!$S3:$S5,"6.4",Delivery!I3:I5,"No")</f>
        <v>0</v>
      </c>
      <c r="F113" s="3">
        <f>COUNTIFS(Delivery!$S3:$S5,"6.4",Delivery!J3:J5,"No")</f>
        <v>0</v>
      </c>
      <c r="G113" s="3">
        <f>COUNTIFS(Delivery!$S3:$S5,"6.4",Delivery!K3:K5,"No")</f>
        <v>0</v>
      </c>
      <c r="H113" s="3">
        <f>COUNTIFS(Delivery!$S3:$S5,"6.4",Delivery!L3:L5,"No")</f>
        <v>0</v>
      </c>
      <c r="I113" s="5"/>
      <c r="J113" s="3" t="s">
        <v>118</v>
      </c>
      <c r="K113" s="3">
        <f>COUNTIF('Project Closure'!S4:S88,"6.4")</f>
        <v>0</v>
      </c>
      <c r="L113" s="3">
        <f>COUNTIFS('Project Closure'!S4:S18,"6.4",'Project Closure'!H4:H18,"Yes")</f>
        <v>0</v>
      </c>
      <c r="M113" s="3">
        <f>COUNTIFS('Project Closure'!$S4:$S18,"6.4",'Project Closure'!H4:H18,"No")</f>
        <v>0</v>
      </c>
      <c r="N113" s="3">
        <f>COUNTIFS('Project Closure'!$S4:$S18,"6.4",'Project Closure'!I4:I18,"No")</f>
        <v>0</v>
      </c>
      <c r="O113" s="3">
        <f>COUNTIFS('Project Closure'!$S4:$S18,"6.4",'Project Closure'!J4:J18,"No")</f>
        <v>0</v>
      </c>
      <c r="P113" s="3">
        <f>COUNTIFS('Project Closure'!$S4:$S18,"6.4",'Project Closure'!K4:K18,"No")</f>
        <v>0</v>
      </c>
      <c r="Q113" s="3">
        <f>COUNTIFS('Project Closure'!$S4:$S18,"6.4",'Project Closure'!L4:L18,"No")</f>
        <v>0</v>
      </c>
    </row>
    <row r="114" spans="1:17" x14ac:dyDescent="0.2">
      <c r="A114" s="3" t="s">
        <v>119</v>
      </c>
      <c r="B114" s="3">
        <f>COUNTIF(Delivery!S3:S78,"7.1")</f>
        <v>0</v>
      </c>
      <c r="C114" s="3">
        <f>COUNTIFS(Delivery!S3:S5,"7.1",Delivery!H3:H5,"Yes")</f>
        <v>0</v>
      </c>
      <c r="D114" s="3">
        <f>COUNTIFS(Delivery!$S3:$S5,"7.1",Delivery!H3:H5,"No")</f>
        <v>0</v>
      </c>
      <c r="E114" s="3">
        <f>COUNTIFS(Delivery!$S3:$S5,"7.1",Delivery!I3:I5,"No")</f>
        <v>0</v>
      </c>
      <c r="F114" s="3">
        <f>COUNTIFS(Delivery!$S3:$S5,"7.1",Delivery!J3:J5,"No")</f>
        <v>0</v>
      </c>
      <c r="G114" s="3">
        <f>COUNTIFS(Delivery!$S3:$S5,"7.1",Delivery!K3:K5,"No")</f>
        <v>0</v>
      </c>
      <c r="H114" s="3">
        <f>COUNTIFS(Delivery!$S3:$S5,"7.1",Delivery!L3:L5,"No")</f>
        <v>0</v>
      </c>
      <c r="I114" s="5"/>
      <c r="J114" s="3" t="s">
        <v>119</v>
      </c>
      <c r="K114" s="3">
        <f>COUNTIF('Project Closure'!S4:S88,"7.1")</f>
        <v>0</v>
      </c>
      <c r="L114" s="3">
        <f>COUNTIFS('Project Closure'!S4:S18,"7.1",'Project Closure'!H4:H18,"Yes")</f>
        <v>0</v>
      </c>
      <c r="M114" s="3">
        <f>COUNTIFS('Project Closure'!$S4:$S18,"7.1",'Project Closure'!H4:H18,"No")</f>
        <v>0</v>
      </c>
      <c r="N114" s="3">
        <f>COUNTIFS('Project Closure'!$S4:$S18,"7.1",'Project Closure'!I4:I18,"No")</f>
        <v>0</v>
      </c>
      <c r="O114" s="3">
        <f>COUNTIFS('Project Closure'!$S4:$S18,"7.1",'Project Closure'!J4:J18,"No")</f>
        <v>0</v>
      </c>
      <c r="P114" s="3">
        <f>COUNTIFS('Project Closure'!$S4:$S18,"7.1",'Project Closure'!K4:K18,"No")</f>
        <v>0</v>
      </c>
      <c r="Q114" s="3">
        <f>COUNTIFS('Project Closure'!$S4:$S18,"7.1",'Project Closure'!L4:L18,"No")</f>
        <v>0</v>
      </c>
    </row>
    <row r="115" spans="1:17" ht="25.5" x14ac:dyDescent="0.2">
      <c r="A115" s="3" t="s">
        <v>120</v>
      </c>
      <c r="B115" s="3">
        <f>COUNTIF(Delivery!S3:S78,"7.2.1")</f>
        <v>0</v>
      </c>
      <c r="C115" s="3">
        <f>COUNTIFS(Delivery!S3:S5,"7.2.1",Delivery!H3:H5,"Yes")</f>
        <v>0</v>
      </c>
      <c r="D115" s="3">
        <f>COUNTIFS(Delivery!$S3:$S5,"7.2.1",Delivery!H3:H5,"No")</f>
        <v>0</v>
      </c>
      <c r="E115" s="3">
        <f>COUNTIFS(Delivery!$S3:$S5,"7.2.1",Delivery!I3:I5,"No")</f>
        <v>0</v>
      </c>
      <c r="F115" s="3">
        <f>COUNTIFS(Delivery!$S3:$S5,"7.2.1",Delivery!J3:J5,"No")</f>
        <v>0</v>
      </c>
      <c r="G115" s="3">
        <f>COUNTIFS(Delivery!$S3:$S5,"7.2.1",Delivery!K3:K5,"No")</f>
        <v>0</v>
      </c>
      <c r="H115" s="3">
        <f>COUNTIFS(Delivery!$S3:$S5,"7.2.1",Delivery!L3:L5,"No")</f>
        <v>0</v>
      </c>
      <c r="I115" s="5"/>
      <c r="J115" s="3" t="s">
        <v>120</v>
      </c>
      <c r="K115" s="3">
        <f>COUNTIF('Project Closure'!S4:S88,"7.2.1")</f>
        <v>0</v>
      </c>
      <c r="L115" s="3">
        <f>COUNTIFS('Project Closure'!S4:S18,"7.2.1",'Project Closure'!H4:H18,"Yes")</f>
        <v>0</v>
      </c>
      <c r="M115" s="3">
        <f>COUNTIFS('Project Closure'!$S4:$S18,"7.2.1",'Project Closure'!H4:H18,"No")</f>
        <v>0</v>
      </c>
      <c r="N115" s="3">
        <f>COUNTIFS('Project Closure'!$S4:$S18,"7.2.1",'Project Closure'!I4:I18,"No")</f>
        <v>0</v>
      </c>
      <c r="O115" s="3">
        <f>COUNTIFS('Project Closure'!$S4:$S18,"7.2.1",'Project Closure'!J4:J18,"No")</f>
        <v>0</v>
      </c>
      <c r="P115" s="3">
        <f>COUNTIFS('Project Closure'!$S4:$S18,"7.2.1",'Project Closure'!K4:K18,"No")</f>
        <v>0</v>
      </c>
      <c r="Q115" s="3">
        <f>COUNTIFS('Project Closure'!$S4:$S18,"7.2.1",'Project Closure'!L4:L18,"No")</f>
        <v>0</v>
      </c>
    </row>
    <row r="116" spans="1:17" ht="25.5" x14ac:dyDescent="0.2">
      <c r="A116" s="3" t="s">
        <v>121</v>
      </c>
      <c r="B116" s="3">
        <f>COUNTIF(Delivery!S3:S78,"7.2.2")</f>
        <v>0</v>
      </c>
      <c r="C116" s="3">
        <f>COUNTIFS(Delivery!S3:S5,"7.2.2",Delivery!H3:H5,"Yes")</f>
        <v>0</v>
      </c>
      <c r="D116" s="3">
        <f>COUNTIFS(Delivery!$S3:$S5,"7.2.2",Delivery!H3:H5,"No")</f>
        <v>0</v>
      </c>
      <c r="E116" s="3">
        <f>COUNTIFS(Delivery!$S3:$S5,"7.2.2",Delivery!I3:I5,"No")</f>
        <v>0</v>
      </c>
      <c r="F116" s="3">
        <f>COUNTIFS(Delivery!$S3:$S5,"7.2.2",Delivery!J3:J5,"No")</f>
        <v>0</v>
      </c>
      <c r="G116" s="3">
        <f>COUNTIFS(Delivery!$S3:$S5,"7.2.2",Delivery!K3:K5,"No")</f>
        <v>0</v>
      </c>
      <c r="H116" s="3">
        <f>COUNTIFS(Delivery!$S3:$S5,"7.2.2",Delivery!L3:L5,"No")</f>
        <v>0</v>
      </c>
      <c r="I116" s="5"/>
      <c r="J116" s="3" t="s">
        <v>121</v>
      </c>
      <c r="K116" s="3">
        <f>COUNTIF('Project Closure'!S4:S88,"7.2.2")</f>
        <v>0</v>
      </c>
      <c r="L116" s="3">
        <f>COUNTIFS('Project Closure'!S4:S18,"7.2.2",'Project Closure'!H4:H18,"Yes")</f>
        <v>0</v>
      </c>
      <c r="M116" s="3">
        <f>COUNTIFS('Project Closure'!$S4:$S18,"7.2.2",'Project Closure'!H4:H18,"No")</f>
        <v>0</v>
      </c>
      <c r="N116" s="3">
        <f>COUNTIFS('Project Closure'!$S4:$S18,"7.2.2",'Project Closure'!I4:I18,"No")</f>
        <v>0</v>
      </c>
      <c r="O116" s="3">
        <f>COUNTIFS('Project Closure'!$S4:$S18,"7.2.2",'Project Closure'!J4:J18,"No")</f>
        <v>0</v>
      </c>
      <c r="P116" s="3">
        <f>COUNTIFS('Project Closure'!$S4:$S18,"7.2.2",'Project Closure'!K4:K18,"No")</f>
        <v>0</v>
      </c>
      <c r="Q116" s="3">
        <f>COUNTIFS('Project Closure'!$S4:$S18,"7.2.2",'Project Closure'!L4:L18,"No")</f>
        <v>0</v>
      </c>
    </row>
    <row r="117" spans="1:17" ht="25.5" x14ac:dyDescent="0.2">
      <c r="A117" s="3" t="s">
        <v>122</v>
      </c>
      <c r="B117" s="3">
        <f>COUNTIF(Delivery!S3:S78,"7.2.3")</f>
        <v>0</v>
      </c>
      <c r="C117" s="3">
        <f>COUNTIFS(Delivery!S3:S5,"7.2.3",Delivery!H3:H5,"Yes")</f>
        <v>0</v>
      </c>
      <c r="D117" s="3">
        <f>COUNTIFS(Delivery!$S3:$S5,"7.2.3",Delivery!H3:H5,"No")</f>
        <v>0</v>
      </c>
      <c r="E117" s="3">
        <f>COUNTIFS(Delivery!$S3:$S5,"7.2.3",Delivery!I3:I5,"No")</f>
        <v>0</v>
      </c>
      <c r="F117" s="3">
        <f>COUNTIFS(Delivery!$S3:$S5,"7.2.3",Delivery!J3:J5,"No")</f>
        <v>0</v>
      </c>
      <c r="G117" s="3">
        <f>COUNTIFS(Delivery!$S3:$S5,"7.2.3",Delivery!K3:K5,"No")</f>
        <v>0</v>
      </c>
      <c r="H117" s="3">
        <f>COUNTIFS(Delivery!$S3:$S5,"7.2.3",Delivery!L3:L5,"No")</f>
        <v>0</v>
      </c>
      <c r="I117" s="5"/>
      <c r="J117" s="3" t="s">
        <v>122</v>
      </c>
      <c r="K117" s="3">
        <f>COUNTIF('Project Closure'!S4:S88,"7.2.3")</f>
        <v>0</v>
      </c>
      <c r="L117" s="3">
        <f>COUNTIFS('Project Closure'!S4:S18,"7.2.3",'Project Closure'!H4:H18,"Yes")</f>
        <v>0</v>
      </c>
      <c r="M117" s="3">
        <f>COUNTIFS('Project Closure'!$S4:$S18,"7.2.3",'Project Closure'!H4:H18,"No")</f>
        <v>0</v>
      </c>
      <c r="N117" s="3">
        <f>COUNTIFS('Project Closure'!$S4:$S18,"7.2.3",'Project Closure'!I4:I18,"No")</f>
        <v>0</v>
      </c>
      <c r="O117" s="3">
        <f>COUNTIFS('Project Closure'!$S4:$S18,"7.2.3",'Project Closure'!J4:J18,"No")</f>
        <v>0</v>
      </c>
      <c r="P117" s="3">
        <f>COUNTIFS('Project Closure'!$S4:$S18,"7.2.3",'Project Closure'!K4:K18,"No")</f>
        <v>0</v>
      </c>
      <c r="Q117" s="3">
        <f>COUNTIFS('Project Closure'!$S4:$S18,"7.2.3",'Project Closure'!L4:L18,"No")</f>
        <v>0</v>
      </c>
    </row>
    <row r="118" spans="1:17" ht="25.5" x14ac:dyDescent="0.2">
      <c r="A118" s="3" t="s">
        <v>123</v>
      </c>
      <c r="B118" s="3">
        <f>COUNTIF(Delivery!S3:S78,"7.3.1")</f>
        <v>0</v>
      </c>
      <c r="C118" s="3">
        <f>COUNTIFS(Delivery!S3:S5,"7.3.1",Delivery!H3:H5,"Yes")</f>
        <v>0</v>
      </c>
      <c r="D118" s="3">
        <f>COUNTIFS(Delivery!$S3:$S5,"7.3.1",Delivery!H3:H5,"No")</f>
        <v>0</v>
      </c>
      <c r="E118" s="3">
        <f>COUNTIFS(Delivery!$S3:$S5,"7.3.1",Delivery!I3:I5,"No")</f>
        <v>0</v>
      </c>
      <c r="F118" s="3">
        <f>COUNTIFS(Delivery!$S3:$S5,"7.3.1",Delivery!J3:J5,"No")</f>
        <v>0</v>
      </c>
      <c r="G118" s="3">
        <f>COUNTIFS(Delivery!$S3:$S5,"7.3.1",Delivery!K3:K5,"No")</f>
        <v>0</v>
      </c>
      <c r="H118" s="3">
        <f>COUNTIFS(Delivery!$S3:$S5,"7.3.1",Delivery!L3:L5,"No")</f>
        <v>0</v>
      </c>
      <c r="I118" s="5"/>
      <c r="J118" s="3" t="s">
        <v>123</v>
      </c>
      <c r="K118" s="3">
        <f>COUNTIF('Project Closure'!S4:S88,"7.3.1")</f>
        <v>0</v>
      </c>
      <c r="L118" s="3">
        <f>COUNTIFS('Project Closure'!S4:S18,"7.3.1",'Project Closure'!H4:H18,"Yes")</f>
        <v>0</v>
      </c>
      <c r="M118" s="3">
        <f>COUNTIFS('Project Closure'!$S4:$S18,"7.3.1",'Project Closure'!H4:H18,"No")</f>
        <v>0</v>
      </c>
      <c r="N118" s="3">
        <f>COUNTIFS('Project Closure'!$S4:$S18,"7.3.1",'Project Closure'!I4:I18,"No")</f>
        <v>0</v>
      </c>
      <c r="O118" s="3">
        <f>COUNTIFS('Project Closure'!$S4:$S18,"7.3.1",'Project Closure'!J4:J18,"No")</f>
        <v>0</v>
      </c>
      <c r="P118" s="3">
        <f>COUNTIFS('Project Closure'!$S4:$S18,"7.3.1",'Project Closure'!K4:K18,"No")</f>
        <v>0</v>
      </c>
      <c r="Q118" s="3">
        <f>COUNTIFS('Project Closure'!$S4:$S18,"7.3.1",'Project Closure'!L4:L18,"No")</f>
        <v>0</v>
      </c>
    </row>
    <row r="119" spans="1:17" x14ac:dyDescent="0.2">
      <c r="A119" s="3" t="s">
        <v>124</v>
      </c>
      <c r="B119" s="3">
        <f>COUNTIF(Delivery!S3:S78,"7.3.2")</f>
        <v>0</v>
      </c>
      <c r="C119" s="3">
        <f>COUNTIFS(Delivery!S3:S5,"7.3.2",Delivery!H3:H5,"Yes")</f>
        <v>0</v>
      </c>
      <c r="D119" s="3">
        <f>COUNTIFS(Delivery!$S3:$S5,"7.3.2",Delivery!H3:H5,"No")</f>
        <v>0</v>
      </c>
      <c r="E119" s="3">
        <f>COUNTIFS(Delivery!$S3:$S5,"7.3.2",Delivery!I3:I5,"No")</f>
        <v>0</v>
      </c>
      <c r="F119" s="3">
        <f>COUNTIFS(Delivery!$S3:$S5,"7.3.2",Delivery!J3:J5,"No")</f>
        <v>0</v>
      </c>
      <c r="G119" s="3">
        <f>COUNTIFS(Delivery!$S3:$S5,"7.3.2",Delivery!K3:K5,"No")</f>
        <v>0</v>
      </c>
      <c r="H119" s="3">
        <f>COUNTIFS(Delivery!$S3:$S5,"7.3.2",Delivery!L3:L5,"No")</f>
        <v>0</v>
      </c>
      <c r="I119" s="5"/>
      <c r="J119" s="3" t="s">
        <v>124</v>
      </c>
      <c r="K119" s="3">
        <f>COUNTIF('Project Closure'!S4:S88,"7.3.2")</f>
        <v>0</v>
      </c>
      <c r="L119" s="3">
        <f>COUNTIFS('Project Closure'!S4:S18,"7.3.2",'Project Closure'!H4:H18,"Yes")</f>
        <v>0</v>
      </c>
      <c r="M119" s="3">
        <f>COUNTIFS('Project Closure'!$S4:$S18,"7.3.2",'Project Closure'!H4:H18,"No")</f>
        <v>0</v>
      </c>
      <c r="N119" s="3">
        <f>COUNTIFS('Project Closure'!$S4:$S18,"7.3.2",'Project Closure'!I4:I18,"No")</f>
        <v>0</v>
      </c>
      <c r="O119" s="3">
        <f>COUNTIFS('Project Closure'!$S4:$S18,"7.3.2",'Project Closure'!J4:J18,"No")</f>
        <v>0</v>
      </c>
      <c r="P119" s="3">
        <f>COUNTIFS('Project Closure'!$S4:$S18,"7.3.2",'Project Closure'!K4:K18,"No")</f>
        <v>0</v>
      </c>
      <c r="Q119" s="3">
        <f>COUNTIFS('Project Closure'!$S4:$S18,"7.3.2",'Project Closure'!L4:L18,"No")</f>
        <v>0</v>
      </c>
    </row>
    <row r="120" spans="1:17" ht="25.5" x14ac:dyDescent="0.2">
      <c r="A120" s="3" t="s">
        <v>125</v>
      </c>
      <c r="B120" s="3">
        <f>COUNTIF(Delivery!S3:S78,"7.3.3")</f>
        <v>0</v>
      </c>
      <c r="C120" s="3">
        <f>COUNTIFS(Delivery!S3:S5,"7.3.3",Delivery!H3:H5,"Yes")</f>
        <v>0</v>
      </c>
      <c r="D120" s="3">
        <f>COUNTIFS(Delivery!$S3:$S5,"7.3.3",Delivery!H3:H5,"No")</f>
        <v>0</v>
      </c>
      <c r="E120" s="3">
        <f>COUNTIFS(Delivery!$S3:$S5,"7.3.3",Delivery!I3:I5,"No")</f>
        <v>0</v>
      </c>
      <c r="F120" s="3">
        <f>COUNTIFS(Delivery!$S3:$S5,"7.3.3",Delivery!J3:J5,"No")</f>
        <v>0</v>
      </c>
      <c r="G120" s="3">
        <f>COUNTIFS(Delivery!$S3:$S5,"7.3.3",Delivery!K3:K5,"No")</f>
        <v>0</v>
      </c>
      <c r="H120" s="3">
        <f>COUNTIFS(Delivery!$S3:$S5,"7.3.3",Delivery!L3:L5,"No")</f>
        <v>0</v>
      </c>
      <c r="I120" s="5"/>
      <c r="J120" s="3" t="s">
        <v>125</v>
      </c>
      <c r="K120" s="3">
        <f>COUNTIF('Project Closure'!S4:S88,"7.3.3")</f>
        <v>0</v>
      </c>
      <c r="L120" s="3">
        <f>COUNTIFS('Project Closure'!S4:S18,"7.3.3",'Project Closure'!H4:H18,"Yes")</f>
        <v>0</v>
      </c>
      <c r="M120" s="3">
        <f>COUNTIFS('Project Closure'!$S4:$S18,"7.3.3",'Project Closure'!H4:H18,"No")</f>
        <v>0</v>
      </c>
      <c r="N120" s="3">
        <f>COUNTIFS('Project Closure'!$S4:$S18,"7.3.3",'Project Closure'!I4:I18,"No")</f>
        <v>0</v>
      </c>
      <c r="O120" s="3">
        <f>COUNTIFS('Project Closure'!$S4:$S18,"7.3.3",'Project Closure'!J4:J18,"No")</f>
        <v>0</v>
      </c>
      <c r="P120" s="3">
        <f>COUNTIFS('Project Closure'!$S4:$S18,"7.3.3",'Project Closure'!K4:K18,"No")</f>
        <v>0</v>
      </c>
      <c r="Q120" s="3">
        <f>COUNTIFS('Project Closure'!$S4:$S18,"7.3.3",'Project Closure'!L4:L18,"No")</f>
        <v>0</v>
      </c>
    </row>
    <row r="121" spans="1:17" ht="25.5" x14ac:dyDescent="0.2">
      <c r="A121" s="3" t="s">
        <v>126</v>
      </c>
      <c r="B121" s="3">
        <f>COUNTIF(Delivery!S3:S78,"7.3.4")</f>
        <v>0</v>
      </c>
      <c r="C121" s="3">
        <f>COUNTIFS(Delivery!S3:S5,"7.3.4",Delivery!H3:H5,"Yes")</f>
        <v>0</v>
      </c>
      <c r="D121" s="3">
        <f>COUNTIFS(Delivery!$S3:$S5,"7.3.4",Delivery!H3:H5,"No")</f>
        <v>0</v>
      </c>
      <c r="E121" s="3">
        <f>COUNTIFS(Delivery!$S3:$S5,"7.3.4",Delivery!I3:I5,"No")</f>
        <v>0</v>
      </c>
      <c r="F121" s="3">
        <f>COUNTIFS(Delivery!$S3:$S5,"7.3.4",Delivery!J3:J5,"No")</f>
        <v>0</v>
      </c>
      <c r="G121" s="3">
        <f>COUNTIFS(Delivery!$S3:$S5,"7.3.4",Delivery!K3:K5,"No")</f>
        <v>0</v>
      </c>
      <c r="H121" s="3">
        <f>COUNTIFS(Delivery!$S3:$S5,"7.3.4",Delivery!L3:L5,"No")</f>
        <v>0</v>
      </c>
      <c r="I121" s="5"/>
      <c r="J121" s="3" t="s">
        <v>126</v>
      </c>
      <c r="K121" s="3">
        <f>COUNTIF('Project Closure'!S4:S88,"7.3.4")</f>
        <v>0</v>
      </c>
      <c r="L121" s="3">
        <f>COUNTIFS('Project Closure'!S4:S18,"7.3.4",'Project Closure'!H4:H18,"Yes")</f>
        <v>0</v>
      </c>
      <c r="M121" s="3">
        <f>COUNTIFS('Project Closure'!$S4:$S18,"7.3.4",'Project Closure'!H4:H18,"No")</f>
        <v>0</v>
      </c>
      <c r="N121" s="3">
        <f>COUNTIFS('Project Closure'!$S4:$S18,"7.3.4",'Project Closure'!I4:I18,"No")</f>
        <v>0</v>
      </c>
      <c r="O121" s="3">
        <f>COUNTIFS('Project Closure'!$S4:$S18,"7.3.4",'Project Closure'!J4:J18,"No")</f>
        <v>0</v>
      </c>
      <c r="P121" s="3">
        <f>COUNTIFS('Project Closure'!$S4:$S18,"7.3.4",'Project Closure'!K4:K18,"No")</f>
        <v>0</v>
      </c>
      <c r="Q121" s="3">
        <f>COUNTIFS('Project Closure'!$S4:$S18,"7.3.4",'Project Closure'!L4:L18,"No")</f>
        <v>0</v>
      </c>
    </row>
    <row r="122" spans="1:17" ht="25.5" x14ac:dyDescent="0.2">
      <c r="A122" s="3" t="s">
        <v>127</v>
      </c>
      <c r="B122" s="3">
        <f>COUNTIF(Delivery!S3:S78,"7.3.5")</f>
        <v>0</v>
      </c>
      <c r="C122" s="3">
        <f>COUNTIFS(Delivery!S3:S5,"7.3.5",Delivery!H3:H5,"Yes")</f>
        <v>0</v>
      </c>
      <c r="D122" s="3">
        <f>COUNTIFS(Delivery!$S3:$S5,"7.3.5",Delivery!H3:H5,"No")</f>
        <v>0</v>
      </c>
      <c r="E122" s="3">
        <f>COUNTIFS(Delivery!$S3:$S5,"7.3.5",Delivery!I3:I5,"No")</f>
        <v>0</v>
      </c>
      <c r="F122" s="3">
        <f>COUNTIFS(Delivery!$S3:$S5,"7.3.5",Delivery!J3:J5,"No")</f>
        <v>0</v>
      </c>
      <c r="G122" s="3">
        <f>COUNTIFS(Delivery!$S3:$S5,"7.3.5",Delivery!K3:K5,"No")</f>
        <v>0</v>
      </c>
      <c r="H122" s="3">
        <f>COUNTIFS(Delivery!$S3:$S5,"7.3.5",Delivery!L3:L5,"No")</f>
        <v>0</v>
      </c>
      <c r="I122" s="5"/>
      <c r="J122" s="3" t="s">
        <v>127</v>
      </c>
      <c r="K122" s="3">
        <f>COUNTIF('Project Closure'!S4:S88,"7.3.5")</f>
        <v>0</v>
      </c>
      <c r="L122" s="3">
        <f>COUNTIFS('Project Closure'!S4:S18,"7.3.5",'Project Closure'!H4:H18,"Yes")</f>
        <v>0</v>
      </c>
      <c r="M122" s="3">
        <f>COUNTIFS('Project Closure'!$S4:$S18,"7.3.5",'Project Closure'!H4:H18,"No")</f>
        <v>0</v>
      </c>
      <c r="N122" s="3">
        <f>COUNTIFS('Project Closure'!$S4:$S18,"7.3.5",'Project Closure'!I4:I18,"No")</f>
        <v>0</v>
      </c>
      <c r="O122" s="3">
        <f>COUNTIFS('Project Closure'!$S4:$S18,"7.3.5",'Project Closure'!J4:J18,"No")</f>
        <v>0</v>
      </c>
      <c r="P122" s="3">
        <f>COUNTIFS('Project Closure'!$S4:$S18,"7.3.5",'Project Closure'!K4:K18,"No")</f>
        <v>0</v>
      </c>
      <c r="Q122" s="3">
        <f>COUNTIFS('Project Closure'!$S4:$S18,"7.3.5",'Project Closure'!L4:L18,"No")</f>
        <v>0</v>
      </c>
    </row>
    <row r="123" spans="1:17" ht="25.5" x14ac:dyDescent="0.2">
      <c r="A123" s="3" t="s">
        <v>128</v>
      </c>
      <c r="B123" s="3">
        <f>COUNTIF(Delivery!S3:S78,"7.3.6")</f>
        <v>1</v>
      </c>
      <c r="C123" s="3">
        <f>COUNTIFS(Delivery!S3:S5,"7.3.6",Delivery!H3:H5,"Yes")</f>
        <v>1</v>
      </c>
      <c r="D123" s="3">
        <f>COUNTIFS(Delivery!$S3:$S5,"7.3.6",Delivery!H3:H5,"No")</f>
        <v>0</v>
      </c>
      <c r="E123" s="3">
        <f>COUNTIFS(Delivery!$S3:$S5,"7.3.6",Delivery!I3:I5,"No")</f>
        <v>0</v>
      </c>
      <c r="F123" s="3">
        <f>COUNTIFS(Delivery!$S3:$S5,"7.3.6",Delivery!J3:J5,"No")</f>
        <v>0</v>
      </c>
      <c r="G123" s="3">
        <f>COUNTIFS(Delivery!$S3:$S5,"7.3.6",Delivery!K3:K5,"No")</f>
        <v>0</v>
      </c>
      <c r="H123" s="3">
        <f>COUNTIFS(Delivery!$S3:$S5,"7.3.6",Delivery!L3:L5,"No")</f>
        <v>0</v>
      </c>
      <c r="I123" s="5"/>
      <c r="J123" s="3" t="s">
        <v>128</v>
      </c>
      <c r="K123" s="3">
        <f>COUNTIF('Project Closure'!S4:S88,"7.3.6")</f>
        <v>0</v>
      </c>
      <c r="L123" s="3">
        <f>COUNTIFS('Project Closure'!S4:S18,"7.3.6",'Project Closure'!H4:H18,"Yes")</f>
        <v>0</v>
      </c>
      <c r="M123" s="3">
        <f>COUNTIFS('Project Closure'!$S4:$S18,"7.3.6",'Project Closure'!H4:H18,"No")</f>
        <v>0</v>
      </c>
      <c r="N123" s="3">
        <f>COUNTIFS('Project Closure'!$S4:$S18,"7.3.6",'Project Closure'!I4:I18,"No")</f>
        <v>0</v>
      </c>
      <c r="O123" s="3">
        <f>COUNTIFS('Project Closure'!$S4:$S18,"7.3.6",'Project Closure'!J4:J18,"No")</f>
        <v>0</v>
      </c>
      <c r="P123" s="3">
        <f>COUNTIFS('Project Closure'!$S4:$S18,"7.3.6",'Project Closure'!K4:K18,"No")</f>
        <v>0</v>
      </c>
      <c r="Q123" s="3">
        <f>COUNTIFS('Project Closure'!$S4:$S18,"7.3.6",'Project Closure'!L4:L18,"No")</f>
        <v>0</v>
      </c>
    </row>
    <row r="124" spans="1:17" ht="25.5" x14ac:dyDescent="0.2">
      <c r="A124" s="3" t="s">
        <v>129</v>
      </c>
      <c r="B124" s="3">
        <f>COUNTIF(Delivery!S3:S78,"7.3.7")</f>
        <v>0</v>
      </c>
      <c r="C124" s="3">
        <f>COUNTIFS(Delivery!S3:S5,"7.3.7",Delivery!H3:H5,"Yes")</f>
        <v>0</v>
      </c>
      <c r="D124" s="3">
        <f>COUNTIFS(Delivery!$S3:$S5,"7.3.7",Delivery!H3:H5,"No")</f>
        <v>0</v>
      </c>
      <c r="E124" s="3">
        <f>COUNTIFS(Delivery!$S3:$S5,"7.3.7",Delivery!I3:I5,"No")</f>
        <v>0</v>
      </c>
      <c r="F124" s="3">
        <f>COUNTIFS(Delivery!$S3:$S5,"7.3.7",Delivery!J3:J5,"No")</f>
        <v>0</v>
      </c>
      <c r="G124" s="3">
        <f>COUNTIFS(Delivery!$S3:$S5,"7.3.7",Delivery!K3:K5,"No")</f>
        <v>0</v>
      </c>
      <c r="H124" s="3">
        <f>COUNTIFS(Delivery!$S3:$S5,"7.3.7",Delivery!L3:L5,"No")</f>
        <v>0</v>
      </c>
      <c r="I124" s="5"/>
      <c r="J124" s="3" t="s">
        <v>129</v>
      </c>
      <c r="K124" s="3">
        <f>COUNTIF('Project Closure'!S4:S88,"7.3.7")</f>
        <v>0</v>
      </c>
      <c r="L124" s="3">
        <f>COUNTIFS('Project Closure'!S4:S18,"7.3.7",'Project Closure'!H4:H18,"Yes")</f>
        <v>0</v>
      </c>
      <c r="M124" s="3">
        <f>COUNTIFS('Project Closure'!$S4:$S18,"7.3.7",'Project Closure'!H4:H18,"No")</f>
        <v>0</v>
      </c>
      <c r="N124" s="3">
        <f>COUNTIFS('Project Closure'!$S4:$S18,"7.3.7",'Project Closure'!I4:I18,"No")</f>
        <v>0</v>
      </c>
      <c r="O124" s="3">
        <f>COUNTIFS('Project Closure'!$S4:$S18,"7.3.7",'Project Closure'!J4:J18,"No")</f>
        <v>0</v>
      </c>
      <c r="P124" s="3">
        <f>COUNTIFS('Project Closure'!$S4:$S18,"7.3.7",'Project Closure'!K4:K18,"No")</f>
        <v>0</v>
      </c>
      <c r="Q124" s="3">
        <f>COUNTIFS('Project Closure'!$S4:$S18,"7.3.7",'Project Closure'!L4:L18,"No")</f>
        <v>0</v>
      </c>
    </row>
    <row r="125" spans="1:17" ht="25.5" x14ac:dyDescent="0.2">
      <c r="A125" s="3" t="s">
        <v>130</v>
      </c>
      <c r="B125" s="3">
        <f>COUNTIF(Delivery!S3:S78,"7.5.1")</f>
        <v>0</v>
      </c>
      <c r="C125" s="3">
        <f>COUNTIFS(Delivery!S3:S5,"7.5.1",Delivery!H3:H5,"Yes")</f>
        <v>0</v>
      </c>
      <c r="D125" s="3">
        <f>COUNTIFS(Delivery!$S3:$S5,"7.5.1",Delivery!H3:H5,"No")</f>
        <v>0</v>
      </c>
      <c r="E125" s="3">
        <f>COUNTIFS(Delivery!$S3:$S5,"7.5.1",Delivery!I3:I5,"No")</f>
        <v>0</v>
      </c>
      <c r="F125" s="3">
        <f>COUNTIFS(Delivery!$S3:$S5,"7.5.1",Delivery!J3:J5,"No")</f>
        <v>0</v>
      </c>
      <c r="G125" s="3">
        <f>COUNTIFS(Delivery!$S3:$S5,"7.5.1",Delivery!K3:K5,"No")</f>
        <v>0</v>
      </c>
      <c r="H125" s="3">
        <f>COUNTIFS(Delivery!$S3:$S5,"7.5.1",Delivery!L3:L5,"No")</f>
        <v>0</v>
      </c>
      <c r="I125" s="5"/>
      <c r="J125" s="3" t="s">
        <v>130</v>
      </c>
      <c r="K125" s="3">
        <f>COUNTIF('Project Closure'!S4:S88,"7.5.1")</f>
        <v>15</v>
      </c>
      <c r="L125" s="3">
        <f>COUNTIFS('Project Closure'!S4:S18,"7.5.1",'Project Closure'!H4:H18,"Yes")</f>
        <v>0</v>
      </c>
      <c r="M125" s="3">
        <f>COUNTIFS('Project Closure'!$S4:$S18,"7.5.1",'Project Closure'!H4:H18,"No")</f>
        <v>0</v>
      </c>
      <c r="N125" s="3">
        <f>COUNTIFS('Project Closure'!$S4:$S18,"7.5.1",'Project Closure'!I4:I18,"No")</f>
        <v>0</v>
      </c>
      <c r="O125" s="3">
        <f>COUNTIFS('Project Closure'!$S4:$S18,"7.5.1",'Project Closure'!J4:J18,"No")</f>
        <v>0</v>
      </c>
      <c r="P125" s="3">
        <f>COUNTIFS('Project Closure'!$S4:$S18,"7.5.1",'Project Closure'!K4:K18,"No")</f>
        <v>0</v>
      </c>
      <c r="Q125" s="3">
        <f>COUNTIFS('Project Closure'!$S4:$S18,"7.5.1",'Project Closure'!L4:L18,"No")</f>
        <v>0</v>
      </c>
    </row>
    <row r="126" spans="1:17" ht="38.25" x14ac:dyDescent="0.2">
      <c r="A126" s="3" t="s">
        <v>131</v>
      </c>
      <c r="B126" s="3">
        <f>COUNTIF(Delivery!S3:S78,"7.5.2")</f>
        <v>0</v>
      </c>
      <c r="C126" s="3">
        <f>COUNTIFS(Delivery!S3:S5,"7.5.2",Delivery!H3:H5,"Yes")</f>
        <v>0</v>
      </c>
      <c r="D126" s="3">
        <f>COUNTIFS(Delivery!$S3:$S5,"7.5.2",Delivery!H3:H5,"No")</f>
        <v>0</v>
      </c>
      <c r="E126" s="3">
        <f>COUNTIFS(Delivery!$S3:$S5,"7.5.2",Delivery!I3:I5,"No")</f>
        <v>0</v>
      </c>
      <c r="F126" s="3">
        <f>COUNTIFS(Delivery!$S3:$S5,"7.5.2",Delivery!J3:J5,"No")</f>
        <v>0</v>
      </c>
      <c r="G126" s="3">
        <f>COUNTIFS(Delivery!$S3:$S5,"7.5.2",Delivery!K3:K5,"No")</f>
        <v>0</v>
      </c>
      <c r="H126" s="3">
        <f>COUNTIFS(Delivery!$S3:$S5,"7.5.2",Delivery!L3:L5,"No")</f>
        <v>0</v>
      </c>
      <c r="I126" s="5"/>
      <c r="J126" s="3" t="s">
        <v>131</v>
      </c>
      <c r="K126" s="3">
        <f>COUNTIF('Project Closure'!S4:S88,"7.5.2")</f>
        <v>0</v>
      </c>
      <c r="L126" s="3">
        <f>COUNTIFS('Project Closure'!S4:S18,"7.5.2",'Project Closure'!H4:H18,"Yes")</f>
        <v>0</v>
      </c>
      <c r="M126" s="3">
        <f>COUNTIFS('Project Closure'!$S4:$S18,"7.5.2",'Project Closure'!H4:H18,"No")</f>
        <v>0</v>
      </c>
      <c r="N126" s="3">
        <f>COUNTIFS('Project Closure'!$S4:$S18,"7.5.2",'Project Closure'!I4:I18,"No")</f>
        <v>0</v>
      </c>
      <c r="O126" s="3">
        <f>COUNTIFS('Project Closure'!$S4:$S18,"7.5.2",'Project Closure'!J4:J18,"No")</f>
        <v>0</v>
      </c>
      <c r="P126" s="3">
        <f>COUNTIFS('Project Closure'!$S4:$S18,"7.5.2",'Project Closure'!K4:K18,"No")</f>
        <v>0</v>
      </c>
      <c r="Q126" s="3">
        <f>COUNTIFS('Project Closure'!$S4:$S18,"7.5.2",'Project Closure'!L4:L18,"No")</f>
        <v>0</v>
      </c>
    </row>
    <row r="127" spans="1:17" ht="25.5" x14ac:dyDescent="0.2">
      <c r="A127" s="3" t="s">
        <v>132</v>
      </c>
      <c r="B127" s="3">
        <f>COUNTIF(Delivery!S3:S78,"7.5.3")</f>
        <v>0</v>
      </c>
      <c r="C127" s="3">
        <f>COUNTIFS(Delivery!S3:S5,"7.5.3",Delivery!H3:H5,"Yes")</f>
        <v>0</v>
      </c>
      <c r="D127" s="3">
        <f>COUNTIFS(Delivery!$S3:$S5,"7.5.3",Delivery!H3:H5,"No")</f>
        <v>0</v>
      </c>
      <c r="E127" s="3">
        <f>COUNTIFS(Delivery!$S3:$S5,"7.5.3",Delivery!I3:I5,"No")</f>
        <v>0</v>
      </c>
      <c r="F127" s="3">
        <f>COUNTIFS(Delivery!$S3:$S5,"7.5.3",Delivery!J3:J5,"No")</f>
        <v>0</v>
      </c>
      <c r="G127" s="3">
        <f>COUNTIFS(Delivery!$S3:$S5,"7.5.3",Delivery!K3:K5,"No")</f>
        <v>0</v>
      </c>
      <c r="H127" s="3">
        <f>COUNTIFS(Delivery!$S3:$S5,"7.5.3",Delivery!L3:L5,"No")</f>
        <v>0</v>
      </c>
      <c r="I127" s="5"/>
      <c r="J127" s="3" t="s">
        <v>132</v>
      </c>
      <c r="K127" s="3">
        <f>COUNTIF('Project Closure'!S4:S88,"7.5.3")</f>
        <v>0</v>
      </c>
      <c r="L127" s="3">
        <f>COUNTIFS('Project Closure'!S4:S18,"7.5.3",'Project Closure'!H4:H18,"Yes")</f>
        <v>0</v>
      </c>
      <c r="M127" s="3">
        <f>COUNTIFS('Project Closure'!$S4:$S18,"7.5.3",'Project Closure'!H4:H18,"No")</f>
        <v>0</v>
      </c>
      <c r="N127" s="3">
        <f>COUNTIFS('Project Closure'!$S4:$S18,"7.5.3",'Project Closure'!I4:I18,"No")</f>
        <v>0</v>
      </c>
      <c r="O127" s="3">
        <f>COUNTIFS('Project Closure'!$S4:$S18,"7.5.3",'Project Closure'!J4:J18,"No")</f>
        <v>0</v>
      </c>
      <c r="P127" s="3">
        <f>COUNTIFS('Project Closure'!$S4:$S18,"7.5.3",'Project Closure'!K4:K18,"No")</f>
        <v>0</v>
      </c>
      <c r="Q127" s="3">
        <f>COUNTIFS('Project Closure'!$S4:$S18,"7.5.3",'Project Closure'!L4:L18,"No")</f>
        <v>0</v>
      </c>
    </row>
    <row r="128" spans="1:17" x14ac:dyDescent="0.2">
      <c r="A128" s="3" t="s">
        <v>133</v>
      </c>
      <c r="B128" s="3">
        <f>COUNTIF(Delivery!S3:S78,"7.5.4")</f>
        <v>0</v>
      </c>
      <c r="C128" s="3">
        <f>COUNTIFS(Delivery!S3:S5,"7.5.4",Delivery!H3:H5,"Yes")</f>
        <v>0</v>
      </c>
      <c r="D128" s="3">
        <f>COUNTIFS(Delivery!$S3:$S5,"7.5.4",Delivery!H3:H5,"No")</f>
        <v>0</v>
      </c>
      <c r="E128" s="3">
        <f>COUNTIFS(Delivery!$S3:$S5,"7.5.4",Delivery!I3:I5,"No")</f>
        <v>0</v>
      </c>
      <c r="F128" s="3">
        <f>COUNTIFS(Delivery!$S3:$S5,"7.5.4",Delivery!J3:J5,"No")</f>
        <v>0</v>
      </c>
      <c r="G128" s="3">
        <f>COUNTIFS(Delivery!$S3:$S5,"7.5.4",Delivery!K3:K5,"No")</f>
        <v>0</v>
      </c>
      <c r="H128" s="3">
        <f>COUNTIFS(Delivery!$S3:$S5,"7.5.4",Delivery!L3:L5,"No")</f>
        <v>0</v>
      </c>
      <c r="I128" s="5"/>
      <c r="J128" s="3" t="s">
        <v>133</v>
      </c>
      <c r="K128" s="3">
        <f>COUNTIF('Project Closure'!S4:S88,"7.5.4")</f>
        <v>0</v>
      </c>
      <c r="L128" s="3">
        <f>COUNTIFS('Project Closure'!S4:S18,"7.5.4",'Project Closure'!H4:H18,"Yes")</f>
        <v>0</v>
      </c>
      <c r="M128" s="3">
        <f>COUNTIFS('Project Closure'!$S4:$S18,"7.5.4",'Project Closure'!H4:H18,"No")</f>
        <v>0</v>
      </c>
      <c r="N128" s="3">
        <f>COUNTIFS('Project Closure'!$S4:$S18,"7.5.4",'Project Closure'!I4:I18,"No")</f>
        <v>0</v>
      </c>
      <c r="O128" s="3">
        <f>COUNTIFS('Project Closure'!$S4:$S18,"7.5.4",'Project Closure'!J4:J18,"No")</f>
        <v>0</v>
      </c>
      <c r="P128" s="3">
        <f>COUNTIFS('Project Closure'!$S4:$S18,"7.5.4",'Project Closure'!K4:K18,"No")</f>
        <v>0</v>
      </c>
      <c r="Q128" s="3">
        <f>COUNTIFS('Project Closure'!$S4:$S18,"7.5.4",'Project Closure'!L4:L18,"No")</f>
        <v>0</v>
      </c>
    </row>
    <row r="129" spans="1:17" ht="25.5" x14ac:dyDescent="0.2">
      <c r="A129" s="3" t="s">
        <v>134</v>
      </c>
      <c r="B129" s="3">
        <f>COUNTIF(Delivery!S3:S78,"7.5.5")</f>
        <v>0</v>
      </c>
      <c r="C129" s="3">
        <f>COUNTIFS(Delivery!S3:S5,"7.5.5",Delivery!H3:H5,"Yes")</f>
        <v>0</v>
      </c>
      <c r="D129" s="3">
        <f>COUNTIFS(Delivery!$S3:$S5,"7.5.5",Delivery!H3:H5,"No")</f>
        <v>0</v>
      </c>
      <c r="E129" s="3">
        <f>COUNTIFS(Delivery!$S3:$S5,"7.5.5",Delivery!I3:I5,"No")</f>
        <v>0</v>
      </c>
      <c r="F129" s="3">
        <f>COUNTIFS(Delivery!$S3:$S5,"7.5.5",Delivery!J3:J5,"No")</f>
        <v>0</v>
      </c>
      <c r="G129" s="3">
        <f>COUNTIFS(Delivery!$S3:$S5,"7.5.5",Delivery!K3:K5,"No")</f>
        <v>0</v>
      </c>
      <c r="H129" s="3">
        <f>COUNTIFS(Delivery!$S3:$S5,"7.5.5",Delivery!L3:L5,"No")</f>
        <v>0</v>
      </c>
      <c r="I129" s="5"/>
      <c r="J129" s="3" t="s">
        <v>134</v>
      </c>
      <c r="K129" s="3">
        <f>COUNTIF('Project Closure'!S4:S88,"7.5.5")</f>
        <v>0</v>
      </c>
      <c r="L129" s="3">
        <f>COUNTIFS('Project Closure'!S4:S18,"7.5.5",'Project Closure'!H4:H18,"Yes")</f>
        <v>0</v>
      </c>
      <c r="M129" s="3">
        <f>COUNTIFS('Project Closure'!$S4:$S18,"7.5.5",'Project Closure'!H4:H18,"No")</f>
        <v>0</v>
      </c>
      <c r="N129" s="3">
        <f>COUNTIFS('Project Closure'!$S4:$S18,"7.5.5",'Project Closure'!I4:I18,"No")</f>
        <v>0</v>
      </c>
      <c r="O129" s="3">
        <f>COUNTIFS('Project Closure'!$S4:$S18,"7.5.5",'Project Closure'!J4:J18,"No")</f>
        <v>0</v>
      </c>
      <c r="P129" s="3">
        <f>COUNTIFS('Project Closure'!$S4:$S18,"7.5.5",'Project Closure'!K4:K18,"No")</f>
        <v>0</v>
      </c>
      <c r="Q129" s="3">
        <f>COUNTIFS('Project Closure'!$S4:$S18,"7.5.5",'Project Closure'!L4:L18,"No")</f>
        <v>0</v>
      </c>
    </row>
    <row r="130" spans="1:17" ht="25.5" x14ac:dyDescent="0.2">
      <c r="A130" s="3" t="s">
        <v>135</v>
      </c>
      <c r="B130" s="3">
        <f>COUNTIF(Delivery!S3:S78,"7.6")</f>
        <v>0</v>
      </c>
      <c r="C130" s="3">
        <f>COUNTIFS(Delivery!S3:S5,"7.6",Delivery!H3:H5,"Yes")</f>
        <v>0</v>
      </c>
      <c r="D130" s="3">
        <f>COUNTIFS(Delivery!$S3:$S5,"7.6",Delivery!H3:H5,"No")</f>
        <v>0</v>
      </c>
      <c r="E130" s="3">
        <f>COUNTIFS(Delivery!$S3:$S5,"7.6",Delivery!I3:I5,"No")</f>
        <v>0</v>
      </c>
      <c r="F130" s="3">
        <f>COUNTIFS(Delivery!$S3:$S5,"7.6",Delivery!J3:J5,"No")</f>
        <v>0</v>
      </c>
      <c r="G130" s="3">
        <f>COUNTIFS(Delivery!$S3:$S5,"7.6",Delivery!K3:K5,"No")</f>
        <v>0</v>
      </c>
      <c r="H130" s="3">
        <f>COUNTIFS(Delivery!$S3:$S5,"7.6",Delivery!L3:L5,"No")</f>
        <v>0</v>
      </c>
      <c r="I130" s="5"/>
      <c r="J130" s="3" t="s">
        <v>135</v>
      </c>
      <c r="K130" s="3">
        <f>COUNTIF('Project Closure'!S4:S88,"7.6")</f>
        <v>0</v>
      </c>
      <c r="L130" s="3">
        <f>COUNTIFS('Project Closure'!S4:S18,"7.6",'Project Closure'!H4:H18,"Yes")</f>
        <v>0</v>
      </c>
      <c r="M130" s="3">
        <f>COUNTIFS('Project Closure'!$S4:$S18,"7.6",'Project Closure'!H4:H18,"No")</f>
        <v>0</v>
      </c>
      <c r="N130" s="3">
        <f>COUNTIFS('Project Closure'!$S4:$S18,"7.6",'Project Closure'!I4:I18,"No")</f>
        <v>0</v>
      </c>
      <c r="O130" s="3">
        <f>COUNTIFS('Project Closure'!$S4:$S18,"7.6",'Project Closure'!J4:J18,"No")</f>
        <v>0</v>
      </c>
      <c r="P130" s="3">
        <f>COUNTIFS('Project Closure'!$S4:$S18,"7.6",'Project Closure'!K4:K18,"No")</f>
        <v>0</v>
      </c>
      <c r="Q130" s="3">
        <f>COUNTIFS('Project Closure'!$S4:$S18,"7.6",'Project Closure'!L4:L18,"No")</f>
        <v>0</v>
      </c>
    </row>
    <row r="131" spans="1:17" ht="38.25" x14ac:dyDescent="0.2">
      <c r="A131" s="3" t="s">
        <v>136</v>
      </c>
      <c r="B131" s="3">
        <f>COUNTIF(Delivery!S3:S78,"8.1")</f>
        <v>0</v>
      </c>
      <c r="C131" s="3">
        <f>COUNTIFS(Delivery!S3:S5,"8.1",Delivery!H3:H5,"Yes")</f>
        <v>0</v>
      </c>
      <c r="D131" s="3">
        <f>COUNTIFS(Delivery!$S3:$S5,"8.1",Delivery!H3:H5,"No")</f>
        <v>0</v>
      </c>
      <c r="E131" s="3">
        <f>COUNTIFS(Delivery!$S3:$S5,"8.1",Delivery!I3:I5,"No")</f>
        <v>0</v>
      </c>
      <c r="F131" s="3">
        <f>COUNTIFS(Delivery!$S3:$S5,"8.1",Delivery!J3:J5,"No")</f>
        <v>0</v>
      </c>
      <c r="G131" s="3">
        <f>COUNTIFS(Delivery!$S3:$S5,"8.1",Delivery!K3:K5,"No")</f>
        <v>0</v>
      </c>
      <c r="H131" s="3">
        <f>COUNTIFS(Delivery!$S3:$S5,"8.1",Delivery!L3:L5,"No")</f>
        <v>0</v>
      </c>
      <c r="I131" s="5"/>
      <c r="J131" s="3" t="s">
        <v>136</v>
      </c>
      <c r="K131" s="3">
        <f>COUNTIF('Project Closure'!S4:S88,"8.1")</f>
        <v>0</v>
      </c>
      <c r="L131" s="3">
        <f>COUNTIFS('Project Closure'!S4:S18,"8.1",'Project Closure'!H4:H18,"Yes")</f>
        <v>0</v>
      </c>
      <c r="M131" s="3">
        <f>COUNTIFS('Project Closure'!$S4:$S18,"8.1",'Project Closure'!H4:H18,"No")</f>
        <v>0</v>
      </c>
      <c r="N131" s="3">
        <f>COUNTIFS('Project Closure'!$S4:$S18,"8.1",'Project Closure'!I4:I18,"No")</f>
        <v>0</v>
      </c>
      <c r="O131" s="3">
        <f>COUNTIFS('Project Closure'!$S4:$S18,"8.1",'Project Closure'!J4:J18,"No")</f>
        <v>0</v>
      </c>
      <c r="P131" s="3">
        <f>COUNTIFS('Project Closure'!$S4:$S18,"8.1",'Project Closure'!K4:K18,"No")</f>
        <v>0</v>
      </c>
      <c r="Q131" s="3">
        <f>COUNTIFS('Project Closure'!$S4:$S18,"8.1",'Project Closure'!L4:L18,"No")</f>
        <v>0</v>
      </c>
    </row>
    <row r="132" spans="1:17" ht="25.5" x14ac:dyDescent="0.2">
      <c r="A132" s="3" t="s">
        <v>137</v>
      </c>
      <c r="B132" s="3">
        <f>COUNTIF(Delivery!S3:S78,"8.2.1")</f>
        <v>0</v>
      </c>
      <c r="C132" s="3">
        <f>COUNTIFS(Delivery!S3:S5,"8.2.1",Delivery!H3:H5,"Yes")</f>
        <v>0</v>
      </c>
      <c r="D132" s="3">
        <f>COUNTIFS(Delivery!$S3:$S5,"8.2.1",Delivery!H3:H5,"No")</f>
        <v>0</v>
      </c>
      <c r="E132" s="3">
        <f>COUNTIFS(Delivery!$S3:$S5,"8.2.1",Delivery!I3:I5,"No")</f>
        <v>0</v>
      </c>
      <c r="F132" s="3">
        <f>COUNTIFS(Delivery!$S3:$S5,"8.2.1",Delivery!J3:J5,"No")</f>
        <v>0</v>
      </c>
      <c r="G132" s="3">
        <f>COUNTIFS(Delivery!$S3:$S5,"8.2.1",Delivery!K3:K5,"No")</f>
        <v>0</v>
      </c>
      <c r="H132" s="3">
        <f>COUNTIFS(Delivery!$S3:$S5,"8.2.1",Delivery!L3:L5,"No")</f>
        <v>0</v>
      </c>
      <c r="I132" s="5"/>
      <c r="J132" s="3" t="s">
        <v>137</v>
      </c>
      <c r="K132" s="3">
        <f>COUNTIF('Project Closure'!S4:S88,"8.2.1")</f>
        <v>0</v>
      </c>
      <c r="L132" s="3">
        <f>COUNTIFS('Project Closure'!S4:S18,"8.2.1",'Project Closure'!H4:H18,"Yes")</f>
        <v>0</v>
      </c>
      <c r="M132" s="3">
        <f>COUNTIFS('Project Closure'!$S4:$S18,"8.2.1",'Project Closure'!H4:H18,"No")</f>
        <v>0</v>
      </c>
      <c r="N132" s="3">
        <f>COUNTIFS('Project Closure'!$S4:$S18,"8.2.1",'Project Closure'!I4:I18,"No")</f>
        <v>0</v>
      </c>
      <c r="O132" s="3">
        <f>COUNTIFS('Project Closure'!$S4:$S18,"8.2.1",'Project Closure'!J4:J18,"No")</f>
        <v>0</v>
      </c>
      <c r="P132" s="3">
        <f>COUNTIFS('Project Closure'!$S4:$S18,"8.2.1",'Project Closure'!K4:K18,"No")</f>
        <v>0</v>
      </c>
      <c r="Q132" s="3">
        <f>COUNTIFS('Project Closure'!$S4:$S18,"8.2.1",'Project Closure'!L4:L18,"No")</f>
        <v>0</v>
      </c>
    </row>
    <row r="133" spans="1:17" ht="25.5" x14ac:dyDescent="0.2">
      <c r="A133" s="3" t="s">
        <v>138</v>
      </c>
      <c r="B133" s="3">
        <f>COUNTIF(Delivery!S3:S78,"8.2.3")</f>
        <v>0</v>
      </c>
      <c r="C133" s="3">
        <f>COUNTIFS(Delivery!S3:S5,"8.2.3",Delivery!H3:H5,"Yes")</f>
        <v>0</v>
      </c>
      <c r="D133" s="3">
        <f>COUNTIFS(Delivery!$S3:$S5,"8.2.3",Delivery!H3:H5,"No")</f>
        <v>0</v>
      </c>
      <c r="E133" s="3">
        <f>COUNTIFS(Delivery!$S3:$S5,"8.2.3",Delivery!I3:I5,"No")</f>
        <v>0</v>
      </c>
      <c r="F133" s="3">
        <f>COUNTIFS(Delivery!$S3:$S5,"8.2.3",Delivery!J3:J5,"No")</f>
        <v>0</v>
      </c>
      <c r="G133" s="3">
        <f>COUNTIFS(Delivery!$S3:$S5,"8.2.3",Delivery!K3:K5,"No")</f>
        <v>0</v>
      </c>
      <c r="H133" s="3">
        <f>COUNTIFS(Delivery!$S3:$S5,"8.2.3",Delivery!L3:L5,"No")</f>
        <v>0</v>
      </c>
      <c r="I133" s="5"/>
      <c r="J133" s="3" t="s">
        <v>138</v>
      </c>
      <c r="K133" s="3">
        <f>COUNTIF('Project Closure'!S4:S88,"8.2.3")</f>
        <v>0</v>
      </c>
      <c r="L133" s="3">
        <f>COUNTIFS('Project Closure'!S4:S18,"8.2.3",'Project Closure'!H4:H18,"Yes")</f>
        <v>0</v>
      </c>
      <c r="M133" s="3">
        <f>COUNTIFS('Project Closure'!$S4:$S18,"8.2.3",'Project Closure'!H4:H18,"No")</f>
        <v>0</v>
      </c>
      <c r="N133" s="3">
        <f>COUNTIFS('Project Closure'!$S4:$S18,"8.2.3",'Project Closure'!I4:I18,"No")</f>
        <v>0</v>
      </c>
      <c r="O133" s="3">
        <f>COUNTIFS('Project Closure'!$S4:$S18,"8.2.3",'Project Closure'!J4:J18,"No")</f>
        <v>0</v>
      </c>
      <c r="P133" s="3">
        <f>COUNTIFS('Project Closure'!$S4:$S18,"8.2.3",'Project Closure'!K4:K18,"No")</f>
        <v>0</v>
      </c>
      <c r="Q133" s="3">
        <f>COUNTIFS('Project Closure'!$S4:$S18,"8.2.3",'Project Closure'!L4:L18,"No")</f>
        <v>0</v>
      </c>
    </row>
    <row r="134" spans="1:17" ht="25.5" x14ac:dyDescent="0.2">
      <c r="A134" s="3" t="s">
        <v>139</v>
      </c>
      <c r="B134" s="3">
        <f>COUNTIF(Delivery!S3:S78,"8.2.4")</f>
        <v>0</v>
      </c>
      <c r="C134" s="3">
        <f>COUNTIFS(Delivery!S3:S5,"8.2.4",Delivery!H3:H5,"Yes")</f>
        <v>0</v>
      </c>
      <c r="D134" s="3">
        <f>COUNTIFS(Delivery!$S3:$S5,"8.2.4",Delivery!H3:H5,"No")</f>
        <v>0</v>
      </c>
      <c r="E134" s="3">
        <f>COUNTIFS(Delivery!$S3:$S5,"8.2.4",Delivery!I3:I5,"No")</f>
        <v>0</v>
      </c>
      <c r="F134" s="3">
        <f>COUNTIFS(Delivery!$S3:$S5,"8.2.4",Delivery!J3:J5,"No")</f>
        <v>0</v>
      </c>
      <c r="G134" s="3">
        <f>COUNTIFS(Delivery!$S3:$S5,"8.2.4",Delivery!K3:K5,"No")</f>
        <v>0</v>
      </c>
      <c r="H134" s="3">
        <f>COUNTIFS(Delivery!$S3:$S5,"8.2.4",Delivery!L3:L5,"No")</f>
        <v>0</v>
      </c>
      <c r="I134" s="5"/>
      <c r="J134" s="3" t="s">
        <v>139</v>
      </c>
      <c r="K134" s="3">
        <f>COUNTIF('Project Closure'!S4:S88,"8.2.4")</f>
        <v>0</v>
      </c>
      <c r="L134" s="3">
        <f>COUNTIFS('Project Closure'!S4:S18,"8.2.4",'Project Closure'!H4:H18,"Yes")</f>
        <v>0</v>
      </c>
      <c r="M134" s="3">
        <f>COUNTIFS('Project Closure'!$S4:$S18,"8.2.4",'Project Closure'!H4:H18,"No")</f>
        <v>0</v>
      </c>
      <c r="N134" s="3">
        <f>COUNTIFS('Project Closure'!$S4:$S18,"8.2.4",'Project Closure'!I4:I18,"No")</f>
        <v>0</v>
      </c>
      <c r="O134" s="3">
        <f>COUNTIFS('Project Closure'!$S4:$S18,"8.2.4",'Project Closure'!J4:J18,"No")</f>
        <v>0</v>
      </c>
      <c r="P134" s="3">
        <f>COUNTIFS('Project Closure'!$S4:$S18,"8.2.4",'Project Closure'!K4:K18,"No")</f>
        <v>0</v>
      </c>
      <c r="Q134" s="3">
        <f>COUNTIFS('Project Closure'!$S4:$S18,"8.2.4",'Project Closure'!L4:L18,"No")</f>
        <v>0</v>
      </c>
    </row>
    <row r="135" spans="1:17" ht="25.5" x14ac:dyDescent="0.2">
      <c r="A135" s="3" t="s">
        <v>140</v>
      </c>
      <c r="B135" s="3">
        <f>COUNTIF(Delivery!S3:S78,"8.3")</f>
        <v>0</v>
      </c>
      <c r="C135" s="3">
        <f>COUNTIFS(Delivery!S3:S5,"8.3",Delivery!H3:H5,"Yes")</f>
        <v>0</v>
      </c>
      <c r="D135" s="3">
        <f>COUNTIFS(Delivery!$S3:$S5,"8.3",Delivery!H3:H5,"No")</f>
        <v>0</v>
      </c>
      <c r="E135" s="3">
        <f>COUNTIFS(Delivery!$S3:$S5,"8.3",Delivery!I3:I5,"No")</f>
        <v>0</v>
      </c>
      <c r="F135" s="3">
        <f>COUNTIFS(Delivery!$S3:$S5,"8.3",Delivery!J3:J5,"No")</f>
        <v>0</v>
      </c>
      <c r="G135" s="3">
        <f>COUNTIFS(Delivery!$S3:$S5,"8.3",Delivery!K3:K5,"No")</f>
        <v>0</v>
      </c>
      <c r="H135" s="3">
        <f>COUNTIFS(Delivery!$S3:$S5,"8.3",Delivery!L3:L5,"No")</f>
        <v>0</v>
      </c>
      <c r="I135" s="5"/>
      <c r="J135" s="3" t="s">
        <v>140</v>
      </c>
      <c r="K135" s="3">
        <f>COUNTIF('Project Closure'!S4:S88,"8.3")</f>
        <v>0</v>
      </c>
      <c r="L135" s="3">
        <f>COUNTIFS('Project Closure'!S4:S18,"8.3",'Project Closure'!H4:H18,"Yes")</f>
        <v>0</v>
      </c>
      <c r="M135" s="3">
        <f>COUNTIFS('Project Closure'!$S4:$S18,"8.3",'Project Closure'!H4:H18,"No")</f>
        <v>0</v>
      </c>
      <c r="N135" s="3">
        <f>COUNTIFS('Project Closure'!$S4:$S18,"8.3",'Project Closure'!I4:I18,"No")</f>
        <v>0</v>
      </c>
      <c r="O135" s="3">
        <f>COUNTIFS('Project Closure'!$S4:$S18,"8.3",'Project Closure'!J4:J18,"No")</f>
        <v>0</v>
      </c>
      <c r="P135" s="3">
        <f>COUNTIFS('Project Closure'!$S4:$S18,"8.3",'Project Closure'!K4:K18,"No")</f>
        <v>0</v>
      </c>
      <c r="Q135" s="3">
        <f>COUNTIFS('Project Closure'!$S4:$S18,"8.3",'Project Closure'!L4:L18,"No")</f>
        <v>0</v>
      </c>
    </row>
    <row r="136" spans="1:17" x14ac:dyDescent="0.2">
      <c r="A136" s="3" t="s">
        <v>141</v>
      </c>
      <c r="B136" s="3">
        <f>COUNTIF(Delivery!S3:S78,"8.4")</f>
        <v>0</v>
      </c>
      <c r="C136" s="3">
        <f>COUNTIFS(Delivery!S3:S5,"8.4",Delivery!H3:H5,"Yes")</f>
        <v>0</v>
      </c>
      <c r="D136" s="3">
        <f>COUNTIFS(Delivery!$S3:$S5,"8.4",Delivery!H3:H5,"No")</f>
        <v>0</v>
      </c>
      <c r="E136" s="3">
        <f>COUNTIFS(Delivery!$S3:$S5,"8.4",Delivery!I3:I5,"No")</f>
        <v>0</v>
      </c>
      <c r="F136" s="3">
        <f>COUNTIFS(Delivery!$S3:$S5,"8.4",Delivery!J3:J5,"No")</f>
        <v>0</v>
      </c>
      <c r="G136" s="3">
        <f>COUNTIFS(Delivery!$S3:$S5,"8.4",Delivery!K3:K5,"No")</f>
        <v>0</v>
      </c>
      <c r="H136" s="3">
        <f>COUNTIFS(Delivery!$S3:$S5,"8.4",Delivery!L3:L5,"No")</f>
        <v>0</v>
      </c>
      <c r="I136" s="5"/>
      <c r="J136" s="3" t="s">
        <v>141</v>
      </c>
      <c r="K136" s="3">
        <f>COUNTIF('Project Closure'!S4:S88,"8.4")</f>
        <v>0</v>
      </c>
      <c r="L136" s="3">
        <f>COUNTIFS('Project Closure'!S4:S18,"8.4",'Project Closure'!H4:H18,"Yes")</f>
        <v>0</v>
      </c>
      <c r="M136" s="3">
        <f>COUNTIFS('Project Closure'!$S4:$S18,"8.4",'Project Closure'!H4:H18,"No")</f>
        <v>0</v>
      </c>
      <c r="N136" s="3">
        <f>COUNTIFS('Project Closure'!$S4:$S18,"8.4",'Project Closure'!I4:I18,"No")</f>
        <v>0</v>
      </c>
      <c r="O136" s="3">
        <f>COUNTIFS('Project Closure'!$S4:$S18,"8.4",'Project Closure'!J4:J18,"No")</f>
        <v>0</v>
      </c>
      <c r="P136" s="3">
        <f>COUNTIFS('Project Closure'!$S4:$S18,"8.4",'Project Closure'!K4:K18,"No")</f>
        <v>0</v>
      </c>
      <c r="Q136" s="3">
        <f>COUNTIFS('Project Closure'!$S4:$S18,"8.4",'Project Closure'!L4:L18,"No")</f>
        <v>0</v>
      </c>
    </row>
    <row r="137" spans="1:17" ht="25.5" x14ac:dyDescent="0.2">
      <c r="A137" s="3" t="s">
        <v>142</v>
      </c>
      <c r="B137" s="3">
        <f>COUNTIF(Delivery!S3:S78,"8.5.1")</f>
        <v>0</v>
      </c>
      <c r="C137" s="3">
        <f>COUNTIFS(Delivery!S3:S5,"8.5.1",Delivery!H3:H5,"Yes")</f>
        <v>0</v>
      </c>
      <c r="D137" s="3">
        <f>COUNTIFS(Delivery!$S3:$S5,"8.5.1",Delivery!H3:H5,"No")</f>
        <v>0</v>
      </c>
      <c r="E137" s="3">
        <f>COUNTIFS(Delivery!$S3:$S5,"8.5.1",Delivery!I3:I5,"No")</f>
        <v>0</v>
      </c>
      <c r="F137" s="3">
        <f>COUNTIFS(Delivery!$S3:$S5,"8.5.1",Delivery!J3:J5,"No")</f>
        <v>0</v>
      </c>
      <c r="G137" s="3">
        <f>COUNTIFS(Delivery!$S3:$S5,"8.5.1",Delivery!K3:K5,"No")</f>
        <v>0</v>
      </c>
      <c r="H137" s="3">
        <f>COUNTIFS(Delivery!$S3:$S5,"8.5.1",Delivery!L3:L5,"No")</f>
        <v>0</v>
      </c>
      <c r="I137" s="5"/>
      <c r="J137" s="3" t="s">
        <v>142</v>
      </c>
      <c r="K137" s="3">
        <f>COUNTIF('Project Closure'!S4:S88,"8.5.1")</f>
        <v>0</v>
      </c>
      <c r="L137" s="3">
        <f>COUNTIFS('Project Closure'!S4:S18,"8.5.1",'Project Closure'!H4:H18,"Yes")</f>
        <v>0</v>
      </c>
      <c r="M137" s="3">
        <f>COUNTIFS('Project Closure'!$S4:$S18,"8.5.1",'Project Closure'!H4:H18,"No")</f>
        <v>0</v>
      </c>
      <c r="N137" s="3">
        <f>COUNTIFS('Project Closure'!$S4:$S18,"8.5.1",'Project Closure'!I4:I18,"No")</f>
        <v>0</v>
      </c>
      <c r="O137" s="3">
        <f>COUNTIFS('Project Closure'!$S4:$S18,"8.5.1",'Project Closure'!J4:J18,"No")</f>
        <v>0</v>
      </c>
      <c r="P137" s="3">
        <f>COUNTIFS('Project Closure'!$S4:$S18,"8.5.1",'Project Closure'!K4:K18,"No")</f>
        <v>0</v>
      </c>
      <c r="Q137" s="3">
        <f>COUNTIFS('Project Closure'!$S4:$S18,"8.5.1",'Project Closure'!L4:L18,"No")</f>
        <v>0</v>
      </c>
    </row>
    <row r="138" spans="1:17" x14ac:dyDescent="0.2">
      <c r="A138" s="3" t="s">
        <v>143</v>
      </c>
      <c r="B138" s="3">
        <f>COUNTIF(Delivery!S3:S78,"8.5.2")</f>
        <v>0</v>
      </c>
      <c r="C138" s="3">
        <f>COUNTIFS(Delivery!S3:S5,"8.5.2",Delivery!H3:H5,"Yes")</f>
        <v>0</v>
      </c>
      <c r="D138" s="3">
        <f>COUNTIFS(Delivery!$S3:$S5,"8.5.2",Delivery!H3:H5,"No")</f>
        <v>0</v>
      </c>
      <c r="E138" s="3">
        <f>COUNTIFS(Delivery!$S3:$S5,"8.5.2",Delivery!I3:I5,"No")</f>
        <v>0</v>
      </c>
      <c r="F138" s="3">
        <f>COUNTIFS(Delivery!$S3:$S5,"8.5.2",Delivery!J3:J5,"No")</f>
        <v>0</v>
      </c>
      <c r="G138" s="3">
        <f>COUNTIFS(Delivery!$S3:$S5,"8.5.2",Delivery!K3:K5,"No")</f>
        <v>0</v>
      </c>
      <c r="H138" s="3">
        <f>COUNTIFS(Delivery!$S3:$S5,"8.5.2",Delivery!L3:L5,"No")</f>
        <v>0</v>
      </c>
      <c r="I138" s="5"/>
      <c r="J138" s="3" t="s">
        <v>143</v>
      </c>
      <c r="K138" s="3">
        <f>COUNTIF('Project Closure'!S4:S88,"8.5.2")</f>
        <v>0</v>
      </c>
      <c r="L138" s="3">
        <f>COUNTIFS('Project Closure'!S4:S18,"8.5.2",'Project Closure'!H4:H18,"Yes")</f>
        <v>0</v>
      </c>
      <c r="M138" s="3">
        <f>COUNTIFS('Project Closure'!$S4:$S18,"8.5.2",'Project Closure'!H4:H18,"No")</f>
        <v>0</v>
      </c>
      <c r="N138" s="3">
        <f>COUNTIFS('Project Closure'!$S4:$S18,"8.5.2",'Project Closure'!I4:I18,"No")</f>
        <v>0</v>
      </c>
      <c r="O138" s="3">
        <f>COUNTIFS('Project Closure'!$S4:$S18,"8.5.2",'Project Closure'!J4:J18,"No")</f>
        <v>0</v>
      </c>
      <c r="P138" s="3">
        <f>COUNTIFS('Project Closure'!$S4:$S18,"8.5.2",'Project Closure'!K4:K18,"No")</f>
        <v>0</v>
      </c>
      <c r="Q138" s="3">
        <f>COUNTIFS('Project Closure'!$S4:$S18,"8.5.2",'Project Closure'!L4:L18,"No")</f>
        <v>0</v>
      </c>
    </row>
    <row r="139" spans="1:17" x14ac:dyDescent="0.2">
      <c r="A139" s="3" t="s">
        <v>144</v>
      </c>
      <c r="B139" s="3">
        <f>COUNTIF(Delivery!S3:S78,"8.5.3")</f>
        <v>0</v>
      </c>
      <c r="C139" s="3">
        <f>COUNTIFS(Delivery!S3:S5,"8.5.3",Delivery!H3:H5,"Yes")</f>
        <v>0</v>
      </c>
      <c r="D139" s="3">
        <f>COUNTIFS(Delivery!$S3:$S5,"8.5.3",Delivery!H3:H5,"No")</f>
        <v>0</v>
      </c>
      <c r="E139" s="3">
        <f>COUNTIFS(Delivery!$S3:$S5,"8.5.3",Delivery!I3:I5,"No")</f>
        <v>0</v>
      </c>
      <c r="F139" s="3">
        <f>COUNTIFS(Delivery!$S3:$S5,"8.5.3",Delivery!J3:J5,"No")</f>
        <v>0</v>
      </c>
      <c r="G139" s="3">
        <f>COUNTIFS(Delivery!$S3:$S5,"8.5.3",Delivery!K3:K5,"No")</f>
        <v>0</v>
      </c>
      <c r="H139" s="3">
        <f>COUNTIFS(Delivery!$S3:$S5,"8.5.3",Delivery!L3:L5,"No")</f>
        <v>0</v>
      </c>
      <c r="I139" s="5"/>
      <c r="J139" s="3" t="s">
        <v>144</v>
      </c>
      <c r="K139" s="3">
        <f>COUNTIF('Project Closure'!S4:S88,"8.5.3")</f>
        <v>0</v>
      </c>
      <c r="L139" s="3">
        <f>COUNTIFS('Project Closure'!S4:S18,"8.5.3",'Project Closure'!H4:H18,"Yes")</f>
        <v>0</v>
      </c>
      <c r="M139" s="3">
        <f>COUNTIFS('Project Closure'!$S4:$S18,"8.5.3",'Project Closure'!H4:H18,"No")</f>
        <v>0</v>
      </c>
      <c r="N139" s="3">
        <f>COUNTIFS('Project Closure'!$S4:$S18,"8.5.3",'Project Closure'!I4:I18,"No")</f>
        <v>0</v>
      </c>
      <c r="O139" s="3">
        <f>COUNTIFS('Project Closure'!$S4:$S18,"8.5.3",'Project Closure'!J4:J18,"No")</f>
        <v>0</v>
      </c>
      <c r="P139" s="3">
        <f>COUNTIFS('Project Closure'!$S4:$S18,"8.5.3",'Project Closure'!K4:K18,"No")</f>
        <v>0</v>
      </c>
      <c r="Q139" s="3">
        <f>COUNTIFS('Project Closure'!$S4:$S18,"8.5.3",'Project Closure'!L4:L18,"No")</f>
        <v>0</v>
      </c>
    </row>
    <row r="140" spans="1:17" x14ac:dyDescent="0.2">
      <c r="A140" s="7" t="s">
        <v>9</v>
      </c>
      <c r="B140" s="9">
        <f t="shared" ref="B140:H140" si="6">SUM(B109:B139)</f>
        <v>2</v>
      </c>
      <c r="C140" s="9">
        <f t="shared" si="6"/>
        <v>2</v>
      </c>
      <c r="D140" s="9">
        <f t="shared" si="6"/>
        <v>0</v>
      </c>
      <c r="E140" s="9">
        <f t="shared" si="6"/>
        <v>0</v>
      </c>
      <c r="F140" s="9">
        <f t="shared" si="6"/>
        <v>0</v>
      </c>
      <c r="G140" s="9">
        <f t="shared" si="6"/>
        <v>0</v>
      </c>
      <c r="H140" s="9">
        <f t="shared" si="6"/>
        <v>0</v>
      </c>
      <c r="I140" s="5"/>
      <c r="J140" s="7" t="s">
        <v>9</v>
      </c>
      <c r="K140" s="9">
        <f t="shared" ref="K140:Q140" si="7">SUM(K109:K139)</f>
        <v>15</v>
      </c>
      <c r="L140" s="9">
        <f t="shared" si="7"/>
        <v>0</v>
      </c>
      <c r="M140" s="9">
        <f t="shared" si="7"/>
        <v>0</v>
      </c>
      <c r="N140" s="9">
        <f t="shared" si="7"/>
        <v>0</v>
      </c>
      <c r="O140" s="9">
        <f t="shared" si="7"/>
        <v>0</v>
      </c>
      <c r="P140" s="9">
        <f t="shared" si="7"/>
        <v>0</v>
      </c>
      <c r="Q140" s="9">
        <f t="shared" si="7"/>
        <v>0</v>
      </c>
    </row>
    <row r="142" spans="1:17" ht="17.25" customHeight="1" x14ac:dyDescent="0.2">
      <c r="A142" s="7" t="s">
        <v>150</v>
      </c>
      <c r="B142" s="7" t="s">
        <v>158</v>
      </c>
    </row>
    <row r="143" spans="1:17" x14ac:dyDescent="0.2">
      <c r="A143" s="86" t="s">
        <v>109</v>
      </c>
      <c r="B143" s="11">
        <v>5</v>
      </c>
    </row>
    <row r="144" spans="1:17" x14ac:dyDescent="0.2">
      <c r="A144" s="86" t="s">
        <v>159</v>
      </c>
      <c r="B144" s="11">
        <v>3</v>
      </c>
    </row>
    <row r="145" spans="1:2" x14ac:dyDescent="0.2">
      <c r="A145" s="86" t="s">
        <v>160</v>
      </c>
      <c r="B145" s="11">
        <v>1</v>
      </c>
    </row>
  </sheetData>
  <mergeCells count="1">
    <mergeCell ref="A1:M1"/>
  </mergeCells>
  <pageMargins left="0.7" right="0.7" top="0.75" bottom="0.75" header="0.3" footer="0.3"/>
  <pageSetup paperSize="9" orientation="portrait"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8"/>
  <sheetViews>
    <sheetView workbookViewId="0"/>
  </sheetViews>
  <sheetFormatPr defaultRowHeight="12.75" x14ac:dyDescent="0.2"/>
  <sheetData>
    <row r="2" spans="1:2" x14ac:dyDescent="0.2">
      <c r="A2">
        <v>1</v>
      </c>
      <c r="B2" s="235" t="s">
        <v>584</v>
      </c>
    </row>
    <row r="3" spans="1:2" x14ac:dyDescent="0.2">
      <c r="A3">
        <v>2</v>
      </c>
      <c r="B3" s="235" t="s">
        <v>585</v>
      </c>
    </row>
    <row r="4" spans="1:2" x14ac:dyDescent="0.2">
      <c r="A4">
        <v>3</v>
      </c>
      <c r="B4" s="235" t="s">
        <v>586</v>
      </c>
    </row>
    <row r="5" spans="1:2" x14ac:dyDescent="0.2">
      <c r="A5">
        <v>4</v>
      </c>
      <c r="B5" s="235" t="s">
        <v>587</v>
      </c>
    </row>
    <row r="6" spans="1:2" x14ac:dyDescent="0.2">
      <c r="B6" s="235" t="s">
        <v>588</v>
      </c>
    </row>
    <row r="7" spans="1:2" x14ac:dyDescent="0.2">
      <c r="A7">
        <v>5</v>
      </c>
      <c r="B7" s="235" t="s">
        <v>589</v>
      </c>
    </row>
    <row r="8" spans="1:2" x14ac:dyDescent="0.2">
      <c r="A8">
        <v>6</v>
      </c>
      <c r="B8" s="235" t="s">
        <v>590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1"/>
  <sheetViews>
    <sheetView showGridLines="0" tabSelected="1" zoomScale="80" zoomScaleNormal="80" workbookViewId="0">
      <pane ySplit="2" topLeftCell="A3" activePane="bottomLeft" state="frozen"/>
      <selection pane="bottomLeft" activeCell="S20" sqref="S20"/>
    </sheetView>
  </sheetViews>
  <sheetFormatPr defaultColWidth="47" defaultRowHeight="12.75" x14ac:dyDescent="0.2"/>
  <cols>
    <col min="1" max="1" width="3.7109375" style="78" bestFit="1" customWidth="1"/>
    <col min="2" max="2" width="26.7109375" style="78" bestFit="1" customWidth="1"/>
    <col min="3" max="3" width="20.28515625" style="78" customWidth="1"/>
    <col min="4" max="4" width="16.7109375" style="78" bestFit="1" customWidth="1"/>
    <col min="5" max="5" width="13.5703125" style="78" bestFit="1" customWidth="1"/>
    <col min="6" max="6" width="12.140625" style="78" customWidth="1"/>
    <col min="7" max="7" width="12.140625" style="78" bestFit="1" customWidth="1"/>
    <col min="8" max="8" width="18.85546875" style="78" bestFit="1" customWidth="1"/>
    <col min="9" max="9" width="12.140625" style="78" bestFit="1" customWidth="1"/>
    <col min="10" max="10" width="13.140625" style="78" customWidth="1"/>
    <col min="11" max="11" width="7" style="78" hidden="1" customWidth="1"/>
    <col min="12" max="12" width="2.28515625" style="78" hidden="1" customWidth="1"/>
    <col min="13" max="15" width="7.7109375" style="78" hidden="1" customWidth="1"/>
    <col min="16" max="16" width="5.42578125" style="78" hidden="1" customWidth="1"/>
    <col min="17" max="17" width="20.28515625" style="78" bestFit="1" customWidth="1"/>
    <col min="18" max="18" width="5.42578125" style="78" customWidth="1"/>
    <col min="19" max="16384" width="47" style="78"/>
  </cols>
  <sheetData>
    <row r="1" spans="1:17" s="84" customFormat="1" x14ac:dyDescent="0.2">
      <c r="A1" s="286" t="s">
        <v>582</v>
      </c>
      <c r="B1" s="281"/>
      <c r="C1" s="281"/>
      <c r="D1" s="281"/>
      <c r="E1" s="281"/>
      <c r="F1" s="281"/>
      <c r="G1" s="281"/>
      <c r="H1" s="281"/>
      <c r="I1" s="282"/>
    </row>
    <row r="2" spans="1:17" s="85" customFormat="1" ht="18" customHeight="1" x14ac:dyDescent="0.2">
      <c r="A2" s="283" t="s">
        <v>604</v>
      </c>
      <c r="B2" s="284"/>
      <c r="C2" s="284"/>
      <c r="D2" s="284"/>
      <c r="E2" s="284"/>
      <c r="F2" s="284"/>
      <c r="G2" s="284"/>
      <c r="H2" s="284"/>
      <c r="I2" s="285"/>
    </row>
    <row r="3" spans="1:17" x14ac:dyDescent="0.2">
      <c r="K3" s="182" t="s">
        <v>243</v>
      </c>
      <c r="M3" s="182" t="s">
        <v>244</v>
      </c>
      <c r="N3" s="182" t="s">
        <v>251</v>
      </c>
      <c r="O3" s="182" t="s">
        <v>252</v>
      </c>
      <c r="P3" s="182" t="s">
        <v>253</v>
      </c>
    </row>
    <row r="4" spans="1:17" x14ac:dyDescent="0.2">
      <c r="B4" s="87" t="s">
        <v>245</v>
      </c>
      <c r="C4" s="87" t="s">
        <v>246</v>
      </c>
      <c r="D4" s="87" t="s">
        <v>2</v>
      </c>
      <c r="E4" s="87" t="s">
        <v>90</v>
      </c>
      <c r="F4" s="254" t="s">
        <v>463</v>
      </c>
      <c r="G4" s="254" t="s">
        <v>617</v>
      </c>
      <c r="H4" s="254" t="s">
        <v>618</v>
      </c>
      <c r="I4" s="254" t="s">
        <v>464</v>
      </c>
      <c r="J4" s="254" t="s">
        <v>465</v>
      </c>
      <c r="K4" s="182" t="s">
        <v>109</v>
      </c>
      <c r="L4" s="78">
        <f>SUM(Summary!J5:J13)</f>
        <v>12</v>
      </c>
      <c r="M4" s="78">
        <f>SUM(Summary!N5:N13)</f>
        <v>0</v>
      </c>
      <c r="N4" s="78">
        <f>SUM(Summary!Q5:Q13)</f>
        <v>0</v>
      </c>
      <c r="O4" s="78">
        <f>SUM(Summary!T5:T13)</f>
        <v>0</v>
      </c>
      <c r="P4" s="78">
        <f>SUM(Summary!W5:W13)</f>
        <v>0</v>
      </c>
    </row>
    <row r="5" spans="1:17" x14ac:dyDescent="0.2">
      <c r="B5" s="88" t="s">
        <v>606</v>
      </c>
      <c r="C5" s="88" t="s">
        <v>621</v>
      </c>
      <c r="D5" s="88" t="s">
        <v>622</v>
      </c>
      <c r="E5" s="88" t="s">
        <v>607</v>
      </c>
      <c r="F5" s="253">
        <f>IF(SUM(Summary!C5:C13),AVERAGE('Process Area wise'!C4:C41,'Process Area wise'!K4:K38,),"")</f>
        <v>0.65256552233296417</v>
      </c>
      <c r="G5" s="253">
        <f>IF(SUM(Summary!D5:D13)&gt;0,AVERAGE('Process Area wise'!D4:D41,'Process Area wise'!L4:L38),"")</f>
        <v>1</v>
      </c>
      <c r="H5" s="253">
        <f>IF(SUM(Summary!E5:E13)&gt;0,AVERAGE('Process Area wise'!E4:E41,'Process Area wise'!M4:M38),"")</f>
        <v>1</v>
      </c>
      <c r="I5" s="253">
        <f>IF(SUM(Summary!F5:F13),AVERAGE('Process Area wise'!F4:F41,'Process Area wise'!N4:N38),"")</f>
        <v>1</v>
      </c>
      <c r="J5" s="253">
        <f>IF(SUM(Summary!G5:G13)&gt;0,AVERAGE('Process Area wise'!G4:G41,'Process Area wise'!O4:O38),"")</f>
        <v>1</v>
      </c>
      <c r="K5" s="182" t="s">
        <v>159</v>
      </c>
      <c r="L5" s="78">
        <f>SUM(Summary!K5:K13)</f>
        <v>16</v>
      </c>
      <c r="M5" s="78">
        <f>SUM(Summary!O5:O13)</f>
        <v>0</v>
      </c>
      <c r="N5" s="78">
        <f>SUM(Summary!R5:R13)</f>
        <v>0</v>
      </c>
      <c r="O5" s="78">
        <f>SUM(Summary!U5:U13)</f>
        <v>0</v>
      </c>
      <c r="P5" s="78">
        <f>SUM(Summary!X5:X13)</f>
        <v>0</v>
      </c>
    </row>
    <row r="6" spans="1:17" x14ac:dyDescent="0.2">
      <c r="B6" s="87" t="s">
        <v>3</v>
      </c>
      <c r="C6" s="87" t="s">
        <v>105</v>
      </c>
      <c r="D6" s="87" t="s">
        <v>151</v>
      </c>
      <c r="E6" s="87" t="s">
        <v>247</v>
      </c>
      <c r="F6" s="143" t="s">
        <v>248</v>
      </c>
      <c r="G6" s="143" t="s">
        <v>249</v>
      </c>
      <c r="H6" s="143" t="s">
        <v>521</v>
      </c>
      <c r="I6" s="143" t="s">
        <v>85</v>
      </c>
      <c r="J6" s="143" t="s">
        <v>250</v>
      </c>
      <c r="K6" s="182" t="s">
        <v>160</v>
      </c>
      <c r="L6" s="78">
        <f>SUM(Summary!L5:L13)</f>
        <v>6</v>
      </c>
      <c r="M6" s="78">
        <f>SUM(Summary!P5:P13)</f>
        <v>0</v>
      </c>
      <c r="N6" s="78">
        <f>SUM(Summary!S5:S13)</f>
        <v>0</v>
      </c>
      <c r="O6" s="78">
        <f>SUM(Summary!V5:V13)</f>
        <v>0</v>
      </c>
      <c r="P6" s="78">
        <f>SUM(Summary!Y5:Y13)</f>
        <v>0</v>
      </c>
      <c r="Q6" s="87" t="s">
        <v>583</v>
      </c>
    </row>
    <row r="7" spans="1:17" x14ac:dyDescent="0.2">
      <c r="B7" s="88" t="s">
        <v>623</v>
      </c>
      <c r="C7" s="240"/>
      <c r="D7" s="240" t="s">
        <v>13</v>
      </c>
      <c r="E7" s="88" t="s">
        <v>243</v>
      </c>
      <c r="F7" s="88" t="s">
        <v>613</v>
      </c>
      <c r="G7" s="94">
        <v>42292</v>
      </c>
      <c r="H7" s="88" t="s">
        <v>608</v>
      </c>
      <c r="I7" s="227" t="s">
        <v>609</v>
      </c>
      <c r="J7" s="94">
        <v>42305</v>
      </c>
      <c r="K7" s="94"/>
      <c r="L7" s="94"/>
      <c r="M7" s="94"/>
      <c r="N7" s="94"/>
      <c r="O7" s="94"/>
      <c r="P7" s="94"/>
      <c r="Q7" s="94" t="s">
        <v>610</v>
      </c>
    </row>
    <row r="8" spans="1:17" x14ac:dyDescent="0.2">
      <c r="B8" s="88"/>
      <c r="C8" s="88"/>
      <c r="D8" s="88"/>
      <c r="E8" s="88"/>
      <c r="F8" s="88"/>
      <c r="G8" s="94"/>
      <c r="H8" s="88"/>
      <c r="I8" s="240"/>
      <c r="J8" s="241"/>
      <c r="K8" s="242"/>
      <c r="L8" s="242"/>
      <c r="M8" s="242"/>
      <c r="N8" s="242"/>
      <c r="O8" s="242"/>
      <c r="P8" s="242"/>
      <c r="Q8" s="243"/>
    </row>
    <row r="9" spans="1:17" x14ac:dyDescent="0.2">
      <c r="B9" s="88"/>
      <c r="C9" s="88"/>
      <c r="D9" s="88"/>
      <c r="E9" s="88"/>
      <c r="F9" s="88"/>
      <c r="G9" s="94"/>
      <c r="H9" s="88"/>
      <c r="I9" s="227"/>
      <c r="J9" s="228"/>
      <c r="Q9" s="88"/>
    </row>
    <row r="10" spans="1:17" x14ac:dyDescent="0.2">
      <c r="B10" s="88"/>
      <c r="C10" s="88"/>
      <c r="D10" s="88"/>
      <c r="E10" s="88"/>
      <c r="F10" s="88"/>
      <c r="G10" s="94"/>
      <c r="H10" s="88"/>
      <c r="I10" s="88"/>
      <c r="J10" s="88"/>
      <c r="Q10" s="88"/>
    </row>
    <row r="11" spans="1:17" x14ac:dyDescent="0.2">
      <c r="B11" s="88"/>
      <c r="C11" s="88"/>
      <c r="D11" s="88"/>
      <c r="E11" s="88"/>
      <c r="F11" s="88"/>
      <c r="G11" s="94"/>
      <c r="H11" s="88"/>
      <c r="I11" s="88"/>
      <c r="J11" s="88"/>
      <c r="Q11" s="88"/>
    </row>
    <row r="12" spans="1:17" x14ac:dyDescent="0.2">
      <c r="B12" s="287" t="s">
        <v>522</v>
      </c>
      <c r="C12" s="288"/>
      <c r="G12" s="289" t="s">
        <v>490</v>
      </c>
      <c r="H12" s="290"/>
      <c r="I12" s="290"/>
      <c r="J12" s="291"/>
    </row>
    <row r="13" spans="1:17" x14ac:dyDescent="0.2">
      <c r="B13" s="79"/>
    </row>
    <row r="14" spans="1:17" x14ac:dyDescent="0.2">
      <c r="B14" s="93"/>
    </row>
    <row r="15" spans="1:17" x14ac:dyDescent="0.2">
      <c r="B15" s="93"/>
    </row>
    <row r="16" spans="1:17" x14ac:dyDescent="0.2">
      <c r="B16" s="93"/>
    </row>
    <row r="17" spans="2:8" x14ac:dyDescent="0.2">
      <c r="B17" s="93"/>
    </row>
    <row r="18" spans="2:8" x14ac:dyDescent="0.2">
      <c r="B18" s="93"/>
    </row>
    <row r="19" spans="2:8" x14ac:dyDescent="0.2">
      <c r="B19" s="93"/>
      <c r="C19" s="99"/>
    </row>
    <row r="20" spans="2:8" x14ac:dyDescent="0.2">
      <c r="B20" s="93"/>
    </row>
    <row r="31" spans="2:8" x14ac:dyDescent="0.2">
      <c r="B31" s="289" t="s">
        <v>504</v>
      </c>
      <c r="C31" s="290"/>
      <c r="D31" s="291"/>
      <c r="G31" s="289" t="s">
        <v>482</v>
      </c>
      <c r="H31" s="291"/>
    </row>
  </sheetData>
  <mergeCells count="6">
    <mergeCell ref="A1:I1"/>
    <mergeCell ref="A2:I2"/>
    <mergeCell ref="B12:C12"/>
    <mergeCell ref="G12:J12"/>
    <mergeCell ref="B31:D31"/>
    <mergeCell ref="G31:H31"/>
  </mergeCells>
  <conditionalFormatting sqref="G5">
    <cfRule type="expression" dxfId="325" priority="13" stopIfTrue="1">
      <formula>$M$4&gt;0</formula>
    </cfRule>
    <cfRule type="expression" dxfId="324" priority="14" stopIfTrue="1">
      <formula>$M$5&gt;0</formula>
    </cfRule>
    <cfRule type="expression" dxfId="323" priority="15" stopIfTrue="1">
      <formula>$M$6&gt;0</formula>
    </cfRule>
  </conditionalFormatting>
  <conditionalFormatting sqref="H5">
    <cfRule type="expression" dxfId="322" priority="10" stopIfTrue="1">
      <formula>$N$4&gt;0</formula>
    </cfRule>
    <cfRule type="expression" dxfId="321" priority="11" stopIfTrue="1">
      <formula>$N$5&gt;0</formula>
    </cfRule>
    <cfRule type="expression" dxfId="320" priority="12" stopIfTrue="1">
      <formula>$N$6&gt;0</formula>
    </cfRule>
  </conditionalFormatting>
  <conditionalFormatting sqref="I5">
    <cfRule type="expression" dxfId="319" priority="7" stopIfTrue="1">
      <formula>$O$4&gt;0</formula>
    </cfRule>
    <cfRule type="expression" dxfId="318" priority="8" stopIfTrue="1">
      <formula>$O$5&gt;0</formula>
    </cfRule>
    <cfRule type="expression" dxfId="317" priority="9" stopIfTrue="1">
      <formula>$O$6&gt;0</formula>
    </cfRule>
  </conditionalFormatting>
  <conditionalFormatting sqref="J5">
    <cfRule type="expression" dxfId="316" priority="4" stopIfTrue="1">
      <formula>$P$4&gt;0</formula>
    </cfRule>
    <cfRule type="expression" dxfId="315" priority="5" stopIfTrue="1">
      <formula>$P$5&gt;0</formula>
    </cfRule>
    <cfRule type="expression" dxfId="314" priority="6" stopIfTrue="1">
      <formula>$P$6&gt;0</formula>
    </cfRule>
  </conditionalFormatting>
  <conditionalFormatting sqref="F5">
    <cfRule type="expression" dxfId="313" priority="16" stopIfTrue="1">
      <formula>$L$4&gt;0</formula>
    </cfRule>
    <cfRule type="expression" dxfId="312" priority="17" stopIfTrue="1">
      <formula>$L$5&gt;0</formula>
    </cfRule>
    <cfRule type="expression" dxfId="311" priority="18" stopIfTrue="1">
      <formula>$L$6&gt;0</formula>
    </cfRule>
  </conditionalFormatting>
  <dataValidations count="1">
    <dataValidation type="list" allowBlank="1" showInputMessage="1" showErrorMessage="1" sqref="E7:E11">
      <formula1>"Cycle 1, Cycle 2, Cycle 3, Cycle 4, Cycle 5"</formula1>
    </dataValidation>
  </dataValidations>
  <hyperlinks>
    <hyperlink ref="G12:J12" location="Summary!A1" display="Revenue Leakage Reduction Compliance Status"/>
    <hyperlink ref="B31:D31" location="Summary!A1" display="PDCA wise PCI Status"/>
    <hyperlink ref="G31:H31" location="Summary!A1" display="Phase wise PCI Status"/>
  </hyperlinks>
  <pageMargins left="0.75" right="0.75" top="1" bottom="1" header="0.5" footer="0.5"/>
  <pageSetup paperSize="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8"/>
  <sheetViews>
    <sheetView showGridLines="0" zoomScale="80" zoomScaleNormal="80" workbookViewId="0">
      <pane xSplit="12" ySplit="1" topLeftCell="M2" activePane="bottomRight" state="frozen"/>
      <selection pane="topRight" activeCell="M1" sqref="M1"/>
      <selection pane="bottomLeft" activeCell="A2" sqref="A2"/>
      <selection pane="bottomRight" activeCell="M20" sqref="L20:M20"/>
    </sheetView>
  </sheetViews>
  <sheetFormatPr defaultColWidth="47" defaultRowHeight="12.75" x14ac:dyDescent="0.2"/>
  <cols>
    <col min="1" max="1" width="25.140625" style="183" bestFit="1" customWidth="1"/>
    <col min="2" max="2" width="9.28515625" style="183" bestFit="1" customWidth="1"/>
    <col min="3" max="3" width="12" style="183" bestFit="1" customWidth="1"/>
    <col min="4" max="6" width="12" style="183" customWidth="1"/>
    <col min="7" max="7" width="12.42578125" style="183" customWidth="1"/>
    <col min="8" max="8" width="5.140625" style="183" customWidth="1"/>
    <col min="9" max="9" width="33.85546875" style="183" customWidth="1"/>
    <col min="10" max="10" width="8.85546875" style="183" bestFit="1" customWidth="1"/>
    <col min="11" max="11" width="8" style="183" bestFit="1" customWidth="1"/>
    <col min="12" max="12" width="7.7109375" style="183" bestFit="1" customWidth="1"/>
    <col min="13" max="13" width="7.7109375" style="183" customWidth="1"/>
    <col min="14" max="15" width="8" style="183" customWidth="1"/>
    <col min="16" max="16" width="6.7109375" style="183" customWidth="1"/>
    <col min="17" max="17" width="8.42578125" style="183" customWidth="1"/>
    <col min="18" max="18" width="6.7109375" style="183" customWidth="1"/>
    <col min="19" max="19" width="7" style="183" customWidth="1"/>
    <col min="20" max="20" width="8" style="183" customWidth="1"/>
    <col min="21" max="21" width="6.7109375" style="183" customWidth="1"/>
    <col min="22" max="22" width="7" style="183" customWidth="1"/>
    <col min="23" max="23" width="8" style="183" customWidth="1"/>
    <col min="24" max="24" width="6.7109375" style="183" customWidth="1"/>
    <col min="25" max="25" width="7" style="183" customWidth="1"/>
    <col min="26" max="30" width="47" style="183"/>
    <col min="31" max="31" width="47" style="183" customWidth="1"/>
    <col min="32" max="16384" width="47" style="183"/>
  </cols>
  <sheetData>
    <row r="1" spans="1:25" ht="13.5" thickBot="1" x14ac:dyDescent="0.25">
      <c r="A1" s="294" t="s">
        <v>149</v>
      </c>
      <c r="B1" s="295"/>
      <c r="C1" s="295"/>
      <c r="D1" s="295"/>
      <c r="E1" s="295"/>
      <c r="F1" s="295"/>
      <c r="G1" s="295"/>
      <c r="H1" s="295"/>
      <c r="I1" s="295"/>
      <c r="J1" s="295"/>
      <c r="K1" s="295"/>
      <c r="L1" s="295"/>
      <c r="M1" s="295"/>
      <c r="N1" s="296"/>
    </row>
    <row r="2" spans="1:25" ht="18.75" thickBot="1" x14ac:dyDescent="0.25">
      <c r="A2" s="184"/>
      <c r="B2" s="185"/>
      <c r="C2" s="185"/>
      <c r="D2" s="185"/>
      <c r="E2" s="185"/>
      <c r="F2" s="185"/>
      <c r="G2" s="185"/>
      <c r="H2" s="185"/>
      <c r="I2" s="186" t="s">
        <v>515</v>
      </c>
    </row>
    <row r="3" spans="1:25" ht="18" x14ac:dyDescent="0.2">
      <c r="A3" s="297" t="s">
        <v>482</v>
      </c>
      <c r="B3" s="298"/>
      <c r="C3" s="298"/>
      <c r="D3" s="298"/>
      <c r="E3" s="298"/>
      <c r="F3" s="298"/>
      <c r="G3" s="299"/>
      <c r="H3" s="185"/>
      <c r="I3" s="187" t="s">
        <v>146</v>
      </c>
      <c r="J3" s="306" t="s">
        <v>243</v>
      </c>
      <c r="K3" s="307"/>
      <c r="L3" s="307"/>
      <c r="M3" s="308"/>
      <c r="N3" s="292" t="s">
        <v>244</v>
      </c>
      <c r="O3" s="292"/>
      <c r="P3" s="292"/>
      <c r="Q3" s="292" t="s">
        <v>251</v>
      </c>
      <c r="R3" s="292"/>
      <c r="S3" s="292"/>
      <c r="T3" s="292" t="s">
        <v>252</v>
      </c>
      <c r="U3" s="292"/>
      <c r="V3" s="292"/>
      <c r="W3" s="292" t="s">
        <v>253</v>
      </c>
      <c r="X3" s="292"/>
      <c r="Y3" s="293"/>
    </row>
    <row r="4" spans="1:25" ht="13.5" thickBot="1" x14ac:dyDescent="0.25">
      <c r="A4" s="188" t="s">
        <v>444</v>
      </c>
      <c r="B4" s="188" t="s">
        <v>467</v>
      </c>
      <c r="C4" s="189" t="s">
        <v>466</v>
      </c>
      <c r="D4" s="189" t="s">
        <v>468</v>
      </c>
      <c r="E4" s="189" t="s">
        <v>469</v>
      </c>
      <c r="F4" s="189" t="s">
        <v>470</v>
      </c>
      <c r="G4" s="189" t="s">
        <v>471</v>
      </c>
      <c r="I4" s="190"/>
      <c r="J4" s="191" t="s">
        <v>109</v>
      </c>
      <c r="K4" s="191" t="s">
        <v>159</v>
      </c>
      <c r="L4" s="191" t="s">
        <v>160</v>
      </c>
      <c r="M4" s="191"/>
      <c r="N4" s="191" t="s">
        <v>109</v>
      </c>
      <c r="O4" s="191" t="s">
        <v>159</v>
      </c>
      <c r="P4" s="191" t="s">
        <v>160</v>
      </c>
      <c r="Q4" s="191" t="s">
        <v>109</v>
      </c>
      <c r="R4" s="191" t="s">
        <v>159</v>
      </c>
      <c r="S4" s="191" t="s">
        <v>160</v>
      </c>
      <c r="T4" s="191" t="s">
        <v>109</v>
      </c>
      <c r="U4" s="191" t="s">
        <v>159</v>
      </c>
      <c r="V4" s="191" t="s">
        <v>160</v>
      </c>
      <c r="W4" s="191" t="s">
        <v>109</v>
      </c>
      <c r="X4" s="191" t="s">
        <v>159</v>
      </c>
      <c r="Y4" s="192" t="s">
        <v>160</v>
      </c>
    </row>
    <row r="5" spans="1:25" x14ac:dyDescent="0.2">
      <c r="A5" s="193" t="str">
        <f>'Process Area wise'!A4</f>
        <v>Project Initiation</v>
      </c>
      <c r="B5" s="275">
        <v>1</v>
      </c>
      <c r="C5" s="276">
        <f>IF(AVERAGE('Severity wise'!C5:C7)&gt;0,AVERAGE('Process Area wise'!C4:C6),"")</f>
        <v>1</v>
      </c>
      <c r="D5" s="276">
        <f>IF(AVERAGE('Severity wise'!G5:G7)&gt;0,AVERAGE('Process Area wise'!D4:D6),"")</f>
        <v>1</v>
      </c>
      <c r="E5" s="276" t="str">
        <f>IF(AVERAGE('Severity wise'!K5:K7)&gt;0,AVERAGE('Process Area wise'!E4:E6),"")</f>
        <v/>
      </c>
      <c r="F5" s="276" t="str">
        <f>IF(AVERAGE('Severity wise'!O5:O7)&gt;0,AVERAGE('Process Area wise'!F4:F6),"")</f>
        <v/>
      </c>
      <c r="G5" s="276" t="str">
        <f>IF(AVERAGE('Severity wise'!S5:S7)&gt;0,AVERAGE('Process Area wise'!G4:G6),"")</f>
        <v/>
      </c>
      <c r="I5" s="194" t="s">
        <v>7</v>
      </c>
      <c r="J5" s="193" t="str">
        <f>IF(AVERAGE('Severity wise'!D5:D7)&gt;0,SUM('Severity wise'!D5:D7),"")</f>
        <v/>
      </c>
      <c r="K5" s="193" t="str">
        <f>IF(AVERAGE('Severity wise'!E5:E7)&gt;0,SUM('Severity wise'!E5:E7),"")</f>
        <v/>
      </c>
      <c r="L5" s="193" t="str">
        <f>IF(AVERAGE('Severity wise'!F5:F7)&gt;0,SUM('Severity wise'!F5:F7),"")</f>
        <v/>
      </c>
      <c r="M5" s="193"/>
      <c r="N5" s="193" t="str">
        <f>IF(AVERAGE('Severity wise'!H5:H7)&gt;0,SUM('Severity wise'!H5:H7),"")</f>
        <v/>
      </c>
      <c r="O5" s="193" t="str">
        <f>IF(AVERAGE('Severity wise'!I5:I7)&gt;0,SUM('Severity wise'!I5:I7),"")</f>
        <v/>
      </c>
      <c r="P5" s="193" t="str">
        <f>IF(AVERAGE('Severity wise'!J5:J7)&gt;0,SUM('Severity wise'!J5:J7),"")</f>
        <v/>
      </c>
      <c r="Q5" s="193" t="str">
        <f>IF(AVERAGE('Severity wise'!L5:L7)&gt;0,SUM('Severity wise'!L5:L7),"")</f>
        <v/>
      </c>
      <c r="R5" s="193" t="str">
        <f>IF(AVERAGE('Severity wise'!M5:M7)&gt;0,SUM('Severity wise'!M5:M7),"")</f>
        <v/>
      </c>
      <c r="S5" s="193" t="str">
        <f>IF(AVERAGE('Severity wise'!N5:N7)&gt;0,SUM('Severity wise'!N5:N7),"")</f>
        <v/>
      </c>
      <c r="T5" s="193" t="str">
        <f>IF(AVERAGE('Severity wise'!P5:P7)&gt;0,SUM('Severity wise'!P5:P7),"")</f>
        <v/>
      </c>
      <c r="U5" s="193" t="str">
        <f>IF(('Severity wise'!Q5:Q7)&gt;0,SUM('Severity wise'!Q5:Q7),"")</f>
        <v/>
      </c>
      <c r="V5" s="193" t="str">
        <f>IF(AVERAGE('Severity wise'!R5:R7)&gt;0,SUM('Severity wise'!R5:R7),"")</f>
        <v/>
      </c>
      <c r="W5" s="193" t="str">
        <f>IF(AVERAGE('Severity wise'!T5:T7)&gt;0,SUM('Severity wise'!T5:T7),"")</f>
        <v/>
      </c>
      <c r="X5" s="193" t="str">
        <f>IF(AVERAGE('Severity wise'!U5:U7)&gt;0,SUM('Severity wise'!U5:U7),"")</f>
        <v/>
      </c>
      <c r="Y5" s="195" t="str">
        <f>IF(AVERAGE('Severity wise'!V5:V7)&gt;0,SUM('Severity wise'!V5:V7),"")</f>
        <v/>
      </c>
    </row>
    <row r="6" spans="1:25" x14ac:dyDescent="0.2">
      <c r="A6" s="193" t="str">
        <f>'Process Area wise'!A8</f>
        <v>Project Management Plan</v>
      </c>
      <c r="B6" s="277">
        <v>1</v>
      </c>
      <c r="C6" s="276">
        <f>IF(AVERAGE('Severity wise'!C9:C28)&gt;0,AVERAGE('Process Area wise'!C8:C27),"")</f>
        <v>0.66095238095238096</v>
      </c>
      <c r="D6" s="276">
        <f>IF(AVERAGE('Severity wise'!G9:G28)&gt;0,AVERAGE('Process Area wise'!D8:D27),"")</f>
        <v>1</v>
      </c>
      <c r="E6" s="276" t="str">
        <f>IF(AVERAGE('Severity wise'!K9:K28)&gt;0,AVERAGE('Process Area wise'!E8:E27),"")</f>
        <v/>
      </c>
      <c r="F6" s="276" t="str">
        <f>IF(AVERAGE('Severity wise'!O9:O28)&gt;0,AVERAGE('Process Area wise'!F8:F27),"")</f>
        <v/>
      </c>
      <c r="G6" s="276" t="str">
        <f>IF(AVERAGE('Severity wise'!S9:S28)&gt;0,AVERAGE('Process Area wise'!G8:G27),"")</f>
        <v/>
      </c>
      <c r="I6" s="194" t="s">
        <v>443</v>
      </c>
      <c r="J6" s="274">
        <f>IF(AVERAGE('Severity wise'!D9:D28)&gt;0,SUM('Severity wise'!D9:D28),"")</f>
        <v>6</v>
      </c>
      <c r="K6" s="274">
        <f>IF(AVERAGE('Severity wise'!E9:E28)&gt;0,SUM('Severity wise'!E9:E28),"")</f>
        <v>9</v>
      </c>
      <c r="L6" s="274">
        <f>IF(AVERAGE('Severity wise'!F9:F28)&gt;0,SUM('Severity wise'!F9:F28),"")</f>
        <v>3</v>
      </c>
      <c r="M6" s="193"/>
      <c r="N6" s="193" t="str">
        <f>IF(AVERAGE('Severity wise'!H9:H28)&gt;0,SUM('Severity wise'!H9:H28),"")</f>
        <v/>
      </c>
      <c r="O6" s="193" t="str">
        <f>IF(AVERAGE('Severity wise'!I9:I28)&gt;0,SUM('Severity wise'!I9:I28),"")</f>
        <v/>
      </c>
      <c r="P6" s="193" t="str">
        <f>IF(AVERAGE('Severity wise'!J9:J28)&gt;0,SUM('Severity wise'!J9:J28),"")</f>
        <v/>
      </c>
      <c r="Q6" s="193" t="str">
        <f>IF(AVERAGE('Severity wise'!L9:L28)&gt;0,SUM('Severity wise'!L9:L28),"")</f>
        <v/>
      </c>
      <c r="R6" s="193" t="str">
        <f>IF(AVERAGE('Severity wise'!M9:M28)&gt;0,SUM('Severity wise'!M9:M28),"")</f>
        <v/>
      </c>
      <c r="S6" s="193" t="str">
        <f>IF(AVERAGE('Severity wise'!N9:N28)&gt;0,SUM('Severity wise'!N9:N28),"")</f>
        <v/>
      </c>
      <c r="T6" s="193" t="str">
        <f>IF(AVERAGE('Severity wise'!P9:P28)&gt;0,SUM('Severity wise'!P9:P28),"")</f>
        <v/>
      </c>
      <c r="U6" s="193" t="str">
        <f>IF(AVERAGE('Severity wise'!Q9:Q28)&gt;0,SUM('Severity wise'!Q9:Q28),"")</f>
        <v/>
      </c>
      <c r="V6" s="193" t="str">
        <f>IF(AVERAGE('Severity wise'!R9:R28)&gt;0,SUM('Severity wise'!R9:R28),"")</f>
        <v/>
      </c>
      <c r="W6" s="193" t="str">
        <f>IF(AVERAGE('Severity wise'!T9:T28)&gt;0,SUM('Severity wise'!T9:T28),"")</f>
        <v/>
      </c>
      <c r="X6" s="193" t="str">
        <f>IF(AVERAGE('Severity wise'!U9:U28)&gt;0,SUM('Severity wise'!U9:U28),"")</f>
        <v/>
      </c>
      <c r="Y6" s="195" t="str">
        <f>IF(AVERAGE('Severity wise'!V9:V28)&gt;0,SUM('Severity wise'!V9:V28),"")</f>
        <v/>
      </c>
    </row>
    <row r="7" spans="1:25" x14ac:dyDescent="0.2">
      <c r="A7" s="193" t="str">
        <f>'Process Area wise'!A29</f>
        <v>Monitoring &amp; Control</v>
      </c>
      <c r="B7" s="277">
        <v>1</v>
      </c>
      <c r="C7" s="276">
        <f>IF(AVERAGE('Severity wise'!C30:C42)&gt;0,AVERAGE('Process Area wise'!C29:C41),"")</f>
        <v>0.38961038961038957</v>
      </c>
      <c r="D7" s="276">
        <f>IF(AVERAGE('Severity wise'!G30:G42)&gt;0,AVERAGE('Process Area wise'!D29:D41),"")</f>
        <v>1</v>
      </c>
      <c r="E7" s="276">
        <f>IF(AVERAGE('Severity wise'!K30:K42)&gt;0,AVERAGE('Process Area wise'!D29:D41),"")</f>
        <v>1</v>
      </c>
      <c r="F7" s="276">
        <f>IF(AVERAGE('Severity wise'!O30:O42)&gt;0,AVERAGE('Process Area wise'!F29:F41),"")</f>
        <v>1</v>
      </c>
      <c r="G7" s="276">
        <f>IF(AVERAGE('Severity wise'!S30:S42)&gt;0,AVERAGE('Process Area wise'!G29:G41),"")</f>
        <v>1</v>
      </c>
      <c r="I7" s="194" t="s">
        <v>12</v>
      </c>
      <c r="J7" s="274">
        <f>IF(AVERAGE('Severity wise'!D30:D42)&gt;0,SUM('Severity wise'!D30:D42),"")</f>
        <v>6</v>
      </c>
      <c r="K7" s="274">
        <f>IF(AVERAGE('Severity wise'!E30:E42)&gt;0,SUM('Severity wise'!E30:E42),"")</f>
        <v>6</v>
      </c>
      <c r="L7" s="274">
        <f>IF(AVERAGE('Severity wise'!F30:F42)&gt;0,SUM('Severity wise'!F30:F42),"")</f>
        <v>2</v>
      </c>
      <c r="M7" s="193"/>
      <c r="N7" s="193" t="str">
        <f>IF(AVERAGE('Severity wise'!H30:H42)&gt;0,SUM('Severity wise'!H30:H42),"")</f>
        <v/>
      </c>
      <c r="O7" s="193" t="str">
        <f>IF(AVERAGE('Severity wise'!I30:I42)&gt;0,SUM('Severity wise'!I30:I42),"")</f>
        <v/>
      </c>
      <c r="P7" s="193" t="str">
        <f>IF(AVERAGE('Severity wise'!J30:J42)&gt;0,SUM('Severity wise'!J30:J42),"")</f>
        <v/>
      </c>
      <c r="Q7" s="193" t="str">
        <f>IF(AVERAGE('Severity wise'!L30:L42)&gt;0,SUM('Severity wise'!L30:L42),"")</f>
        <v/>
      </c>
      <c r="R7" s="193" t="str">
        <f>IF(AVERAGE('Severity wise'!M30:M42)&gt;0,SUM('Severity wise'!M30:M42),"")</f>
        <v/>
      </c>
      <c r="S7" s="193" t="str">
        <f>IF(AVERAGE('Severity wise'!N30:N42)&gt;0,SUM('Severity wise'!N30:N42),"")</f>
        <v/>
      </c>
      <c r="T7" s="193" t="str">
        <f>IF(AVERAGE('Severity wise'!P30:P42)&gt;0,SUM('Severity wise'!P30:P42),"")</f>
        <v/>
      </c>
      <c r="U7" s="193" t="str">
        <f>IF(AVERAGE('Severity wise'!Q30:Q42)&gt;0,SUM('Severity wise'!Q30:Q42),"")</f>
        <v/>
      </c>
      <c r="V7" s="193" t="str">
        <f>IF(AVERAGE('Severity wise'!R30:R42)&gt;0,SUM('Severity wise'!R30:R42),"")</f>
        <v/>
      </c>
      <c r="W7" s="193" t="str">
        <f>IF(AVERAGE('Severity wise'!T30:T42)&gt;0,SUM('Severity wise'!T30:T42),"")</f>
        <v/>
      </c>
      <c r="X7" s="193" t="str">
        <f>IF(AVERAGE('Severity wise'!U30:U42)&gt;0,SUM('Severity wise'!U30:U42),"")</f>
        <v/>
      </c>
      <c r="Y7" s="195" t="str">
        <f>IF(AVERAGE('Severity wise'!V30:V42)&gt;0,SUM('Severity wise'!V30:V42),"")</f>
        <v/>
      </c>
    </row>
    <row r="8" spans="1:25" x14ac:dyDescent="0.2">
      <c r="A8" s="193" t="str">
        <f>'Process Area wise'!I4</f>
        <v>Test Requirements</v>
      </c>
      <c r="B8" s="277">
        <v>1</v>
      </c>
      <c r="C8" s="276">
        <f>IF(AVERAGE('Severity wise'!C44:C46)&gt;0,AVERAGE('Process Area wise'!K4:K6),"")</f>
        <v>1</v>
      </c>
      <c r="D8" s="276">
        <f>IF(AVERAGE('Severity wise'!G44:G46)&gt;0,AVERAGE('Process Area wise'!L4:L6),"")</f>
        <v>1</v>
      </c>
      <c r="E8" s="276" t="str">
        <f>IF(AVERAGE('Severity wise'!K44:K46)&gt;0,AVERAGE('Process Area wise'!M4:M6),"")</f>
        <v/>
      </c>
      <c r="F8" s="276" t="str">
        <f>IF(AVERAGE('Severity wise'!O44:O46)&gt;0,AVERAGE('Process Area wise'!N4:N6),"")</f>
        <v/>
      </c>
      <c r="G8" s="276" t="str">
        <f>IF(AVERAGE('Severity wise'!S44:S46)&gt;0,AVERAGE('Process Area wise'!O4:O6),"")</f>
        <v/>
      </c>
      <c r="I8" s="194" t="s">
        <v>579</v>
      </c>
      <c r="J8" s="274" t="str">
        <f>IF(AVERAGE('Severity wise'!D44:D46)&gt;0,SUM('Severity wise'!D44:D46),"")</f>
        <v/>
      </c>
      <c r="K8" s="274" t="str">
        <f>IF(AVERAGE('Severity wise'!E44:E46)&gt;0,SUM('Severity wise'!E44:E46),"")</f>
        <v/>
      </c>
      <c r="L8" s="274" t="str">
        <f>IF(AVERAGE('Severity wise'!F44:F46)&gt;0,SUM('Severity wise'!F44:F46),"")</f>
        <v/>
      </c>
      <c r="M8" s="193"/>
      <c r="N8" s="193" t="str">
        <f>IF(AVERAGE('Severity wise'!H44:H46)&gt;0,SUM('Severity wise'!H44:H46),"")</f>
        <v/>
      </c>
      <c r="O8" s="193" t="str">
        <f>IF(AVERAGE('Severity wise'!I44:I46)&gt;0,SUM('Severity wise'!I44:I46),"")</f>
        <v/>
      </c>
      <c r="P8" s="193" t="str">
        <f>IF(AVERAGE('Severity wise'!J44:J46)&gt;0,SUM('Severity wise'!J44:J46),"")</f>
        <v/>
      </c>
      <c r="Q8" s="193" t="str">
        <f>IF(AVERAGE('Severity wise'!L44:L46)&gt;0,SUM('Severity wise'!L44:L46),"")</f>
        <v/>
      </c>
      <c r="R8" s="193" t="str">
        <f>IF(AVERAGE('Severity wise'!M44:M46)&gt;0,SUM('Severity wise'!M44:M46),"")</f>
        <v/>
      </c>
      <c r="S8" s="193" t="str">
        <f>IF(AVERAGE('Severity wise'!N44:N46)&gt;0,SUM('Severity wise'!N44:N46),"")</f>
        <v/>
      </c>
      <c r="T8" s="193" t="str">
        <f>IF(AVERAGE('Severity wise'!P44:P46)&gt;0,SUM('Severity wise'!P44:P46),"")</f>
        <v/>
      </c>
      <c r="U8" s="193" t="str">
        <f>IF(AVERAGE('Severity wise'!Q44:Q46)&gt;0,SUM('Severity wise'!Q44:Q46),"")</f>
        <v/>
      </c>
      <c r="V8" s="193" t="str">
        <f>IF(AVERAGE('Severity wise'!R44:R46)&gt;0,SUM('Severity wise'!R44:R46),"")</f>
        <v/>
      </c>
      <c r="W8" s="193" t="str">
        <f>IF(AVERAGE('Severity wise'!T44:T46)&gt;0,SUM('Severity wise'!T44:T46),"")</f>
        <v/>
      </c>
      <c r="X8" s="193" t="str">
        <f>IF(AVERAGE('Severity wise'!U44:U46)&gt;0,SUM('Severity wise'!U44:U46),"")</f>
        <v/>
      </c>
      <c r="Y8" s="195" t="str">
        <f>IF(AVERAGE('Severity wise'!V44:V46)&gt;0,SUM('Severity wise'!V44:V46),"")</f>
        <v/>
      </c>
    </row>
    <row r="9" spans="1:25" ht="13.5" customHeight="1" x14ac:dyDescent="0.2">
      <c r="A9" s="193" t="str">
        <f>'Process Area wise'!I10</f>
        <v>Test Design</v>
      </c>
      <c r="B9" s="277">
        <v>1</v>
      </c>
      <c r="C9" s="276">
        <f>IF(AVERAGE('Severity wise'!C48:C55)&gt;0,AVERAGE('Process Area wise'!K10:K17),"")</f>
        <v>0.77777777777777779</v>
      </c>
      <c r="D9" s="276">
        <f>IF(AVERAGE('Severity wise'!G48:G55)&gt;0,AVERAGE('Process Area wise'!K10:K17),"")</f>
        <v>0.77777777777777779</v>
      </c>
      <c r="E9" s="276">
        <f>IF(AVERAGE('Severity wise'!K48:K55)&gt;0,AVERAGE('Process Area wise'!M10:M17),"")</f>
        <v>1</v>
      </c>
      <c r="F9" s="276">
        <f>IF(AVERAGE('Severity wise'!O48:O55)&gt;0,AVERAGE('Process Area wise'!N10:N17),"")</f>
        <v>1</v>
      </c>
      <c r="G9" s="276">
        <f>IF(AVERAGE('Severity wise'!S48:S55)&gt;0,AVERAGE('Process Area wise'!O10:O17),"")</f>
        <v>1</v>
      </c>
      <c r="I9" s="194" t="s">
        <v>580</v>
      </c>
      <c r="J9" s="274" t="str">
        <f>IF(AVERAGE('Severity wise'!D48:D55)&gt;0,SUM('Severity wise'!D48:D55),"")</f>
        <v/>
      </c>
      <c r="K9" s="274">
        <f>IF(AVERAGE('Severity wise'!E48:E55)&gt;0,SUM('Severity wise'!E48:E55),"")</f>
        <v>1</v>
      </c>
      <c r="L9" s="274">
        <f>IF(AVERAGE('Severity wise'!F48:F55)&gt;0,SUM('Severity wise'!F48:F55),"")</f>
        <v>1</v>
      </c>
      <c r="M9" s="193"/>
      <c r="N9" s="193" t="str">
        <f>IF(AVERAGE('Severity wise'!H48:H55)&gt;0,SUM('Severity wise'!H48:H55),"")</f>
        <v/>
      </c>
      <c r="O9" s="193" t="str">
        <f>IF(AVERAGE('Severity wise'!I48:I55)&gt;0,SUM('Severity wise'!I48:I55),"")</f>
        <v/>
      </c>
      <c r="P9" s="193" t="str">
        <f>IF(AVERAGE('Severity wise'!J48:J55)&gt;0,SUM('Severity wise'!J48:J55),"")</f>
        <v/>
      </c>
      <c r="Q9" s="193" t="str">
        <f>IF(AVERAGE('Severity wise'!L48:L55)&gt;0,SUM('Severity wise'!L48:L55),"")</f>
        <v/>
      </c>
      <c r="R9" s="193" t="str">
        <f>IF(AVERAGE('Severity wise'!M48:M55)&gt;0,SUM('Severity wise'!M48:M55),"")</f>
        <v/>
      </c>
      <c r="S9" s="193" t="str">
        <f>IF(AVERAGE('Severity wise'!N48:N55)&gt;0,SUM('Severity wise'!N48:N55),"")</f>
        <v/>
      </c>
      <c r="T9" s="193" t="str">
        <f>IF(AVERAGE('Severity wise'!P48:P55)&gt;0,SUM('Severity wise'!P48:P55),"")</f>
        <v/>
      </c>
      <c r="U9" s="193" t="str">
        <f>IF(AVERAGE('Severity wise'!Q48:Q55)&gt;0,SUM('Severity wise'!Q48:Q55),"")</f>
        <v/>
      </c>
      <c r="V9" s="193" t="str">
        <f>IF(AVERAGE('Severity wise'!R48:R55)&gt;0,SUM('Severity wise'!R48:R55),"")</f>
        <v/>
      </c>
      <c r="W9" s="193" t="str">
        <f>IF(AVERAGE('Severity wise'!T48:T55)&gt;0,SUM('Severity wise'!T48:T55),"")</f>
        <v/>
      </c>
      <c r="X9" s="193" t="str">
        <f>IF(AVERAGE('Severity wise'!U48:U55)&gt;0,SUM('Severity wise'!U48:U55),"")</f>
        <v/>
      </c>
      <c r="Y9" s="195" t="str">
        <f>IF(AVERAGE('Severity wise'!V48:V55)&gt;0,SUM('Severity wise'!V48:V55),"")</f>
        <v/>
      </c>
    </row>
    <row r="10" spans="1:25" ht="12.75" customHeight="1" x14ac:dyDescent="0.2">
      <c r="A10" s="234" t="str">
        <f>'Process Area wise'!I18</f>
        <v>Test Automation</v>
      </c>
      <c r="B10" s="277">
        <v>1</v>
      </c>
      <c r="C10" s="276">
        <f>IF(AVERAGE('Severity wise'!C55:C57)&gt;0,AVERAGE('Process Area wise'!K18:K23),"")</f>
        <v>1</v>
      </c>
      <c r="D10" s="276">
        <f>IF(AVERAGE('Severity wise'!G56:G57)&gt;0,AVERAGE('Process Area wise'!L18:L23),"")</f>
        <v>1</v>
      </c>
      <c r="E10" s="276">
        <f>IF(AVERAGE('Severity wise'!K56:K57)&gt;0,AVERAGE('Process Area wise'!M18:M23),"")</f>
        <v>1</v>
      </c>
      <c r="F10" s="276">
        <f>IF(AVERAGE('Severity wise'!O56:O57)&gt;0,AVERAGE('Process Area wise'!N18:N23),"")</f>
        <v>1</v>
      </c>
      <c r="G10" s="276">
        <f>IF(AVERAGE('Severity wise'!S56:S57)&gt;0,AVERAGE('Process Area wise'!O18:O23),"")</f>
        <v>1</v>
      </c>
      <c r="I10" s="194" t="s">
        <v>581</v>
      </c>
      <c r="J10" s="193" t="str">
        <f>IF(AVERAGE('Severity wise'!D55:D57)&gt;0,SUM('Severity wise'!D55:D57),"")</f>
        <v/>
      </c>
      <c r="K10" s="193" t="str">
        <f>IF(AVERAGE('Severity wise'!E55:E57)&gt;0,SUM('Severity wise'!E55:E57),"")</f>
        <v/>
      </c>
      <c r="L10" s="193" t="str">
        <f>IF(AVERAGE('Severity wise'!F55:F57)&gt;0,SUM('Severity wise'!F55:F57),"")</f>
        <v/>
      </c>
      <c r="M10" s="193"/>
      <c r="N10" s="193" t="str">
        <f>IF(AVERAGE('Severity wise'!H55:H57)&gt;0,SUM('Severity wise'!H55:H57),"")</f>
        <v/>
      </c>
      <c r="O10" s="193" t="str">
        <f>IF(AVERAGE('Severity wise'!I55:I57)&gt;0,SUM('Severity wise'!I55:I57),"")</f>
        <v/>
      </c>
      <c r="P10" s="193" t="str">
        <f>IF(AVERAGE('Severity wise'!J55:J57)&gt;0,SUM('Severity wise'!J55:J57),"")</f>
        <v/>
      </c>
      <c r="Q10" s="193" t="str">
        <f>IF(AVERAGE('Severity wise'!L55:L57)&gt;0,SUM('Severity wise'!L55:L57),"")</f>
        <v/>
      </c>
      <c r="R10" s="193" t="str">
        <f>IF(AVERAGE('Severity wise'!M55:M57)&gt;0,SUM('Severity wise'!M55:M57),"")</f>
        <v/>
      </c>
      <c r="S10" s="193" t="str">
        <f>IF(AVERAGE('Severity wise'!N55:N57)&gt;0,SUM('Severity wise'!N55:N57),"")</f>
        <v/>
      </c>
      <c r="T10" s="193" t="str">
        <f>IF(AVERAGE('Severity wise'!P55:P57)&gt;0,SUM('Severity wise'!P55:P57),"")</f>
        <v/>
      </c>
      <c r="U10" s="193" t="str">
        <f>IF(AVERAGE('Severity wise'!Q55:Q57)&gt;0,SUM('Severity wise'!Q55:Q57),"")</f>
        <v/>
      </c>
      <c r="V10" s="193" t="str">
        <f>IF(AVERAGE('Severity wise'!R55:R57)&gt;0,SUM('Severity wise'!R55:R57),"")</f>
        <v/>
      </c>
      <c r="W10" s="193" t="str">
        <f>IF(AVERAGE('Severity wise'!T55:T57)&gt;0,SUM('Severity wise'!T55:T57),"")</f>
        <v/>
      </c>
      <c r="X10" s="193" t="str">
        <f>IF(AVERAGE('Severity wise'!U55:U57)&gt;0,SUM('Severity wise'!U55:U57),"")</f>
        <v/>
      </c>
      <c r="Y10" s="195" t="str">
        <f>IF(AVERAGE('Severity wise'!V55:V57)&gt;0,SUM('Severity wise'!V55:V57),"")</f>
        <v/>
      </c>
    </row>
    <row r="11" spans="1:25" x14ac:dyDescent="0.2">
      <c r="A11" s="193" t="str">
        <f>'Process Area wise'!I25</f>
        <v>Testing</v>
      </c>
      <c r="B11" s="277">
        <v>1</v>
      </c>
      <c r="C11" s="276">
        <f>IF(AVERAGE('Severity wise'!C59:C66)&gt;0,AVERAGE('Process Area wise'!K25:K32),"")</f>
        <v>1</v>
      </c>
      <c r="D11" s="276">
        <f>IF(AVERAGE('Severity wise'!G59:G66)&gt;0,AVERAGE('Process Area wise'!L25:L32),"")</f>
        <v>1</v>
      </c>
      <c r="E11" s="276">
        <f>IF(AVERAGE('Severity wise'!K59:K66)&gt;0,AVERAGE('Process Area wise'!M25:M32),"")</f>
        <v>1</v>
      </c>
      <c r="F11" s="276">
        <f>IF(AVERAGE('Severity wise'!O59:O66)&gt;0,AVERAGE('Process Area wise'!N25:N32),"")</f>
        <v>1</v>
      </c>
      <c r="G11" s="276">
        <f>IF(AVERAGE('Severity wise'!S59:S66)&gt;0,AVERAGE('Process Area wise'!O25:O32),"")</f>
        <v>1</v>
      </c>
      <c r="I11" s="194" t="s">
        <v>13</v>
      </c>
      <c r="J11" s="193" t="str">
        <f>IF(AVERAGE('Severity wise'!D59:D66)&gt;0,SUM('Severity wise'!D59:D66),"")</f>
        <v/>
      </c>
      <c r="K11" s="193" t="str">
        <f>IF(AVERAGE('Severity wise'!E59:E66)&gt;0,SUM('Severity wise'!E59:E66),"")</f>
        <v/>
      </c>
      <c r="L11" s="193" t="str">
        <f>IF(AVERAGE('Severity wise'!F59:F66)&gt;0,SUM('Severity wise'!F59:F66),"")</f>
        <v/>
      </c>
      <c r="M11" s="193"/>
      <c r="N11" s="193" t="str">
        <f>IF(AVERAGE('Severity wise'!H59:H66)&gt;0,SUM('Severity wise'!H59:H66),"")</f>
        <v/>
      </c>
      <c r="O11" s="193" t="str">
        <f>IF(AVERAGE('Severity wise'!I59:I66)&gt;0,SUM('Severity wise'!I59:I66),"")</f>
        <v/>
      </c>
      <c r="P11" s="193" t="str">
        <f>IF(AVERAGE('Severity wise'!J59:J66)&gt;0,SUM('Severity wise'!J59:J66),"")</f>
        <v/>
      </c>
      <c r="Q11" s="193" t="str">
        <f>IF(AVERAGE('Severity wise'!L59:L66)&gt;0,SUM('Severity wise'!L59:L66),"")</f>
        <v/>
      </c>
      <c r="R11" s="193" t="str">
        <f>IF(AVERAGE('Severity wise'!M59:M66)&gt;0,SUM('Severity wise'!M59:M66),"")</f>
        <v/>
      </c>
      <c r="S11" s="193" t="str">
        <f>IF(AVERAGE('Severity wise'!N59:N66)&gt;0,SUM('Severity wise'!N59:N66),"")</f>
        <v/>
      </c>
      <c r="T11" s="193" t="str">
        <f>IF(AVERAGE('Severity wise'!P59:P66)&gt;0,SUM('Severity wise'!P59:P66),"")</f>
        <v/>
      </c>
      <c r="U11" s="193" t="str">
        <f>IF(AVERAGE('Severity wise'!Q59:Q66)&gt;0,SUM('Severity wise'!Q59:Q66),"")</f>
        <v/>
      </c>
      <c r="V11" s="193" t="str">
        <f>IF(AVERAGE('Severity wise'!R59:R66)&gt;0,SUM('Severity wise'!R59:R66),"")</f>
        <v/>
      </c>
      <c r="W11" s="193" t="str">
        <f>IF(AVERAGE('Severity wise'!T59:T66)&gt;0,SUM('Severity wise'!T59:T66),"")</f>
        <v/>
      </c>
      <c r="X11" s="193" t="str">
        <f>IF(AVERAGE('Severity wise'!U59:U66)&gt;0,SUM('Severity wise'!U59:U66),"")</f>
        <v/>
      </c>
      <c r="Y11" s="195" t="str">
        <f>IF(AVERAGE('Severity wise'!V59:V66)&gt;0,SUM('Severity wise'!V59:V66),"")</f>
        <v/>
      </c>
    </row>
    <row r="12" spans="1:25" x14ac:dyDescent="0.2">
      <c r="A12" s="193" t="str">
        <f>'Process Area wise'!I35</f>
        <v>Delivery</v>
      </c>
      <c r="B12" s="277">
        <v>1</v>
      </c>
      <c r="C12" s="276">
        <f>IF(AVERAGE('Severity wise'!C68:C68)&gt;0,AVERAGE('Process Area wise'!K35:K37),"")</f>
        <v>1</v>
      </c>
      <c r="D12" s="276">
        <f>IF(AVERAGE('Severity wise'!G68:G68)&gt;0,AVERAGE('Process Area wise'!L35:L37),"")</f>
        <v>1</v>
      </c>
      <c r="E12" s="276" t="str">
        <f>IF(AVERAGE('Severity wise'!K68:K68)&gt;0,AVERAGE('Process Area wise'!M35:M37),"")</f>
        <v/>
      </c>
      <c r="F12" s="276" t="str">
        <f>IF(AVERAGE('Severity wise'!O68:O68)&gt;0,AVERAGE('Process Area wise'!N35:N37),"")</f>
        <v/>
      </c>
      <c r="G12" s="276" t="str">
        <f>IF(AVERAGE('Severity wise'!S68:S68)&gt;0,AVERAGE('Process Area wise'!O35:O37),"")</f>
        <v/>
      </c>
      <c r="I12" s="194" t="s">
        <v>11</v>
      </c>
      <c r="J12" s="193" t="str">
        <f>IF(AVERAGE('Severity wise'!D68:D68)&gt;0,SUM('Severity wise'!D68:D68),"")</f>
        <v/>
      </c>
      <c r="K12" s="193" t="str">
        <f>IF(AVERAGE('Severity wise'!E68:E68)&gt;0,SUM('Severity wise'!E68:E68),"")</f>
        <v/>
      </c>
      <c r="L12" s="193" t="str">
        <f>IF(AVERAGE('Severity wise'!F68:F68)&gt;0,SUM('Severity wise'!F68:F68),"")</f>
        <v/>
      </c>
      <c r="M12" s="193"/>
      <c r="N12" s="193" t="str">
        <f>IF(AVERAGE('Severity wise'!H68:H68)&gt;0,SUM('Severity wise'!H68:H68),"")</f>
        <v/>
      </c>
      <c r="O12" s="193" t="str">
        <f>IF(AVERAGE('Severity wise'!I68:I68)&gt;0,SUM('Severity wise'!I68:I68),"")</f>
        <v/>
      </c>
      <c r="P12" s="193" t="str">
        <f>IF(AVERAGE('Severity wise'!J68:J68)&gt;0,SUM('Severity wise'!J68:J68),"")</f>
        <v/>
      </c>
      <c r="Q12" s="193" t="str">
        <f>IF(AVERAGE('Severity wise'!L68:L68)&gt;0,SUM('Severity wise'!L68:L68),"")</f>
        <v/>
      </c>
      <c r="R12" s="193" t="str">
        <f>IF(AVERAGE('Severity wise'!M68:M68)&gt;0,SUM('Severity wise'!M68:M68),"")</f>
        <v/>
      </c>
      <c r="S12" s="193" t="str">
        <f>IF(AVERAGE('Severity wise'!N68:N68)&gt;0,SUM('Severity wise'!N68:N68),"")</f>
        <v/>
      </c>
      <c r="T12" s="193" t="str">
        <f>IF(AVERAGE('Severity wise'!P68:P68)&gt;0,SUM('Severity wise'!P68:P68),"")</f>
        <v/>
      </c>
      <c r="U12" s="193" t="str">
        <f>IF(AVERAGE('Severity wise'!Q68:Q68)&gt;0,SUM('Severity wise'!Q68:Q68),"")</f>
        <v/>
      </c>
      <c r="V12" s="193" t="str">
        <f>IF(AVERAGE('Severity wise'!R68:R68)&gt;0,SUM('Severity wise'!R68:R68),"")</f>
        <v/>
      </c>
      <c r="W12" s="193" t="str">
        <f>IF(AVERAGE('Severity wise'!T68:T68)&gt;0,SUM('Severity wise'!T68:T68),"")</f>
        <v/>
      </c>
      <c r="X12" s="193" t="str">
        <f>IF(AVERAGE('Severity wise'!U68:U68)&gt;0,SUM('Severity wise'!U68:U68),"")</f>
        <v/>
      </c>
      <c r="Y12" s="195" t="str">
        <f>IF(AVERAGE('Severity wise'!V68:V68)&gt;0,SUM('Severity wise'!V68:V68),"")</f>
        <v/>
      </c>
    </row>
    <row r="13" spans="1:25" ht="13.5" thickBot="1" x14ac:dyDescent="0.25">
      <c r="A13" s="197" t="str">
        <f>'Process Area wise'!I38</f>
        <v>Project Closure</v>
      </c>
      <c r="B13" s="278">
        <v>1</v>
      </c>
      <c r="C13" s="278" t="str">
        <f>IF(AVERAGE('Severity wise'!C70)&gt;0,AVERAGE('Process Area wise'!K38),"")</f>
        <v/>
      </c>
      <c r="D13" s="279" t="str">
        <f>IF(AVERAGE('Severity wise'!G70)&gt;0,AVERAGE('Process Area wise'!L38),"")</f>
        <v/>
      </c>
      <c r="E13" s="279" t="str">
        <f>IF(AVERAGE('Severity wise'!K70)&gt;0,AVERAGE('Process Area wise'!M38),"")</f>
        <v/>
      </c>
      <c r="F13" s="279" t="str">
        <f>IF(AVERAGE('Severity wise'!O70)&gt;0,AVERAGE('Process Area wise'!N38),"")</f>
        <v/>
      </c>
      <c r="G13" s="279" t="str">
        <f>IF(AVERAGE('Severity wise'!S70)&gt;0,AVERAGE('Process Area wise'!O38),"")</f>
        <v/>
      </c>
      <c r="I13" s="198" t="s">
        <v>29</v>
      </c>
      <c r="J13" s="199" t="str">
        <f>IF(AVERAGE('Severity wise'!D70)&gt;0,SUM('Severity wise'!D70),"")</f>
        <v/>
      </c>
      <c r="K13" s="199" t="str">
        <f>IF(AVERAGE('Severity wise'!E70)&gt;0,SUM('Severity wise'!E70),"")</f>
        <v/>
      </c>
      <c r="L13" s="199" t="str">
        <f>IF(AVERAGE('Severity wise'!F70)&gt;0,SUM('Severity wise'!F70),"")</f>
        <v/>
      </c>
      <c r="M13" s="199"/>
      <c r="N13" s="199" t="str">
        <f>IF(AVERAGE('Severity wise'!H70)&gt;0,SUM('Severity wise'!H70),"")</f>
        <v/>
      </c>
      <c r="O13" s="199" t="str">
        <f>IF(AVERAGE('Severity wise'!I70)&gt;0,SUM('Severity wise'!I70),"")</f>
        <v/>
      </c>
      <c r="P13" s="199" t="str">
        <f>IF(AVERAGE('Severity wise'!J70)&gt;0,SUM('Severity wise'!J70),"")</f>
        <v/>
      </c>
      <c r="Q13" s="199" t="str">
        <f>IF(AVERAGE('Severity wise'!L70)&gt;0,SUM('Severity wise'!L70),"")</f>
        <v/>
      </c>
      <c r="R13" s="199" t="str">
        <f>IF(AVERAGE('Severity wise'!M70)&gt;0,SUM('Severity wise'!M70),"")</f>
        <v/>
      </c>
      <c r="S13" s="199" t="str">
        <f>IF(AVERAGE('Severity wise'!N70)&gt;0,SUM('Severity wise'!N70),"")</f>
        <v/>
      </c>
      <c r="T13" s="199" t="str">
        <f>IF(('Severity wise'!P70)&gt;0,SUM('Severity wise'!P70),"")</f>
        <v/>
      </c>
      <c r="U13" s="199" t="str">
        <f>IF(AVERAGE('Severity wise'!Q70)&gt;0,SUM('Severity wise'!Q70),"")</f>
        <v/>
      </c>
      <c r="V13" s="199" t="str">
        <f>IF(AVERAGE('Severity wise'!R70)&gt;0,SUM('Severity wise'!R70),"")</f>
        <v/>
      </c>
      <c r="W13" s="199" t="str">
        <f>IF(AVERAGE('Severity wise'!T70)&gt;0,SUM('Severity wise'!T70),"")</f>
        <v/>
      </c>
      <c r="X13" s="199" t="str">
        <f>IF(AVERAGE('Severity wise'!U70)&gt;0,SUM('Severity wise'!U70),"")</f>
        <v/>
      </c>
      <c r="Y13" s="200" t="str">
        <f>IF(AVERAGE('Severity wise'!V70)&gt;0,SUM('Severity wise'!V70),"")</f>
        <v/>
      </c>
    </row>
    <row r="14" spans="1:25" ht="13.5" thickBot="1" x14ac:dyDescent="0.25"/>
    <row r="15" spans="1:25" ht="13.5" thickBot="1" x14ac:dyDescent="0.25">
      <c r="A15" s="300" t="s">
        <v>490</v>
      </c>
      <c r="B15" s="301"/>
      <c r="C15" s="301"/>
      <c r="D15" s="301"/>
      <c r="E15" s="301"/>
      <c r="F15" s="301"/>
      <c r="G15" s="302"/>
      <c r="I15" s="201"/>
      <c r="J15" s="201"/>
      <c r="K15" s="201"/>
      <c r="L15" s="201"/>
      <c r="M15" s="201"/>
      <c r="N15" s="201"/>
      <c r="O15" s="201"/>
    </row>
    <row r="16" spans="1:25" ht="13.5" thickBot="1" x14ac:dyDescent="0.25">
      <c r="A16" s="158" t="s">
        <v>146</v>
      </c>
      <c r="B16" s="202" t="s">
        <v>467</v>
      </c>
      <c r="C16" s="202" t="s">
        <v>466</v>
      </c>
      <c r="D16" s="202" t="s">
        <v>468</v>
      </c>
      <c r="E16" s="202" t="s">
        <v>469</v>
      </c>
      <c r="F16" s="202" t="s">
        <v>470</v>
      </c>
      <c r="G16" s="203" t="s">
        <v>471</v>
      </c>
      <c r="I16" s="204"/>
      <c r="J16" s="205"/>
      <c r="K16" s="205"/>
      <c r="L16" s="205"/>
      <c r="M16" s="205"/>
      <c r="N16" s="205"/>
      <c r="O16" s="205"/>
    </row>
    <row r="17" spans="1:15" x14ac:dyDescent="0.2">
      <c r="A17" s="159" t="s">
        <v>523</v>
      </c>
      <c r="B17" s="196">
        <v>1</v>
      </c>
      <c r="C17" s="196">
        <f>IF('Severity wise'!C75&gt;0,('Severity wise'!C75-'Severity wise'!D75)/'Severity wise'!C75,"")</f>
        <v>0.80769230769230771</v>
      </c>
      <c r="D17" s="196">
        <f>IF('Severity wise'!G75&gt;0,('Severity wise'!G75-'Severity wise'!H75)/'Severity wise'!G75,"")</f>
        <v>1</v>
      </c>
      <c r="E17" s="196">
        <f>IF('Severity wise'!K75&gt;0,('Severity wise'!K75-'Severity wise'!L75)/'Severity wise'!K75,"")</f>
        <v>1</v>
      </c>
      <c r="F17" s="206">
        <f>IF('Severity wise'!O75&gt;0,('Severity wise'!O75-'Severity wise'!P75)/'Severity wise'!O75,"")</f>
        <v>1</v>
      </c>
      <c r="G17" s="207">
        <f>IF('Severity wise'!S75&gt;0,('Severity wise'!S75-'Severity wise'!T75)/'Severity wise'!S75,"")</f>
        <v>1</v>
      </c>
      <c r="I17" s="204"/>
      <c r="J17" s="205"/>
      <c r="K17" s="205"/>
      <c r="L17" s="205"/>
      <c r="M17" s="205"/>
      <c r="N17" s="205"/>
      <c r="O17" s="205"/>
    </row>
    <row r="18" spans="1:15" x14ac:dyDescent="0.2">
      <c r="A18" s="159" t="s">
        <v>524</v>
      </c>
      <c r="B18" s="196">
        <v>1</v>
      </c>
      <c r="C18" s="196">
        <f>IF('Severity wise'!C76&gt;0,('Severity wise'!C76-'Severity wise'!D76)/'Severity wise'!C76,"")</f>
        <v>0.8125</v>
      </c>
      <c r="D18" s="196">
        <f>IF('Severity wise'!G76&gt;0,('Severity wise'!G76-'Severity wise'!H76)/'Severity wise'!G76,"")</f>
        <v>1</v>
      </c>
      <c r="E18" s="196">
        <f>IF('Severity wise'!K76&gt;0,('Severity wise'!K76-'Severity wise'!L76)/'Severity wise'!K76,"")</f>
        <v>1</v>
      </c>
      <c r="F18" s="206">
        <f>IF('Severity wise'!O76&gt;0,('Severity wise'!O76-'Severity wise'!P76)/'Severity wise'!O76,"")</f>
        <v>1</v>
      </c>
      <c r="G18" s="207">
        <f>IF('Severity wise'!S76&gt;0,('Severity wise'!S76-'Severity wise'!T76)/'Severity wise'!S76,"")</f>
        <v>1</v>
      </c>
      <c r="I18" s="208"/>
      <c r="J18" s="205"/>
      <c r="K18" s="205"/>
      <c r="L18" s="205"/>
      <c r="M18" s="205"/>
      <c r="N18" s="205"/>
      <c r="O18" s="205"/>
    </row>
    <row r="19" spans="1:15" x14ac:dyDescent="0.2">
      <c r="A19" s="159" t="s">
        <v>487</v>
      </c>
      <c r="B19" s="196">
        <v>1</v>
      </c>
      <c r="C19" s="196" t="str">
        <f>IF('Severity wise'!C77&gt;0,('Severity wise'!C77-'Severity wise'!D77)/'Severity wise'!C77,"")</f>
        <v/>
      </c>
      <c r="D19" s="196">
        <f>IF('Severity wise'!G77&gt;0,('Severity wise'!G77-'Severity wise'!H77)/'Severity wise'!G77,"")</f>
        <v>1</v>
      </c>
      <c r="E19" s="196">
        <f>IF('Severity wise'!K77&gt;0,('Severity wise'!K77-'Severity wise'!L77)/'Severity wise'!K77,"")</f>
        <v>1</v>
      </c>
      <c r="F19" s="206">
        <f>IF('Severity wise'!O77&gt;0,('Severity wise'!O77-'Severity wise'!P77)/'Severity wise'!O77,"")</f>
        <v>1</v>
      </c>
      <c r="G19" s="207">
        <f>IF('Severity wise'!S77&gt;0,('Severity wise'!S77-'Severity wise'!T77)/'Severity wise'!S77,"")</f>
        <v>1</v>
      </c>
      <c r="I19" s="208"/>
      <c r="J19" s="205"/>
      <c r="K19" s="205"/>
      <c r="L19" s="205"/>
      <c r="M19" s="205"/>
      <c r="N19" s="205"/>
      <c r="O19" s="205"/>
    </row>
    <row r="20" spans="1:15" ht="13.5" thickBot="1" x14ac:dyDescent="0.25">
      <c r="A20" s="160" t="s">
        <v>488</v>
      </c>
      <c r="B20" s="209">
        <v>1</v>
      </c>
      <c r="C20" s="209" t="str">
        <f>IF('Severity wise'!C78&gt;0,('Severity wise'!C78-'Severity wise'!D78)/'Severity wise'!C78,"")</f>
        <v/>
      </c>
      <c r="D20" s="209" t="str">
        <f>IF('Severity wise'!G78&gt;0,('Severity wise'!G78-'Severity wise'!H78)/'Severity wise'!G78,"")</f>
        <v/>
      </c>
      <c r="E20" s="209" t="str">
        <f>IF('Severity wise'!K78&gt;0,('Severity wise'!K78-'Severity wise'!L78)/'Severity wise'!K78,"")</f>
        <v/>
      </c>
      <c r="F20" s="210" t="str">
        <f>IF('Severity wise'!O78&gt;0,('Severity wise'!O78-'Severity wise'!P78)/'Severity wise'!O78,"")</f>
        <v/>
      </c>
      <c r="G20" s="211" t="str">
        <f>IF('Severity wise'!S78&gt;0,('Severity wise'!S78-'Severity wise'!T78)/'Severity wise'!S78,"")</f>
        <v/>
      </c>
      <c r="I20" s="208"/>
      <c r="J20" s="205"/>
      <c r="K20" s="205"/>
      <c r="L20" s="205"/>
      <c r="M20" s="205"/>
      <c r="N20" s="205"/>
      <c r="O20" s="205"/>
    </row>
    <row r="21" spans="1:15" ht="13.5" thickBot="1" x14ac:dyDescent="0.25">
      <c r="A21" s="212"/>
      <c r="I21" s="208"/>
      <c r="J21" s="205"/>
      <c r="K21" s="205"/>
      <c r="L21" s="205"/>
      <c r="M21" s="205"/>
      <c r="N21" s="205"/>
      <c r="O21" s="205"/>
    </row>
    <row r="22" spans="1:15" ht="13.5" thickBot="1" x14ac:dyDescent="0.25">
      <c r="A22" s="303" t="s">
        <v>504</v>
      </c>
      <c r="B22" s="304"/>
      <c r="C22" s="304"/>
      <c r="D22" s="304"/>
      <c r="E22" s="304"/>
      <c r="F22" s="304"/>
      <c r="G22" s="305"/>
      <c r="I22" s="208"/>
      <c r="J22" s="205"/>
      <c r="K22" s="205"/>
      <c r="L22" s="205"/>
      <c r="M22" s="205"/>
      <c r="N22" s="205"/>
      <c r="O22" s="205"/>
    </row>
    <row r="23" spans="1:15" ht="13.5" thickBot="1" x14ac:dyDescent="0.25">
      <c r="A23" s="213" t="s">
        <v>146</v>
      </c>
      <c r="B23" s="214" t="s">
        <v>467</v>
      </c>
      <c r="C23" s="214" t="s">
        <v>466</v>
      </c>
      <c r="D23" s="214" t="s">
        <v>468</v>
      </c>
      <c r="E23" s="214" t="s">
        <v>469</v>
      </c>
      <c r="F23" s="214" t="s">
        <v>470</v>
      </c>
      <c r="G23" s="215" t="s">
        <v>471</v>
      </c>
      <c r="I23" s="208"/>
      <c r="J23" s="205"/>
      <c r="K23" s="205"/>
      <c r="L23" s="205"/>
      <c r="M23" s="205"/>
      <c r="N23" s="205"/>
      <c r="O23" s="205"/>
    </row>
    <row r="24" spans="1:15" x14ac:dyDescent="0.2">
      <c r="A24" s="216" t="s">
        <v>492</v>
      </c>
      <c r="B24" s="217">
        <v>1</v>
      </c>
      <c r="C24" s="218">
        <f>IF('Severity wise'!C82&gt;0,('Severity wise'!C82-'Severity wise'!D82)/'Severity wise'!C82,"")</f>
        <v>0.7142857142857143</v>
      </c>
      <c r="D24" s="218">
        <f>IF('Severity wise'!G82&gt;0,('Severity wise'!G82-'Severity wise'!H82)/'Severity wise'!G82,"")</f>
        <v>1</v>
      </c>
      <c r="E24" s="218">
        <f>IF('Severity wise'!K82&gt;0,('Severity wise'!K82-'Severity wise'!L82)/'Severity wise'!K82,"")</f>
        <v>1</v>
      </c>
      <c r="F24" s="218">
        <f>IF('Severity wise'!O82&gt;0,('Severity wise'!O82-'Severity wise'!P82)/'Severity wise'!O82,"")</f>
        <v>1</v>
      </c>
      <c r="G24" s="207">
        <f>IF('Severity wise'!S82&gt;0,('Severity wise'!S82-'Severity wise'!T82)/'Severity wise'!S82,"")</f>
        <v>1</v>
      </c>
      <c r="I24" s="208"/>
      <c r="J24" s="205"/>
      <c r="K24" s="205"/>
      <c r="L24" s="205"/>
      <c r="M24" s="205"/>
      <c r="N24" s="205"/>
      <c r="O24" s="205"/>
    </row>
    <row r="25" spans="1:15" x14ac:dyDescent="0.2">
      <c r="A25" s="216" t="s">
        <v>496</v>
      </c>
      <c r="B25" s="217">
        <v>1</v>
      </c>
      <c r="C25" s="218">
        <f>IF('Severity wise'!C83&gt;0,('Severity wise'!C83-'Severity wise'!D83)/'Severity wise'!C83,"")</f>
        <v>0.65753424657534243</v>
      </c>
      <c r="D25" s="218">
        <f>IF('Severity wise'!G83&gt;0,('Severity wise'!G83-'Severity wise'!H83)/'Severity wise'!G83,"")</f>
        <v>1</v>
      </c>
      <c r="E25" s="218">
        <f>IF('Severity wise'!K83&gt;0,('Severity wise'!K83-'Severity wise'!L83)/'Severity wise'!K83,"")</f>
        <v>1</v>
      </c>
      <c r="F25" s="218">
        <f>IF('Severity wise'!O83&gt;0,('Severity wise'!O83-'Severity wise'!P83)/'Severity wise'!O83,"")</f>
        <v>1</v>
      </c>
      <c r="G25" s="207">
        <f>IF('Severity wise'!S83&gt;0,('Severity wise'!S83-'Severity wise'!T83)/'Severity wise'!S83,"")</f>
        <v>1</v>
      </c>
    </row>
    <row r="26" spans="1:15" x14ac:dyDescent="0.2">
      <c r="A26" s="216" t="s">
        <v>497</v>
      </c>
      <c r="B26" s="217">
        <v>1</v>
      </c>
      <c r="C26" s="218">
        <f>IF('Severity wise'!C84&gt;0,('Severity wise'!C84-'Severity wise'!D84)/'Severity wise'!C84,"")</f>
        <v>0.37704918032786883</v>
      </c>
      <c r="D26" s="218">
        <f>IF('Severity wise'!G84&gt;0,('Severity wise'!G84-'Severity wise'!H84)/'Severity wise'!G84,"")</f>
        <v>1</v>
      </c>
      <c r="E26" s="218">
        <f>IF('Severity wise'!K84&gt;0,('Severity wise'!K84-'Severity wise'!L84)/'Severity wise'!K84,"")</f>
        <v>1</v>
      </c>
      <c r="F26" s="218">
        <f>IF('Severity wise'!O84&gt;0,('Severity wise'!O84-'Severity wise'!P84)/'Severity wise'!O84,"")</f>
        <v>1</v>
      </c>
      <c r="G26" s="207">
        <f>IF('Severity wise'!S84&gt;0,('Severity wise'!S84-'Severity wise'!T84)/'Severity wise'!S84,"")</f>
        <v>1</v>
      </c>
    </row>
    <row r="27" spans="1:15" ht="13.5" thickBot="1" x14ac:dyDescent="0.25">
      <c r="A27" s="219" t="s">
        <v>498</v>
      </c>
      <c r="B27" s="220">
        <v>1</v>
      </c>
      <c r="C27" s="221">
        <f>IF('Severity wise'!C85&gt;0,('Severity wise'!C85-'Severity wise'!D85)/'Severity wise'!C85,"")</f>
        <v>0.2</v>
      </c>
      <c r="D27" s="221">
        <f>IF('Severity wise'!G85&gt;0,('Severity wise'!G85-'Severity wise'!H85)/'Severity wise'!G85,"")</f>
        <v>1</v>
      </c>
      <c r="E27" s="221">
        <f>IF('Severity wise'!K85&gt;0,('Severity wise'!K85-'Severity wise'!L85)/'Severity wise'!K85,"")</f>
        <v>1</v>
      </c>
      <c r="F27" s="221">
        <f>IF('Severity wise'!O85&gt;0,('Severity wise'!O85-'Severity wise'!P85)/'Severity wise'!O85,"")</f>
        <v>1</v>
      </c>
      <c r="G27" s="221">
        <f>IF('Severity wise'!S85&gt;0,('Severity wise'!S85-'Severity wise'!T85)/'Severity wise'!S85,"")</f>
        <v>1</v>
      </c>
    </row>
    <row r="28" spans="1:15" x14ac:dyDescent="0.2">
      <c r="A28" s="208"/>
      <c r="B28" s="222"/>
      <c r="C28" s="205"/>
      <c r="D28" s="205"/>
      <c r="E28" s="205"/>
      <c r="F28" s="205"/>
      <c r="G28" s="205"/>
    </row>
  </sheetData>
  <mergeCells count="9">
    <mergeCell ref="W3:Y3"/>
    <mergeCell ref="A1:N1"/>
    <mergeCell ref="A3:G3"/>
    <mergeCell ref="A15:G15"/>
    <mergeCell ref="A22:G22"/>
    <mergeCell ref="N3:P3"/>
    <mergeCell ref="Q3:S3"/>
    <mergeCell ref="T3:V3"/>
    <mergeCell ref="J3:M3"/>
  </mergeCells>
  <conditionalFormatting sqref="C17:F20">
    <cfRule type="iconSet" priority="50">
      <iconSet iconSet="5Arrows">
        <cfvo type="percent" val="0"/>
        <cfvo type="percent" val="20"/>
        <cfvo type="percent" val="40"/>
        <cfvo type="percent" val="60"/>
        <cfvo type="percent" val="80"/>
      </iconSet>
    </cfRule>
  </conditionalFormatting>
  <conditionalFormatting sqref="C17:G20">
    <cfRule type="iconSet" priority="49">
      <iconSet iconSet="4Arrows">
        <cfvo type="percent" val="0"/>
        <cfvo type="percent" val="25"/>
        <cfvo type="percent" val="50"/>
        <cfvo type="percent" val="75"/>
      </iconSet>
    </cfRule>
  </conditionalFormatting>
  <conditionalFormatting sqref="C24:G28">
    <cfRule type="iconSet" priority="48">
      <iconSet iconSet="4Arrows">
        <cfvo type="percent" val="0"/>
        <cfvo type="percent" val="25"/>
        <cfvo type="percent" val="50"/>
        <cfvo type="percent" val="75"/>
      </iconSet>
    </cfRule>
  </conditionalFormatting>
  <conditionalFormatting sqref="J5:J13">
    <cfRule type="notContainsBlanks" dxfId="310" priority="45" stopIfTrue="1">
      <formula>LEN(TRIM(J5))&gt;0</formula>
    </cfRule>
  </conditionalFormatting>
  <conditionalFormatting sqref="K5:K13">
    <cfRule type="notContainsBlanks" dxfId="309" priority="44" stopIfTrue="1">
      <formula>LEN(TRIM(K5))&gt;0</formula>
    </cfRule>
  </conditionalFormatting>
  <conditionalFormatting sqref="L5:M13">
    <cfRule type="notContainsBlanks" dxfId="308" priority="43" stopIfTrue="1">
      <formula>LEN(TRIM(L5))&gt;0</formula>
    </cfRule>
  </conditionalFormatting>
  <conditionalFormatting sqref="N5:N13">
    <cfRule type="notContainsBlanks" dxfId="307" priority="42" stopIfTrue="1">
      <formula>LEN(TRIM(N5))&gt;0</formula>
    </cfRule>
  </conditionalFormatting>
  <conditionalFormatting sqref="O5:O13">
    <cfRule type="notContainsBlanks" dxfId="306" priority="41" stopIfTrue="1">
      <formula>LEN(TRIM(O5))&gt;0</formula>
    </cfRule>
  </conditionalFormatting>
  <conditionalFormatting sqref="P5:P13">
    <cfRule type="notContainsBlanks" dxfId="305" priority="40" stopIfTrue="1">
      <formula>LEN(TRIM(P5))&gt;0</formula>
    </cfRule>
  </conditionalFormatting>
  <conditionalFormatting sqref="Q5:Q13">
    <cfRule type="notContainsBlanks" dxfId="304" priority="39" stopIfTrue="1">
      <formula>LEN(TRIM(Q5))&gt;0</formula>
    </cfRule>
  </conditionalFormatting>
  <conditionalFormatting sqref="R5:R13">
    <cfRule type="notContainsBlanks" dxfId="303" priority="38" stopIfTrue="1">
      <formula>LEN(TRIM(R5))&gt;0</formula>
    </cfRule>
  </conditionalFormatting>
  <conditionalFormatting sqref="S5:S13">
    <cfRule type="notContainsBlanks" dxfId="302" priority="37" stopIfTrue="1">
      <formula>LEN(TRIM(S5))&gt;0</formula>
    </cfRule>
  </conditionalFormatting>
  <conditionalFormatting sqref="T5:T13">
    <cfRule type="notContainsBlanks" dxfId="301" priority="36" stopIfTrue="1">
      <formula>LEN(TRIM(T5))&gt;0</formula>
    </cfRule>
  </conditionalFormatting>
  <conditionalFormatting sqref="U5:U13">
    <cfRule type="notContainsBlanks" dxfId="300" priority="35" stopIfTrue="1">
      <formula>LEN(TRIM(U5))&gt;0</formula>
    </cfRule>
  </conditionalFormatting>
  <conditionalFormatting sqref="V5:V13">
    <cfRule type="notContainsBlanks" dxfId="299" priority="34" stopIfTrue="1">
      <formula>LEN(TRIM(V5))&gt;0</formula>
    </cfRule>
  </conditionalFormatting>
  <conditionalFormatting sqref="W5:W13">
    <cfRule type="notContainsBlanks" dxfId="298" priority="33" stopIfTrue="1">
      <formula>LEN(TRIM(W5))&gt;0</formula>
    </cfRule>
  </conditionalFormatting>
  <conditionalFormatting sqref="X5:X13">
    <cfRule type="notContainsBlanks" dxfId="297" priority="32" stopIfTrue="1">
      <formula>LEN(TRIM(X5))&gt;0</formula>
    </cfRule>
  </conditionalFormatting>
  <conditionalFormatting sqref="Y5:Y13">
    <cfRule type="notContainsBlanks" dxfId="296" priority="31" stopIfTrue="1">
      <formula>LEN(TRIM(Y5))&gt;0</formula>
    </cfRule>
  </conditionalFormatting>
  <conditionalFormatting sqref="C5">
    <cfRule type="expression" dxfId="295" priority="28" stopIfTrue="1">
      <formula>J5&lt;&gt;""</formula>
    </cfRule>
    <cfRule type="expression" dxfId="294" priority="29" stopIfTrue="1">
      <formula>K5&lt;&gt;""</formula>
    </cfRule>
    <cfRule type="expression" dxfId="293" priority="30" stopIfTrue="1">
      <formula>L5&lt;&gt;""</formula>
    </cfRule>
  </conditionalFormatting>
  <conditionalFormatting sqref="C6:C13">
    <cfRule type="expression" dxfId="292" priority="25" stopIfTrue="1">
      <formula>J6&lt;&gt;""</formula>
    </cfRule>
    <cfRule type="expression" dxfId="291" priority="26" stopIfTrue="1">
      <formula>K6&lt;&gt;""</formula>
    </cfRule>
    <cfRule type="expression" dxfId="290" priority="27" stopIfTrue="1">
      <formula>L6&lt;&gt;""</formula>
    </cfRule>
  </conditionalFormatting>
  <conditionalFormatting sqref="D5">
    <cfRule type="expression" dxfId="289" priority="22" stopIfTrue="1">
      <formula>M5&lt;&gt;""</formula>
    </cfRule>
    <cfRule type="expression" dxfId="288" priority="23" stopIfTrue="1">
      <formula>N5&lt;&gt;""</formula>
    </cfRule>
    <cfRule type="expression" dxfId="287" priority="24" stopIfTrue="1">
      <formula>O5&lt;&gt;""</formula>
    </cfRule>
  </conditionalFormatting>
  <conditionalFormatting sqref="D6:D13">
    <cfRule type="expression" dxfId="286" priority="19" stopIfTrue="1">
      <formula>M6&lt;&gt;""</formula>
    </cfRule>
    <cfRule type="expression" dxfId="285" priority="20" stopIfTrue="1">
      <formula>N6&lt;&gt;""</formula>
    </cfRule>
    <cfRule type="expression" dxfId="284" priority="21" stopIfTrue="1">
      <formula>O6&lt;&gt;""</formula>
    </cfRule>
  </conditionalFormatting>
  <conditionalFormatting sqref="E5">
    <cfRule type="expression" dxfId="283" priority="16" stopIfTrue="1">
      <formula>P5&lt;&gt;""</formula>
    </cfRule>
    <cfRule type="expression" dxfId="282" priority="17" stopIfTrue="1">
      <formula>Q5&lt;&gt;""</formula>
    </cfRule>
    <cfRule type="expression" dxfId="281" priority="18" stopIfTrue="1">
      <formula>R5&lt;&gt;""</formula>
    </cfRule>
  </conditionalFormatting>
  <conditionalFormatting sqref="E6:E13">
    <cfRule type="expression" dxfId="280" priority="13" stopIfTrue="1">
      <formula>P6&lt;&gt;""</formula>
    </cfRule>
    <cfRule type="expression" dxfId="279" priority="14" stopIfTrue="1">
      <formula>Q6&lt;&gt;""</formula>
    </cfRule>
    <cfRule type="expression" dxfId="278" priority="15" stopIfTrue="1">
      <formula>R6&lt;&gt;""</formula>
    </cfRule>
  </conditionalFormatting>
  <conditionalFormatting sqref="F5">
    <cfRule type="expression" dxfId="277" priority="10" stopIfTrue="1">
      <formula>S5&lt;&gt;""</formula>
    </cfRule>
    <cfRule type="expression" dxfId="276" priority="11" stopIfTrue="1">
      <formula>T5&lt;&gt;""</formula>
    </cfRule>
    <cfRule type="expression" dxfId="275" priority="12" stopIfTrue="1">
      <formula>U5&lt;&gt;""</formula>
    </cfRule>
  </conditionalFormatting>
  <conditionalFormatting sqref="F6:F13">
    <cfRule type="expression" dxfId="274" priority="7" stopIfTrue="1">
      <formula>S6&lt;&gt;""</formula>
    </cfRule>
    <cfRule type="expression" dxfId="273" priority="8" stopIfTrue="1">
      <formula>T6&lt;&gt;""</formula>
    </cfRule>
    <cfRule type="expression" dxfId="272" priority="9" stopIfTrue="1">
      <formula>U6&lt;&gt;""</formula>
    </cfRule>
  </conditionalFormatting>
  <conditionalFormatting sqref="G5">
    <cfRule type="expression" dxfId="271" priority="4" stopIfTrue="1">
      <formula>V5&lt;&gt;""</formula>
    </cfRule>
    <cfRule type="expression" dxfId="270" priority="5" stopIfTrue="1">
      <formula>W5&lt;&gt;""</formula>
    </cfRule>
    <cfRule type="expression" dxfId="269" priority="6" stopIfTrue="1">
      <formula>X5&lt;&gt;""</formula>
    </cfRule>
  </conditionalFormatting>
  <conditionalFormatting sqref="G6:G13">
    <cfRule type="expression" dxfId="268" priority="1" stopIfTrue="1">
      <formula>V6&lt;&gt;""</formula>
    </cfRule>
    <cfRule type="expression" dxfId="267" priority="2" stopIfTrue="1">
      <formula>W6&lt;&gt;""</formula>
    </cfRule>
    <cfRule type="expression" dxfId="266" priority="3" stopIfTrue="1">
      <formula>X6&lt;&gt;""</formula>
    </cfRule>
  </conditionalFormatting>
  <hyperlinks>
    <hyperlink ref="A3:G3" location="'Process Area wise'!A1" display="Phase wise PCI Status"/>
    <hyperlink ref="A15:G15" location="'Severity wise'!A1" display="Revenue Leakage Reduction Compliance Status"/>
    <hyperlink ref="A22:G22" location="'Severity wise'!A1" display="PDCA wise PCI Status"/>
  </hyperlinks>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1"/>
  <sheetViews>
    <sheetView showGridLines="0" zoomScale="80" zoomScaleNormal="80" workbookViewId="0">
      <pane ySplit="3" topLeftCell="A4" activePane="bottomLeft" state="frozen"/>
      <selection pane="bottomLeft" activeCell="H4" sqref="H4"/>
    </sheetView>
  </sheetViews>
  <sheetFormatPr defaultColWidth="47" defaultRowHeight="12.75" x14ac:dyDescent="0.2"/>
  <cols>
    <col min="1" max="1" width="21.85546875" style="24" customWidth="1"/>
    <col min="2" max="2" width="31.7109375" style="24" customWidth="1"/>
    <col min="3" max="4" width="11.140625" style="24" customWidth="1"/>
    <col min="5" max="5" width="10.7109375" style="24" customWidth="1"/>
    <col min="6" max="6" width="11" style="24" customWidth="1"/>
    <col min="7" max="7" width="11.140625" style="24" customWidth="1"/>
    <col min="8" max="8" width="3.140625" style="24" customWidth="1"/>
    <col min="9" max="9" width="20.7109375" style="24" bestFit="1" customWidth="1"/>
    <col min="10" max="10" width="33.42578125" style="24" bestFit="1" customWidth="1"/>
    <col min="11" max="11" width="11" style="24" customWidth="1"/>
    <col min="12" max="12" width="11.140625" style="24" customWidth="1"/>
    <col min="13" max="13" width="10.85546875" style="24" customWidth="1"/>
    <col min="14" max="14" width="11.7109375" style="24" customWidth="1"/>
    <col min="15" max="15" width="11.28515625" style="24" customWidth="1"/>
    <col min="16" max="17" width="47" style="24"/>
    <col min="18" max="18" width="47" style="24" customWidth="1"/>
    <col min="19" max="21" width="47" style="24"/>
    <col min="22" max="22" width="47" style="24" customWidth="1"/>
    <col min="23" max="31" width="47" style="24"/>
    <col min="32" max="32" width="47" style="24" customWidth="1"/>
    <col min="33" max="16384" width="47" style="24"/>
  </cols>
  <sheetData>
    <row r="1" spans="1:15" ht="13.5" customHeight="1" thickBot="1" x14ac:dyDescent="0.25">
      <c r="A1" s="309" t="s">
        <v>485</v>
      </c>
      <c r="B1" s="310"/>
      <c r="C1" s="161"/>
      <c r="D1" s="161"/>
      <c r="E1" s="161"/>
      <c r="F1" s="161"/>
      <c r="G1" s="161"/>
      <c r="H1" s="161"/>
      <c r="I1" s="161"/>
      <c r="J1" s="161"/>
      <c r="K1" s="161"/>
      <c r="L1" s="161"/>
      <c r="M1" s="161"/>
      <c r="N1" s="161"/>
      <c r="O1" s="161"/>
    </row>
    <row r="2" spans="1:15" ht="12" customHeight="1" thickBot="1" x14ac:dyDescent="0.25">
      <c r="A2" s="142"/>
      <c r="B2" s="121"/>
      <c r="C2" s="121"/>
      <c r="D2" s="121"/>
      <c r="E2" s="121"/>
      <c r="F2" s="121"/>
      <c r="G2" s="121"/>
      <c r="H2" s="121"/>
      <c r="I2" s="121"/>
      <c r="J2" s="121"/>
    </row>
    <row r="3" spans="1:15" ht="13.5" thickBot="1" x14ac:dyDescent="0.25">
      <c r="A3" s="122" t="s">
        <v>444</v>
      </c>
      <c r="B3" s="123" t="s">
        <v>445</v>
      </c>
      <c r="C3" s="122" t="s">
        <v>243</v>
      </c>
      <c r="D3" s="122" t="s">
        <v>244</v>
      </c>
      <c r="E3" s="122" t="s">
        <v>251</v>
      </c>
      <c r="F3" s="122" t="s">
        <v>252</v>
      </c>
      <c r="G3" s="122" t="s">
        <v>253</v>
      </c>
      <c r="H3" s="124"/>
      <c r="I3" s="122" t="s">
        <v>444</v>
      </c>
      <c r="J3" s="122" t="s">
        <v>445</v>
      </c>
      <c r="K3" s="122" t="s">
        <v>243</v>
      </c>
      <c r="L3" s="122" t="s">
        <v>244</v>
      </c>
      <c r="M3" s="122" t="s">
        <v>251</v>
      </c>
      <c r="N3" s="122" t="s">
        <v>252</v>
      </c>
      <c r="O3" s="125" t="s">
        <v>253</v>
      </c>
    </row>
    <row r="4" spans="1:15" x14ac:dyDescent="0.2">
      <c r="A4" s="126" t="s">
        <v>7</v>
      </c>
      <c r="B4" s="127" t="str">
        <f>'Project Initiation'!B3</f>
        <v>Statement of Work</v>
      </c>
      <c r="C4" s="128">
        <f>IF('Severity wise'!C5&gt;0,('Severity wise'!C5-('Severity wise'!D5*ISO90012008!B143+'Severity wise'!E5*ISO90012008!B144+'Severity wise'!F5*ISO90012008!B145))/'Severity wise'!C5,"")</f>
        <v>1</v>
      </c>
      <c r="D4" s="128">
        <f>IF('Severity wise'!G5&gt;0,('Severity wise'!G5-('Severity wise'!H5*ISO90012008!B143+'Severity wise'!I5*ISO90012008!B144+'Severity wise'!J5*ISO90012008!B145))/'Severity wise'!G5,"")</f>
        <v>1</v>
      </c>
      <c r="E4" s="128" t="str">
        <f>IF('Severity wise'!K5&gt;0,('Severity wise'!K5-('Severity wise'!L5*ISO90012008!B143+'Severity wise'!M5*ISO90012008!B144+'Severity wise'!N5*ISO90012008!B145))/'Severity wise'!K5,"")</f>
        <v/>
      </c>
      <c r="F4" s="128" t="str">
        <f>IF('Severity wise'!O5&gt;0,('Severity wise'!O5-('Severity wise'!P5*ISO90012008!B143+'Severity wise'!Q5*ISO90012008!B144+'Severity wise'!R5*ISO90012008!B145))/'Severity wise'!O5,"")</f>
        <v/>
      </c>
      <c r="G4" s="128" t="str">
        <f>IF('Severity wise'!S5&gt;0,('Severity wise'!S5-('Severity wise'!T5*ISO90012008!B143+'Severity wise'!U5*ISO90012008!B144+'Severity wise'!V5*ISO90012008!B145))/'Severity wise'!S5,"")</f>
        <v/>
      </c>
      <c r="H4" s="64"/>
      <c r="I4" s="126" t="s">
        <v>579</v>
      </c>
      <c r="J4" s="129" t="str">
        <f>Requirements!B3</f>
        <v>Requirements Development</v>
      </c>
      <c r="K4" s="128">
        <f>IF('Severity wise'!C44&gt;0,('Severity wise'!C44-('Severity wise'!D44*ISO90012008!B143+'Severity wise'!E44*ISO90012008!B144+'Severity wise'!F44*ISO90012008!B145))/'Severity wise'!C44,"")</f>
        <v>1</v>
      </c>
      <c r="L4" s="128">
        <f>IF('Severity wise'!G44&gt;0,('Severity wise'!G44-('Severity wise'!H44*ISO90012008!B143+'Severity wise'!I44*ISO90012008!B144+'Severity wise'!J44*ISO90012008!B145))/'Severity wise'!G44,"")</f>
        <v>1</v>
      </c>
      <c r="M4" s="128" t="str">
        <f>IF('Severity wise'!K44&gt;0,('Severity wise'!K44-('Severity wise'!L44*ISO90012008!B143+'Severity wise'!M44*ISO90012008!B144+'Severity wise'!N44*ISO90012008!B145))/'Severity wise'!K44,"")</f>
        <v/>
      </c>
      <c r="N4" s="128" t="str">
        <f>IF('Severity wise'!O44&gt;0,('Severity wise'!O44-('Severity wise'!P44*ISO90012008!B143+'Severity wise'!Q44*ISO90012008!B144+'Severity wise'!R44*ISO90012008!B145))/'Severity wise'!O44,"")</f>
        <v/>
      </c>
      <c r="O4" s="130" t="str">
        <f>IF('Severity wise'!S44&gt;0,('Severity wise'!S44-('Severity wise'!T44*ISO90012008!B143+'Severity wise'!U44*ISO90012008!B144+'Severity wise'!V44*ISO90012008!B145))/'Severity wise'!S44,"")</f>
        <v/>
      </c>
    </row>
    <row r="5" spans="1:15" x14ac:dyDescent="0.2">
      <c r="A5" s="131"/>
      <c r="B5" s="132" t="str">
        <f>'Project Initiation'!B6</f>
        <v>Project Initiation Note</v>
      </c>
      <c r="C5" s="128">
        <f>IF('Severity wise'!C6&gt;0,('Severity wise'!C6-('Severity wise'!D6*ISO90012008!B143+'Severity wise'!E6*ISO90012008!B144+'Severity wise'!F6*ISO90012008!B145))/'Severity wise'!C6,"")</f>
        <v>1</v>
      </c>
      <c r="D5" s="128">
        <f>IF('Severity wise'!G6&gt;0,('Severity wise'!G6-('Severity wise'!H6*ISO90012008!B143+'Severity wise'!I6*ISO90012008!B144+'Severity wise'!J6*ISO90012008!B145))/'Severity wise'!G6,"")</f>
        <v>1</v>
      </c>
      <c r="E5" s="128" t="str">
        <f>IF('Severity wise'!K6&gt;0,('Severity wise'!K6-('Severity wise'!L6*ISO90012008!B143+'Severity wise'!M6*ISO90012008!B144+'Severity wise'!N6*ISO90012008!B145))/'Severity wise'!K6,"")</f>
        <v/>
      </c>
      <c r="F5" s="128" t="str">
        <f>IF('Severity wise'!O6&gt;0,('Severity wise'!O6-('Severity wise'!P6*ISO90012008!B143+'Severity wise'!Q6*ISO90012008!B144+'Severity wise'!R6*ISO90012008!B145))/'Severity wise'!O6,"")</f>
        <v/>
      </c>
      <c r="G5" s="128" t="str">
        <f>IF('Severity wise'!S6&gt;0,('Severity wise'!S6-('Severity wise'!T6*ISO90012008!B143+'Severity wise'!U6*ISO90012008!B144+'Severity wise'!V6*ISO90012008!B145))/'Severity wise'!S6,"")</f>
        <v/>
      </c>
      <c r="H5" s="64"/>
      <c r="I5" s="131"/>
      <c r="J5" s="129" t="str">
        <f>Requirements!B8</f>
        <v>Requirements Analysis and Validation</v>
      </c>
      <c r="K5" s="128">
        <f>IF('Severity wise'!C45&gt;0,('Severity wise'!C45-('Severity wise'!D45*ISO90012008!B143+'Severity wise'!E45*ISO90012008!B144+'Severity wise'!F45*ISO90012008!B145))/'Severity wise'!C45,"")</f>
        <v>1</v>
      </c>
      <c r="L5" s="128">
        <f>IF('Severity wise'!G45&gt;0,('Severity wise'!G45-('Severity wise'!H45*ISO90012008!B143+'Severity wise'!I45*ISO90012008!B144+'Severity wise'!J45*ISO90012008!B145))/'Severity wise'!G45,"")</f>
        <v>1</v>
      </c>
      <c r="M5" s="128" t="str">
        <f>IF('Severity wise'!K45&gt;0,('Severity wise'!K45-('Severity wise'!L45*ISO90012008!B143+'Severity wise'!M45*ISO90012008!B144+'Severity wise'!N45*ISO90012008!B145))/'Severity wise'!K45,"")</f>
        <v/>
      </c>
      <c r="N5" s="128" t="str">
        <f>IF('Severity wise'!O45&gt;0,('Severity wise'!O45-('Severity wise'!P45*ISO90012008!B143+'Severity wise'!Q45*ISO90012008!B144+'Severity wise'!R45*ISO90012008!B145))/'Severity wise'!O45,"")</f>
        <v/>
      </c>
      <c r="O5" s="130" t="str">
        <f>IF('Severity wise'!S45&gt;0,('Severity wise'!S45-('Severity wise'!T45*ISO90012008!B143+'Severity wise'!U45*ISO90012008!B144+'Severity wise'!V45*ISO90012008!B145))/'Severity wise'!S45,"")</f>
        <v/>
      </c>
    </row>
    <row r="6" spans="1:15" x14ac:dyDescent="0.2">
      <c r="A6" s="131"/>
      <c r="B6" s="132" t="str">
        <f>'Project Initiation'!B10</f>
        <v>Project Kick Off</v>
      </c>
      <c r="C6" s="128">
        <f>IF('Severity wise'!C7&gt;0,('Severity wise'!C7-('Severity wise'!D7*ISO90012008!B143+'Severity wise'!E7*ISO90012008!B144+'Severity wise'!F7*ISO90012008!B145))/'Severity wise'!C7,"")</f>
        <v>1</v>
      </c>
      <c r="D6" s="128">
        <f>IF('Severity wise'!G7&gt;0,('Severity wise'!G7-('Severity wise'!H7*ISO90012008!B143+'Severity wise'!I7*ISO90012008!B144+'Severity wise'!J7*ISO90012008!B145))/'Severity wise'!G7,"")</f>
        <v>1</v>
      </c>
      <c r="E6" s="128" t="str">
        <f>IF('Severity wise'!K7&gt;0,('Severity wise'!K7-('Severity wise'!L7*ISO90012008!B143+'Severity wise'!M7*ISO90012008!B144+'Severity wise'!N7*ISO90012008!B145))/'Severity wise'!K7,"")</f>
        <v/>
      </c>
      <c r="F6" s="128" t="str">
        <f>IF('Severity wise'!O7&gt;0,('Severity wise'!O7-('Severity wise'!P7*ISO90012008!B143+'Severity wise'!Q7*ISO90012008!B144+'Severity wise'!R7*ISO90012008!B145))/'Severity wise'!O7,"")</f>
        <v/>
      </c>
      <c r="G6" s="128" t="str">
        <f>IF('Severity wise'!S7&gt;0,('Severity wise'!S7-('Severity wise'!T7*ISO90012008!B143+'Severity wise'!U7*ISO90012008!B144+'Severity wise'!V7*ISO90012008!B145))/'Severity wise'!S7,"")</f>
        <v/>
      </c>
      <c r="H6" s="64"/>
      <c r="I6" s="131"/>
      <c r="J6" s="129" t="str">
        <f>Requirements!B16</f>
        <v>Requirements Traceability</v>
      </c>
      <c r="K6" s="128">
        <f>IF('Severity wise'!C46&gt;0,('Severity wise'!C46-('Severity wise'!D46*ISO90012008!B143+'Severity wise'!E46*ISO90012008!B144+'Severity wise'!F46*ISO90012008!B145))/'Severity wise'!C46,"")</f>
        <v>1</v>
      </c>
      <c r="L6" s="128">
        <f>IF('Severity wise'!G46&gt;0,('Severity wise'!G46-('Severity wise'!H46*ISO90012008!B143+'Severity wise'!I46*ISO90012008!B144+'Severity wise'!J46*ISO90012008!B145))/'Severity wise'!G46,"")</f>
        <v>1</v>
      </c>
      <c r="M6" s="128" t="str">
        <f>IF('Severity wise'!K46&gt;0,('Severity wise'!K46-('Severity wise'!L46*ISO90012008!B143+'Severity wise'!M46*ISO90012008!B144+'Severity wise'!N46*ISO90012008!B145))/'Severity wise'!K46,"")</f>
        <v/>
      </c>
      <c r="N6" s="128" t="str">
        <f>IF('Severity wise'!O46&gt;0,('Severity wise'!O46-('Severity wise'!P46*ISO90012008!B143+'Severity wise'!Q46*ISO90012008!B144+'Severity wise'!R46*ISO90012008!B145))/'Severity wise'!O46,"")</f>
        <v/>
      </c>
      <c r="O6" s="130" t="str">
        <f>IF('Severity wise'!S46&gt;0,('Severity wise'!S46-('Severity wise'!T46*ISO90012008!B143+'Severity wise'!U46*ISO90012008!B144+'Severity wise'!V46*ISO90012008!B145))/'Severity wise'!S46,"")</f>
        <v/>
      </c>
    </row>
    <row r="7" spans="1:15" x14ac:dyDescent="0.2">
      <c r="A7" s="131"/>
      <c r="B7" s="133"/>
      <c r="C7" s="131"/>
      <c r="D7" s="131"/>
      <c r="E7" s="131"/>
      <c r="F7" s="131"/>
      <c r="G7" s="131"/>
      <c r="H7" s="64"/>
      <c r="I7" s="131"/>
      <c r="J7" s="131"/>
      <c r="K7" s="128"/>
      <c r="L7" s="128"/>
      <c r="M7" s="128"/>
      <c r="N7" s="128"/>
      <c r="O7" s="130"/>
    </row>
    <row r="8" spans="1:15" ht="25.5" x14ac:dyDescent="0.2">
      <c r="A8" s="126" t="s">
        <v>443</v>
      </c>
      <c r="B8" s="133" t="str">
        <f>'Project Management'!B3</f>
        <v>Assumptions &amp; Constraints</v>
      </c>
      <c r="C8" s="128">
        <f>IF('Severity wise'!C9&gt;0,('Severity wise'!C9-('Severity wise'!D9*ISO90012008!B143+'Severity wise'!E9*ISO90012008!B144+'Severity wise'!F9*ISO90012008!B145))/'Severity wise'!C9,"")</f>
        <v>1</v>
      </c>
      <c r="D8" s="128">
        <f>IF('Severity wise'!G9&gt;0,('Severity wise'!G9-('Severity wise'!H9*ISO90012008!B143+'Severity wise'!I9*ISO90012008!B144+'Severity wise'!J9*ISO90012008!B145))/'Severity wise'!G9,"")</f>
        <v>1</v>
      </c>
      <c r="E8" s="128" t="str">
        <f>IF('Severity wise'!K9&gt;0,('Severity wise'!K9-('Severity wise'!L9*ISO90012008!B143+'Severity wise'!M9*ISO90012008!B144+'Severity wise'!N9*ISO90012008!B145))/'Severity wise'!K9,"")</f>
        <v/>
      </c>
      <c r="F8" s="128" t="str">
        <f>IF('Severity wise'!O9&gt;0,('Severity wise'!O9-('Severity wise'!P9*ISO90012008!B143+'Severity wise'!Q9*ISO90012008!B144+'Severity wise'!R9*ISO90012008!B145))/'Severity wise'!O9,"")</f>
        <v/>
      </c>
      <c r="G8" s="128" t="str">
        <f>IF('Severity wise'!S9&gt;0,('Severity wise'!S9-('Severity wise'!T9*ISO90012008!B143+'Severity wise'!U9*ISO90012008!B144+'Severity wise'!V9*ISO90012008!B145))/'Severity wise'!S9,"")</f>
        <v/>
      </c>
      <c r="H8" s="64"/>
      <c r="I8" s="126"/>
      <c r="J8" s="131"/>
      <c r="K8" s="128"/>
      <c r="L8" s="128"/>
      <c r="M8" s="128"/>
      <c r="N8" s="128"/>
      <c r="O8" s="130"/>
    </row>
    <row r="9" spans="1:15" x14ac:dyDescent="0.2">
      <c r="A9" s="131"/>
      <c r="B9" s="133" t="str">
        <f>'Project Management'!B6</f>
        <v>Estimation</v>
      </c>
      <c r="C9" s="128">
        <f>IF('Severity wise'!C10&gt;0,('Severity wise'!C10-('Severity wise'!D10*ISO90012008!B143+'Severity wise'!E10*ISO90012008!B144+'Severity wise'!F10*ISO90012008!B145))/'Severity wise'!C10,"")</f>
        <v>0.93333333333333335</v>
      </c>
      <c r="D9" s="128">
        <f>IF('Severity wise'!G10&gt;0,('Severity wise'!G10-('Severity wise'!H10*ISO90012008!B143+'Severity wise'!I10*ISO90012008!B144+'Severity wise'!J10*ISO90012008!B145))/'Severity wise'!G10,"")</f>
        <v>1</v>
      </c>
      <c r="E9" s="128" t="str">
        <f>IF('Severity wise'!K10&gt;0,('Severity wise'!K10-('Severity wise'!L10*ISO90012008!B143+'Severity wise'!M10*ISO90012008!B144+'Severity wise'!N10*ISO90012008!B145))/'Severity wise'!K10,"")</f>
        <v/>
      </c>
      <c r="F9" s="128" t="str">
        <f>IF('Severity wise'!O10&gt;0,('Severity wise'!O10-('Severity wise'!P10*ISO90012008!B143+'Severity wise'!Q10*ISO90012008!B144+'Severity wise'!R10*ISO90012008!B145))/'Severity wise'!O10,"")</f>
        <v/>
      </c>
      <c r="G9" s="128" t="str">
        <f>IF('Severity wise'!S10&gt;0,('Severity wise'!S10-('Severity wise'!T10*ISO90012008!B143+'Severity wise'!U10*ISO90012008!B144+'Severity wise'!V10*ISO90012008!B145))/'Severity wise'!S10,"")</f>
        <v/>
      </c>
      <c r="H9" s="64"/>
      <c r="I9" s="126"/>
      <c r="J9" s="131"/>
      <c r="K9" s="134"/>
      <c r="L9" s="134"/>
      <c r="M9" s="134"/>
      <c r="N9" s="134"/>
      <c r="O9" s="135"/>
    </row>
    <row r="10" spans="1:15" x14ac:dyDescent="0.2">
      <c r="A10" s="131"/>
      <c r="B10" s="133" t="str">
        <f>'Project Management'!B12</f>
        <v>Process Plan/Tailoring</v>
      </c>
      <c r="C10" s="128">
        <f>IF('Severity wise'!C11&gt;0,('Severity wise'!C11-('Severity wise'!D11*ISO90012008!B143+'Severity wise'!E11*ISO90012008!B144+'Severity wise'!F11*ISO90012008!B145))/'Severity wise'!C11,"")</f>
        <v>0.5</v>
      </c>
      <c r="D10" s="128">
        <f>IF('Severity wise'!G11&gt;0,('Severity wise'!G11-('Severity wise'!H11*ISO90012008!B143+'Severity wise'!I11*ISO90012008!B144+'Severity wise'!J11*ISO90012008!B145))/'Severity wise'!G11,"")</f>
        <v>1</v>
      </c>
      <c r="E10" s="128" t="str">
        <f>IF('Severity wise'!K11&gt;0,('Severity wise'!K11-('Severity wise'!L11*ISO90012008!B143+'Severity wise'!M11*ISO90012008!B144+'Severity wise'!N11*ISO90012008!B145))/'Severity wise'!K11,"")</f>
        <v/>
      </c>
      <c r="F10" s="128" t="str">
        <f>IF('Severity wise'!O11&gt;0,('Severity wise'!O11-('Severity wise'!P11*ISO90012008!B143+'Severity wise'!Q11*ISO90012008!B144+'Severity wise'!R11*ISO90012008!B145))/'Severity wise'!O11,"")</f>
        <v/>
      </c>
      <c r="G10" s="128" t="str">
        <f>IF('Severity wise'!S11&gt;0,('Severity wise'!S11-('Severity wise'!T11*ISO90012008!B143+'Severity wise'!U11*ISO90012008!B144+'Severity wise'!V11*ISO90012008!B145))/'Severity wise'!S11,"")</f>
        <v/>
      </c>
      <c r="H10" s="64"/>
      <c r="I10" s="126" t="s">
        <v>580</v>
      </c>
      <c r="J10" s="131" t="str">
        <f>Design!B3</f>
        <v>DAR</v>
      </c>
      <c r="K10" s="128" t="str">
        <f>IF('Severity wise'!C48&gt;0,('Severity wise'!C48-('Severity wise'!D48*ISO90012008!B143+'Severity wise'!E48*ISO90012008!B144+'Severity wise'!F48*ISO90012008!B145))/'Severity wise'!C48,"")</f>
        <v/>
      </c>
      <c r="L10" s="128">
        <f>IF('Severity wise'!G48&gt;0,('Severity wise'!G48-('Severity wise'!H48*ISO90012008!B143+'Severity wise'!I48*ISO90012008!B144+'Severity wise'!J48*ISO90012008!B145))/'Severity wise'!G48,"")</f>
        <v>1</v>
      </c>
      <c r="M10" s="128">
        <f>IF('Severity wise'!K48&gt;0,('Severity wise'!K48-('Severity wise'!L48*ISO90012008!B143+'Severity wise'!M48*ISO90012008!B144+'Severity wise'!N48*ISO90012008!B145))/'Severity wise'!K48,"")</f>
        <v>1</v>
      </c>
      <c r="N10" s="128">
        <f>IF('Severity wise'!O48&gt;0,('Severity wise'!O48-('Severity wise'!P48*ISO90012008!B143+'Severity wise'!Q48*ISO90012008!B144+'Severity wise'!R48*ISO90012008!B145))/'Severity wise'!O48,"")</f>
        <v>1</v>
      </c>
      <c r="O10" s="130">
        <f>IF('Severity wise'!S48&gt;0,('Severity wise'!S48-('Severity wise'!T48*ISO90012008!B143+'Severity wise'!U48*ISO90012008!B144+'Severity wise'!V48*ISO90012008!B145))/'Severity wise'!S48,"")</f>
        <v>1</v>
      </c>
    </row>
    <row r="11" spans="1:15" x14ac:dyDescent="0.2">
      <c r="A11" s="131"/>
      <c r="B11" s="133" t="str">
        <f>'Project Management'!B19</f>
        <v>IT/Human Resource Plan</v>
      </c>
      <c r="C11" s="128">
        <f>IF('Severity wise'!C12&gt;0,('Severity wise'!C12-('Severity wise'!D12*ISO90012008!B143+'Severity wise'!E12*ISO90012008!B144+'Severity wise'!F12*ISO90012008!B145))/'Severity wise'!C12,"")</f>
        <v>0.875</v>
      </c>
      <c r="D11" s="128">
        <f>IF('Severity wise'!G12&gt;0,('Severity wise'!G12-('Severity wise'!H12*ISO90012008!B143+'Severity wise'!I12*ISO90012008!B144+'Severity wise'!J12*ISO90012008!B145))/'Severity wise'!G12,"")</f>
        <v>1</v>
      </c>
      <c r="E11" s="128" t="str">
        <f>IF('Severity wise'!K12&gt;0,('Severity wise'!K12-('Severity wise'!L12*ISO90012008!B143+'Severity wise'!M12*ISO90012008!B144+'Severity wise'!N12*ISO90012008!B145))/'Severity wise'!K12,"")</f>
        <v/>
      </c>
      <c r="F11" s="128" t="str">
        <f>IF('Severity wise'!O12&gt;0,('Severity wise'!O12-('Severity wise'!P12*ISO90012008!B143+'Severity wise'!Q12*ISO90012008!B144+'Severity wise'!R12*ISO90012008!B145))/'Severity wise'!O12,"")</f>
        <v/>
      </c>
      <c r="G11" s="128" t="str">
        <f>IF('Severity wise'!S12&gt;0,('Severity wise'!S12-('Severity wise'!T12*ISO90012008!B143+'Severity wise'!U12*ISO90012008!B144+'Severity wise'!V12*ISO90012008!B145))/'Severity wise'!S12,"")</f>
        <v/>
      </c>
      <c r="H11" s="64"/>
      <c r="I11" s="131"/>
      <c r="J11" s="131"/>
      <c r="K11" s="128"/>
      <c r="L11" s="128"/>
      <c r="M11" s="128"/>
      <c r="N11" s="128"/>
      <c r="O11" s="130"/>
    </row>
    <row r="12" spans="1:15" x14ac:dyDescent="0.2">
      <c r="A12" s="131"/>
      <c r="B12" s="133" t="str">
        <f>'Project Management'!B24</f>
        <v>Skill Assessment</v>
      </c>
      <c r="C12" s="128">
        <f>IF('Severity wise'!C13&gt;0,('Severity wise'!C13-('Severity wise'!D13*ISO90012008!B143+'Severity wise'!E13*ISO90012008!B144+'Severity wise'!F13*ISO90012008!B145))/'Severity wise'!C13,"")</f>
        <v>-0.375</v>
      </c>
      <c r="D12" s="128">
        <f>IF('Severity wise'!G13&gt;0,('Severity wise'!G13-('Severity wise'!H13*ISO90012008!B143+'Severity wise'!I13*ISO90012008!B144+'Severity wise'!J13*ISO90012008!B145))/'Severity wise'!G13,"")</f>
        <v>1</v>
      </c>
      <c r="E12" s="128" t="str">
        <f>IF('Severity wise'!K13&gt;0,('Severity wise'!K13-('Severity wise'!L13*ISO90012008!B143+'Severity wise'!M13*ISO90012008!B144+'Severity wise'!N13*ISO90012008!B145))/'Severity wise'!K13,"")</f>
        <v/>
      </c>
      <c r="F12" s="128" t="str">
        <f>IF('Severity wise'!O13&gt;0,('Severity wise'!O13-('Severity wise'!P13*ISO90012008!B143+'Severity wise'!Q13*ISO90012008!B144+'Severity wise'!R13*ISO90012008!B145))/'Severity wise'!O13,"")</f>
        <v/>
      </c>
      <c r="G12" s="128" t="str">
        <f>IF('Severity wise'!S13&gt;0,('Severity wise'!S13-('Severity wise'!T13*ISO90012008!B143+'Severity wise'!U13*ISO90012008!B144+'Severity wise'!V13*ISO90012008!B145))/'Severity wise'!S13,"")</f>
        <v/>
      </c>
      <c r="H12" s="64"/>
      <c r="I12" s="131"/>
      <c r="J12" s="131" t="str">
        <f>Design!B7</f>
        <v>Product Integration Plan</v>
      </c>
      <c r="K12" s="128" t="str">
        <f>IF('Severity wise'!C49&gt;0,('Severity wise'!C49-('Severity wise'!D49*ISO90012008!B143+'Severity wise'!E49*ISO90012008!B144+'Severity wise'!F49*ISO90012008!B145))/'Severity wise'!C49,"")</f>
        <v/>
      </c>
      <c r="L12" s="128">
        <f>IF('Severity wise'!G49&gt;0,('Severity wise'!G49-('Severity wise'!H49*ISO90012008!B143+'Severity wise'!I49*ISO90012008!B144+'Severity wise'!J49*ISO90012008!B145))/'Severity wise'!G49,"")</f>
        <v>1</v>
      </c>
      <c r="M12" s="128">
        <f>IF('Severity wise'!K49&gt;0,('Severity wise'!K49-('Severity wise'!L49*ISO90012008!B143+'Severity wise'!M49*ISO90012008!B144+'Severity wise'!N49*ISO90012008!B145))/'Severity wise'!K49,"")</f>
        <v>1</v>
      </c>
      <c r="N12" s="128">
        <f>IF('Severity wise'!O49&gt;0,('Severity wise'!O49-('Severity wise'!P49*ISO90012008!B143+'Severity wise'!Q49*ISO90012008!B144+'Severity wise'!R49*ISO90012008!B145))/'Severity wise'!O49,"")</f>
        <v>1</v>
      </c>
      <c r="O12" s="130">
        <f>IF('Severity wise'!S49&gt;0,('Severity wise'!S49-('Severity wise'!T49*ISO90012008!B143+'Severity wise'!U49*ISO90012008!B144+'Severity wise'!V49*ISO90012008!B145))/'Severity wise'!S49,"")</f>
        <v>1</v>
      </c>
    </row>
    <row r="13" spans="1:15" x14ac:dyDescent="0.2">
      <c r="A13" s="131"/>
      <c r="B13" s="133" t="str">
        <f>'Project Management'!B28</f>
        <v>Schedule</v>
      </c>
      <c r="C13" s="128">
        <f>IF('Severity wise'!C14&gt;0,('Severity wise'!C14-('Severity wise'!D14*ISO90012008!B143+'Severity wise'!E14*ISO90012008!B144+'Severity wise'!F14*ISO90012008!B145))/'Severity wise'!C14,"")</f>
        <v>0</v>
      </c>
      <c r="D13" s="128">
        <f>IF('Severity wise'!G14&gt;0,('Severity wise'!G14-('Severity wise'!H14*ISO90012008!B143+'Severity wise'!I14*ISO90012008!B144+'Severity wise'!J14*ISO90012008!B145))/'Severity wise'!G14,"")</f>
        <v>1</v>
      </c>
      <c r="E13" s="128" t="str">
        <f>IF('Severity wise'!K14&gt;0,('Severity wise'!K14-('Severity wise'!L14*ISO90012008!B143+'Severity wise'!M14*ISO90012008!B144+'Severity wise'!N14*ISO90012008!B145))/'Severity wise'!K14,"")</f>
        <v/>
      </c>
      <c r="F13" s="128" t="str">
        <f>IF('Severity wise'!O14&gt;0,('Severity wise'!O14-('Severity wise'!P14*ISO90012008!B143+'Severity wise'!Q14*ISO90012008!B144+'Severity wise'!R14*ISO90012008!B145))/'Severity wise'!O14,"")</f>
        <v/>
      </c>
      <c r="G13" s="128" t="str">
        <f>IF('Severity wise'!S14&gt;0,('Severity wise'!S14-('Severity wise'!T14*ISO90012008!B143+'Severity wise'!U14*ISO90012008!B144+'Severity wise'!V14*ISO90012008!B145))/'Severity wise'!S14,"")</f>
        <v/>
      </c>
      <c r="H13" s="64"/>
      <c r="I13" s="131"/>
      <c r="J13" s="131" t="str">
        <f>Design!B13</f>
        <v>Test Plan</v>
      </c>
      <c r="K13" s="128">
        <f>IF('Severity wise'!C50&gt;0,('Severity wise'!C50-('Severity wise'!D50*ISO90012008!B143+'Severity wise'!E50*ISO90012008!B144+'Severity wise'!F50*ISO90012008!B145))/'Severity wise'!C50,"")</f>
        <v>0.55555555555555558</v>
      </c>
      <c r="L13" s="128">
        <f>IF('Severity wise'!G50&gt;0,('Severity wise'!G50-('Severity wise'!H50*ISO90012008!B143+'Severity wise'!I50*ISO90012008!B144+'Severity wise'!J50*ISO90012008!B145))/'Severity wise'!G50,"")</f>
        <v>1</v>
      </c>
      <c r="M13" s="128">
        <f>IF('Severity wise'!K50&gt;0,('Severity wise'!K50-('Severity wise'!L50*ISO90012008!B143+'Severity wise'!M50*ISO90012008!B144+'Severity wise'!N50*ISO90012008!B145))/'Severity wise'!K50,"")</f>
        <v>1</v>
      </c>
      <c r="N13" s="128">
        <f>IF('Severity wise'!O50&gt;0,('Severity wise'!O50-('Severity wise'!P50*ISO90012008!B143+'Severity wise'!Q50*ISO90012008!B144+'Severity wise'!R50*ISO90012008!B145))/'Severity wise'!O50,"")</f>
        <v>1</v>
      </c>
      <c r="O13" s="130">
        <f>IF('Severity wise'!S50&gt;0,('Severity wise'!S50-('Severity wise'!T50*ISO90012008!B143+'Severity wise'!U50*ISO90012008!B144+'Severity wise'!V50*ISO90012008!B145))/'Severity wise'!S50,"")</f>
        <v>1</v>
      </c>
    </row>
    <row r="14" spans="1:15" x14ac:dyDescent="0.2">
      <c r="A14" s="131"/>
      <c r="B14" s="133" t="str">
        <f>'Project Management'!B32</f>
        <v>Configuration Management Plan</v>
      </c>
      <c r="C14" s="128">
        <f>IF('Severity wise'!C15&gt;0,('Severity wise'!C15-('Severity wise'!D15*ISO90012008!B143+'Severity wise'!E15*ISO90012008!B144+'Severity wise'!F15*ISO90012008!B145))/'Severity wise'!C15,"")</f>
        <v>0.61904761904761907</v>
      </c>
      <c r="D14" s="128">
        <f>IF('Severity wise'!G15&gt;0,('Severity wise'!G15-('Severity wise'!H15*ISO90012008!B143+'Severity wise'!I15*ISO90012008!B144+'Severity wise'!J15*ISO90012008!B145))/'Severity wise'!G15,"")</f>
        <v>1</v>
      </c>
      <c r="E14" s="128" t="str">
        <f>IF('Severity wise'!K15&gt;0,('Severity wise'!K15-('Severity wise'!L15*ISO90012008!B143+'Severity wise'!M15*ISO90012008!B144+'Severity wise'!N15*ISO90012008!B145))/'Severity wise'!K15,"")</f>
        <v/>
      </c>
      <c r="F14" s="128" t="str">
        <f>IF('Severity wise'!O15&gt;0,('Severity wise'!O15-('Severity wise'!P15*ISO90012008!B143+'Severity wise'!Q15*ISO90012008!B144+'Severity wise'!R15*ISO90012008!B145))/'Severity wise'!O15,"")</f>
        <v/>
      </c>
      <c r="G14" s="128" t="str">
        <f>IF('Severity wise'!S15&gt;0,('Severity wise'!S15-('Severity wise'!T15*ISO90012008!B143+'Severity wise'!U15*ISO90012008!B144+'Severity wise'!V15*ISO90012008!B145))/'Severity wise'!S15,"")</f>
        <v/>
      </c>
      <c r="H14" s="64"/>
      <c r="I14" s="131"/>
      <c r="J14" s="131" t="str">
        <f>Design!B20</f>
        <v>Unit Test Cases</v>
      </c>
      <c r="K14" s="128" t="str">
        <f>IF('Severity wise'!C51&gt;0,('Severity wise'!C51-('Severity wise'!D51*ISO90012008!B143+'Severity wise'!E51*ISO90012008!B144+'Severity wise'!F51*ISO90012008!B145))/'Severity wise'!C51,"")</f>
        <v/>
      </c>
      <c r="L14" s="128">
        <f>IF('Severity wise'!G51&gt;0,('Severity wise'!G51-('Severity wise'!H51*ISO90012008!B143+'Severity wise'!I51*ISO90012008!B144+'Severity wise'!J51*ISO90012008!B145))/'Severity wise'!G51,"")</f>
        <v>1</v>
      </c>
      <c r="M14" s="128">
        <f>IF('Severity wise'!K51&gt;0,('Severity wise'!K51-('Severity wise'!L51*ISO90012008!B143+'Severity wise'!M51*ISO90012008!B144+'Severity wise'!N51*ISO90012008!B145))/'Severity wise'!K51,"")</f>
        <v>1</v>
      </c>
      <c r="N14" s="128">
        <f>IF('Severity wise'!O51&gt;0,('Severity wise'!O51-('Severity wise'!P51*ISO90012008!B143+'Severity wise'!Q51*ISO90012008!B144+'Severity wise'!R51*ISO90012008!B145))/'Severity wise'!O51,"")</f>
        <v>1</v>
      </c>
      <c r="O14" s="130">
        <f>IF('Severity wise'!S51&gt;0,('Severity wise'!S51-('Severity wise'!T51*ISO90012008!B143+'Severity wise'!U51*ISO90012008!B144+'Severity wise'!V51*ISO90012008!B145))/'Severity wise'!S51,"")</f>
        <v>1</v>
      </c>
    </row>
    <row r="15" spans="1:15" x14ac:dyDescent="0.2">
      <c r="A15" s="131"/>
      <c r="B15" s="133" t="str">
        <f>'Project Management'!B42</f>
        <v>Access Permissions</v>
      </c>
      <c r="C15" s="128">
        <f>IF('Severity wise'!C16&gt;0,('Severity wise'!C16-('Severity wise'!D16*ISO90012008!B143+'Severity wise'!E16*ISO90012008!B144+'Severity wise'!F16*ISO90012008!B145))/'Severity wise'!C16,"")</f>
        <v>1</v>
      </c>
      <c r="D15" s="128">
        <f>IF('Severity wise'!G16&gt;0,('Severity wise'!G16-('Severity wise'!H16*ISO90012008!B143+'Severity wise'!I16*ISO90012008!B144+'Severity wise'!J16*ISO90012008!B145))/'Severity wise'!G16,"")</f>
        <v>1</v>
      </c>
      <c r="E15" s="128" t="str">
        <f>IF('Severity wise'!K16&gt;0,('Severity wise'!K16-('Severity wise'!L16*ISO90012008!B143+'Severity wise'!M16*ISO90012008!B144+'Severity wise'!N16*ISO90012008!B145))/'Severity wise'!K16,"")</f>
        <v/>
      </c>
      <c r="F15" s="128" t="str">
        <f>IF('Severity wise'!O16&gt;0,('Severity wise'!O16-('Severity wise'!P16*ISO90012008!B143+'Severity wise'!Q16*ISO90012008!B144+'Severity wise'!R16*ISO90012008!B145))/'Severity wise'!O16,"")</f>
        <v/>
      </c>
      <c r="G15" s="128" t="str">
        <f>IF('Severity wise'!S16&gt;0,('Severity wise'!S16-('Severity wise'!T16*ISO90012008!B143+'Severity wise'!U16*ISO90012008!B144+'Severity wise'!V16*ISO90012008!B145))/'Severity wise'!S16,"")</f>
        <v/>
      </c>
      <c r="H15" s="64"/>
      <c r="I15" s="131"/>
      <c r="J15" s="131" t="str">
        <f>Design!B28</f>
        <v>Integration Test Cases</v>
      </c>
      <c r="K15" s="128" t="str">
        <f>IF('Severity wise'!C52&gt;0,('Severity wise'!C52-('Severity wise'!D52*ISO90012008!B143+'Severity wise'!E52*ISO90012008!B144+'Severity wise'!F52*ISO90012008!B145))/'Severity wise'!C52,"")</f>
        <v/>
      </c>
      <c r="L15" s="128">
        <f>IF('Severity wise'!G52&gt;0,('Severity wise'!G52-('Severity wise'!H52*ISO90012008!B143+'Severity wise'!I52*ISO90012008!B144+'Severity wise'!J52*ISO90012008!B145))/'Severity wise'!G52,"")</f>
        <v>1</v>
      </c>
      <c r="M15" s="128">
        <f>IF('Severity wise'!K52&gt;0,('Severity wise'!K52-('Severity wise'!L52*ISO90012008!B143+'Severity wise'!M52*ISO90012008!B144+'Severity wise'!N52*ISO90012008!B145))/'Severity wise'!K52,"")</f>
        <v>1</v>
      </c>
      <c r="N15" s="128">
        <f>IF('Severity wise'!O52&gt;0,('Severity wise'!O52-('Severity wise'!P52*ISO90012008!B143+'Severity wise'!Q52*ISO90012008!B144+'Severity wise'!R52*ISO90012008!B145))/'Severity wise'!O52,"")</f>
        <v>1</v>
      </c>
      <c r="O15" s="130">
        <f>IF('Severity wise'!S52&gt;0,('Severity wise'!S52-('Severity wise'!T52*ISO90012008!B143+'Severity wise'!U52*ISO90012008!B144+'Severity wise'!V52*ISO90012008!B145))/'Severity wise'!S52,"")</f>
        <v>1</v>
      </c>
    </row>
    <row r="16" spans="1:15" x14ac:dyDescent="0.2">
      <c r="A16" s="131"/>
      <c r="B16" s="133" t="str">
        <f>'Project Management'!B44</f>
        <v>Backup Plan</v>
      </c>
      <c r="C16" s="128">
        <f>IF('Severity wise'!C17&gt;0,('Severity wise'!C17-('Severity wise'!D17*ISO90012008!B143+'Severity wise'!E17*ISO90012008!B144+'Severity wise'!F17*ISO90012008!B145))/'Severity wise'!C17,"")</f>
        <v>1</v>
      </c>
      <c r="D16" s="128">
        <f>IF('Severity wise'!G17&gt;0,('Severity wise'!G17-('Severity wise'!H17*ISO90012008!B143+'Severity wise'!I17*ISO90012008!B144+'Severity wise'!J17*ISO90012008!B145))/'Severity wise'!G17,"")</f>
        <v>1</v>
      </c>
      <c r="E16" s="128" t="str">
        <f>IF('Severity wise'!K17&gt;0,('Severity wise'!K17-('Severity wise'!L17*ISO90012008!B143+'Severity wise'!M17*ISO90012008!B144+'Severity wise'!N17*ISO90012008!B145))/'Severity wise'!K17,"")</f>
        <v/>
      </c>
      <c r="F16" s="128" t="str">
        <f>IF('Severity wise'!O17&gt;0,('Severity wise'!O17-('Severity wise'!P17*ISO90012008!B143+'Severity wise'!Q17*ISO90012008!B144+'Severity wise'!R17*ISO90012008!B145))/'Severity wise'!O17,"")</f>
        <v/>
      </c>
      <c r="G16" s="128" t="str">
        <f>IF('Severity wise'!S17&gt;0,('Severity wise'!S17-('Severity wise'!T17*ISO90012008!B143+'Severity wise'!U17*ISO90012008!B144+'Severity wise'!V17*ISO90012008!B145))/'Severity wise'!S17,"")</f>
        <v/>
      </c>
      <c r="H16" s="64"/>
      <c r="I16" s="131"/>
      <c r="J16" s="131" t="str">
        <f>Design!B36</f>
        <v>System Test Cases</v>
      </c>
      <c r="K16" s="128">
        <f>IF('Severity wise'!C53&gt;0,('Severity wise'!C53-('Severity wise'!D53*ISO90012008!B143+'Severity wise'!E53*ISO90012008!B144+'Severity wise'!F53*ISO90012008!B145))/'Severity wise'!C53,"")</f>
        <v>1</v>
      </c>
      <c r="L16" s="128">
        <f>IF('Severity wise'!G53&gt;0,('Severity wise'!G53-('Severity wise'!H53*ISO90012008!B143+'Severity wise'!I53*ISO90012008!B144+'Severity wise'!J53*ISO90012008!B145))/'Severity wise'!G53,"")</f>
        <v>1</v>
      </c>
      <c r="M16" s="128">
        <f>IF('Severity wise'!K53&gt;0,('Severity wise'!K53-('Severity wise'!L53*ISO90012008!B143+'Severity wise'!M53*ISO90012008!B144+'Severity wise'!N53*ISO90012008!B145))/'Severity wise'!K53,"")</f>
        <v>1</v>
      </c>
      <c r="N16" s="128">
        <f>IF('Severity wise'!O53&gt;0,('Severity wise'!O53-('Severity wise'!P53*ISO90012008!B143+'Severity wise'!Q53*ISO90012008!B144+'Severity wise'!R53*ISO90012008!B145))/'Severity wise'!O53,"")</f>
        <v>1</v>
      </c>
      <c r="O16" s="130">
        <f>IF('Severity wise'!S53&gt;0,('Severity wise'!S53-('Severity wise'!T53*ISO90012008!B143+'Severity wise'!U53*ISO90012008!B144+'Severity wise'!V53*ISO90012008!B145))/'Severity wise'!S53,"")</f>
        <v>1</v>
      </c>
    </row>
    <row r="17" spans="1:15" x14ac:dyDescent="0.2">
      <c r="A17" s="131"/>
      <c r="B17" s="133" t="str">
        <f>'Project Management'!B47</f>
        <v>Change Management Plan</v>
      </c>
      <c r="C17" s="128">
        <f>IF('Severity wise'!C18&gt;0,('Severity wise'!C18-('Severity wise'!D18*ISO90012008!B143+'Severity wise'!E18*ISO90012008!B144+'Severity wise'!F18*ISO90012008!B145))/'Severity wise'!C18,"")</f>
        <v>1</v>
      </c>
      <c r="D17" s="128">
        <f>IF('Severity wise'!G18&gt;0,('Severity wise'!G18-('Severity wise'!H18*ISO90012008!B143+'Severity wise'!I18*ISO90012008!B144+'Severity wise'!J18*ISO90012008!B145))/'Severity wise'!G18,"")</f>
        <v>1</v>
      </c>
      <c r="E17" s="128" t="str">
        <f>IF('Severity wise'!K18&gt;0,('Severity wise'!K18-('Severity wise'!L18*ISO90012008!B143+'Severity wise'!M18*ISO90012008!B144+'Severity wise'!N18*ISO90012008!B145))/'Severity wise'!K18,"")</f>
        <v/>
      </c>
      <c r="F17" s="128" t="str">
        <f>IF('Severity wise'!O18&gt;0,('Severity wise'!O18-('Severity wise'!P18*ISO90012008!B143+'Severity wise'!Q18*ISO90012008!B144+'Severity wise'!R18*ISO90012008!B145))/'Severity wise'!O18,"")</f>
        <v/>
      </c>
      <c r="G17" s="128" t="str">
        <f>IF('Severity wise'!S18&gt;0,('Severity wise'!S18-('Severity wise'!T18*ISO90012008!B143+'Severity wise'!U18*ISO90012008!B144+'Severity wise'!V18*ISO90012008!B145))/'Severity wise'!S18,"")</f>
        <v/>
      </c>
      <c r="H17" s="64"/>
      <c r="I17" s="131"/>
      <c r="J17" s="131" t="str">
        <f>Design!B44</f>
        <v>Regression Test Cases</v>
      </c>
      <c r="K17" s="128" t="str">
        <f>IF('Severity wise'!C54&gt;0,('Severity wise'!C54-('Severity wise'!D54*ISO90012008!B143+'Severity wise'!E54*ISO90012008!B144+'Severity wise'!F54*ISO90012008!B145))/'Severity wise'!C54,"")</f>
        <v/>
      </c>
      <c r="L17" s="128">
        <f>IF('Severity wise'!G54&gt;0,('Severity wise'!G54-('Severity wise'!H54*ISO90012008!B143+'Severity wise'!I54*ISO90012008!B144+'Severity wise'!J54*ISO90012008!B145))/'Severity wise'!G54,"")</f>
        <v>1</v>
      </c>
      <c r="M17" s="128">
        <f>IF('Severity wise'!K54&gt;0,('Severity wise'!K54-('Severity wise'!L54*ISO90012008!B143+'Severity wise'!M54*ISO90012008!B144+'Severity wise'!N54*ISO90012008!B145))/'Severity wise'!K54,"")</f>
        <v>1</v>
      </c>
      <c r="N17" s="128">
        <f>IF('Severity wise'!O54&gt;0,('Severity wise'!O54-('Severity wise'!P54*ISO90012008!B143+'Severity wise'!Q54*ISO90012008!B144+'Severity wise'!R54*ISO90012008!B145))/'Severity wise'!O54,"")</f>
        <v>1</v>
      </c>
      <c r="O17" s="130">
        <f>IF('Severity wise'!S54&gt;0,('Severity wise'!S54-('Severity wise'!T54*ISO90012008!B143+'Severity wise'!U54*ISO90012008!B144+'Severity wise'!V54*ISO90012008!B145))/'Severity wise'!S54,"")</f>
        <v>1</v>
      </c>
    </row>
    <row r="18" spans="1:15" x14ac:dyDescent="0.2">
      <c r="A18" s="131"/>
      <c r="B18" s="133" t="str">
        <f>'Project Management'!B49</f>
        <v>Metrics Plan</v>
      </c>
      <c r="C18" s="128">
        <f>IF('Severity wise'!C19&gt;0,('Severity wise'!C19-('Severity wise'!D19*ISO90012008!B143+'Severity wise'!E19*ISO90012008!B144+'Severity wise'!F19*ISO90012008!B145))/'Severity wise'!C19,"")</f>
        <v>0</v>
      </c>
      <c r="D18" s="128">
        <f>IF('Severity wise'!G19&gt;0,('Severity wise'!G19-('Severity wise'!H19*ISO90012008!B143+'Severity wise'!I19*ISO90012008!B144+'Severity wise'!J19*ISO90012008!B145))/'Severity wise'!G19,"")</f>
        <v>1</v>
      </c>
      <c r="E18" s="128" t="str">
        <f>IF('Severity wise'!K19&gt;0,('Severity wise'!K19-('Severity wise'!L19*ISO90012008!B143+'Severity wise'!M19*ISO90012008!B144+'Severity wise'!N19*ISO90012008!B145))/'Severity wise'!K19,"")</f>
        <v/>
      </c>
      <c r="F18" s="128" t="str">
        <f>IF('Severity wise'!O19&gt;0,('Severity wise'!O19-('Severity wise'!P19*ISO90012008!B143+'Severity wise'!Q19*ISO90012008!B144+'Severity wise'!R19*ISO90012008!B145))/'Severity wise'!O19,"")</f>
        <v/>
      </c>
      <c r="G18" s="128" t="str">
        <f>IF('Severity wise'!S19&gt;0,('Severity wise'!S19-('Severity wise'!T19*ISO90012008!B143+'Severity wise'!U19*ISO90012008!B144+'Severity wise'!V19*ISO90012008!B145))/'Severity wise'!S19,"")</f>
        <v/>
      </c>
      <c r="H18" s="64"/>
      <c r="I18" s="126" t="s">
        <v>581</v>
      </c>
      <c r="J18" s="131" t="str">
        <f>Design!B52</f>
        <v>Load/Performance Test Scenarios</v>
      </c>
      <c r="K18" s="128" t="str">
        <f>IF('Severity wise'!C55&gt;0,('Severity wise'!C55-('Severity wise'!D55*ISO90012008!B143+'Severity wise'!E55*ISO90012008!B144+'Severity wise'!F55*ISO90012008!B145))/'Severity wise'!C55,"")</f>
        <v/>
      </c>
      <c r="L18" s="128">
        <f>IF('Severity wise'!G55&gt;0,('Severity wise'!G55-('Severity wise'!H55*ISO90012008!B143+'Severity wise'!I55*ISO90012008!B144+'Severity wise'!J55*ISO90012008!B145))/'Severity wise'!G55,"")</f>
        <v>1</v>
      </c>
      <c r="M18" s="128">
        <f>IF('Severity wise'!K55&gt;0,('Severity wise'!K55-('Severity wise'!L55*ISO90012008!B143+'Severity wise'!M55*ISO90012008!B144+'Severity wise'!N55*ISO90012008!B145))/'Severity wise'!K55,"")</f>
        <v>1</v>
      </c>
      <c r="N18" s="128">
        <f>IF('Severity wise'!O55&gt;0,('Severity wise'!O55-('Severity wise'!P55*ISO90012008!B143+'Severity wise'!Q55*ISO90012008!B144+'Severity wise'!R55*ISO90012008!B145))/'Severity wise'!O55,"")</f>
        <v>1</v>
      </c>
      <c r="O18" s="130">
        <f>IF('Severity wise'!S55&gt;0,('Severity wise'!S55-('Severity wise'!T55*ISO90012008!B143+'Severity wise'!U55*ISO90012008!B144+'Severity wise'!V55*ISO90012008!B145))/'Severity wise'!S55,"")</f>
        <v>1</v>
      </c>
    </row>
    <row r="19" spans="1:15" x14ac:dyDescent="0.2">
      <c r="A19" s="131"/>
      <c r="B19" s="133" t="str">
        <f>'Project Management'!B53</f>
        <v>Work Product Review &amp; Audit Plan</v>
      </c>
      <c r="C19" s="128">
        <f>IF('Severity wise'!C20&gt;0,('Severity wise'!C20-('Severity wise'!D20*ISO90012008!B143+'Severity wise'!E20*ISO90012008!B144+'Severity wise'!F20*ISO90012008!B145))/'Severity wise'!C20,"")</f>
        <v>1</v>
      </c>
      <c r="D19" s="128">
        <f>IF('Severity wise'!G20&gt;0,('Severity wise'!G20-('Severity wise'!H20*ISO90012008!B143+'Severity wise'!I20*ISO90012008!B144+'Severity wise'!J20*ISO90012008!B145))/'Severity wise'!G20,"")</f>
        <v>1</v>
      </c>
      <c r="E19" s="128" t="str">
        <f>IF('Severity wise'!K20&gt;0,('Severity wise'!K20-('Severity wise'!L20*ISO90012008!B143+'Severity wise'!M20*ISO90012008!B144+'Severity wise'!N20*ISO90012008!B145))/'Severity wise'!K20,"")</f>
        <v/>
      </c>
      <c r="F19" s="128" t="str">
        <f>IF('Severity wise'!O20&gt;0,('Severity wise'!O20-('Severity wise'!P20*ISO90012008!B143+'Severity wise'!Q20*ISO90012008!B144+'Severity wise'!R20*ISO90012008!B145))/'Severity wise'!O20,"")</f>
        <v/>
      </c>
      <c r="G19" s="128" t="str">
        <f>IF('Severity wise'!S20&gt;0,('Severity wise'!S20-('Severity wise'!T20*ISO90012008!B143+'Severity wise'!U20*ISO90012008!B144+'Severity wise'!V20*ISO90012008!B145))/'Severity wise'!S20,"")</f>
        <v/>
      </c>
      <c r="H19" s="64"/>
      <c r="I19" s="131"/>
      <c r="J19" s="131"/>
      <c r="K19" s="128"/>
      <c r="L19" s="128"/>
      <c r="M19" s="128"/>
      <c r="N19" s="128"/>
      <c r="O19" s="130"/>
    </row>
    <row r="20" spans="1:15" x14ac:dyDescent="0.2">
      <c r="A20" s="131"/>
      <c r="B20" s="133" t="str">
        <f>'Project Management'!B57</f>
        <v>Risk Management Plan</v>
      </c>
      <c r="C20" s="128">
        <f>IF('Severity wise'!C21&gt;0,('Severity wise'!C21-('Severity wise'!D21*ISO90012008!B143+'Severity wise'!E21*ISO90012008!B144+'Severity wise'!F21*ISO90012008!B145))/'Severity wise'!C21,"")</f>
        <v>0.66666666666666663</v>
      </c>
      <c r="D20" s="128">
        <f>IF('Severity wise'!G21&gt;0,('Severity wise'!G21-('Severity wise'!H21*ISO90012008!B143+'Severity wise'!I21*ISO90012008!B144+'Severity wise'!J21*ISO90012008!B145))/'Severity wise'!G21,"")</f>
        <v>1</v>
      </c>
      <c r="E20" s="128" t="str">
        <f>IF('Severity wise'!K21&gt;0,('Severity wise'!K21-('Severity wise'!L21*ISO90012008!B143+'Severity wise'!M21*ISO90012008!B144+'Severity wise'!N21*ISO90012008!B145))/'Severity wise'!K21,"")</f>
        <v/>
      </c>
      <c r="F20" s="128" t="str">
        <f>IF('Severity wise'!O21&gt;0,('Severity wise'!O21-('Severity wise'!P21*ISO90012008!B143+'Severity wise'!Q21*ISO90012008!B144+'Severity wise'!R21*ISO90012008!B145))/'Severity wise'!O21,"")</f>
        <v/>
      </c>
      <c r="G20" s="128" t="str">
        <f>IF('Severity wise'!S21&gt;0,('Severity wise'!S21-('Severity wise'!T21*ISO90012008!B143+'Severity wise'!U21*ISO90012008!B144+'Severity wise'!V21*ISO90012008!B145))/'Severity wise'!S21,"")</f>
        <v/>
      </c>
      <c r="H20" s="64"/>
      <c r="I20" s="131"/>
      <c r="J20" s="131"/>
      <c r="K20" s="128"/>
      <c r="L20" s="134"/>
      <c r="M20" s="134"/>
      <c r="N20" s="134"/>
      <c r="O20" s="135"/>
    </row>
    <row r="21" spans="1:15" x14ac:dyDescent="0.2">
      <c r="A21" s="131"/>
      <c r="B21" s="133" t="str">
        <f>'Project Management'!B61</f>
        <v>Stakeholder Commitment Plan</v>
      </c>
      <c r="C21" s="128">
        <f>IF('Severity wise'!C22&gt;0,('Severity wise'!C22-('Severity wise'!D22*ISO90012008!B143+'Severity wise'!E22*ISO90012008!B144+'Severity wise'!F22*ISO90012008!B145))/'Severity wise'!C22,"")</f>
        <v>1</v>
      </c>
      <c r="D21" s="128">
        <f>IF('Severity wise'!G22&gt;0,('Severity wise'!G22-('Severity wise'!H22*ISO90012008!B143+'Severity wise'!I22*ISO90012008!B144+'Severity wise'!J22*ISO90012008!B145))/'Severity wise'!G22,"")</f>
        <v>1</v>
      </c>
      <c r="E21" s="128" t="str">
        <f>IF('Severity wise'!K22&gt;0,('Severity wise'!K22-('Severity wise'!L22*ISO90012008!B143+'Severity wise'!M22*ISO90012008!B144+'Severity wise'!N22*ISO90012008!B145))/'Severity wise'!K22,"")</f>
        <v/>
      </c>
      <c r="F21" s="128" t="str">
        <f>IF('Severity wise'!O22&gt;0,('Severity wise'!O22-('Severity wise'!P22*ISO90012008!B143+'Severity wise'!Q22*ISO90012008!B144+'Severity wise'!R22*ISO90012008!B145))/'Severity wise'!O22,"")</f>
        <v/>
      </c>
      <c r="G21" s="128" t="str">
        <f>IF('Severity wise'!S22&gt;0,('Severity wise'!S22-('Severity wise'!T22*ISO90012008!B143+'Severity wise'!U22*ISO90012008!B144+'Severity wise'!V22*ISO90012008!B145))/'Severity wise'!S22,"")</f>
        <v/>
      </c>
      <c r="H21" s="64"/>
      <c r="I21" s="126"/>
      <c r="J21" s="131"/>
      <c r="K21" s="134"/>
      <c r="L21" s="128"/>
      <c r="M21" s="128"/>
      <c r="N21" s="128"/>
      <c r="O21" s="130"/>
    </row>
    <row r="22" spans="1:15" x14ac:dyDescent="0.2">
      <c r="A22" s="131"/>
      <c r="B22" s="133" t="str">
        <f>'Project Management'!B63</f>
        <v>Status Review Plan</v>
      </c>
      <c r="C22" s="128">
        <f>IF('Severity wise'!C23&gt;0,('Severity wise'!C23-('Severity wise'!D23*ISO90012008!B143+'Severity wise'!E23*ISO90012008!B144+'Severity wise'!F23*ISO90012008!B145))/'Severity wise'!C23,"")</f>
        <v>0</v>
      </c>
      <c r="D22" s="128">
        <f>IF('Severity wise'!G23&gt;0,('Severity wise'!G23-('Severity wise'!H23*ISO90012008!B143+'Severity wise'!I23*ISO90012008!B144+'Severity wise'!J23*ISO90012008!B145))/'Severity wise'!G23,"")</f>
        <v>1</v>
      </c>
      <c r="E22" s="128" t="str">
        <f>IF('Severity wise'!K23&gt;0,('Severity wise'!K23-('Severity wise'!L23*ISO90012008!B143+'Severity wise'!M23*ISO90012008!B144+'Severity wise'!N23*ISO90012008!B145))/'Severity wise'!K23,"")</f>
        <v/>
      </c>
      <c r="F22" s="128" t="str">
        <f>IF('Severity wise'!O23&gt;0,('Severity wise'!O23-('Severity wise'!P23*ISO90012008!B143+'Severity wise'!Q23*ISO90012008!B144+'Severity wise'!R23*ISO90012008!B145))/'Severity wise'!O23,"")</f>
        <v/>
      </c>
      <c r="G22" s="128" t="str">
        <f>IF('Severity wise'!S23&gt;0,('Severity wise'!S23-('Severity wise'!T23*ISO90012008!B143+'Severity wise'!U23*ISO90012008!B144+'Severity wise'!V23*ISO90012008!B145))/'Severity wise'!S23,"")</f>
        <v/>
      </c>
      <c r="H22" s="64"/>
      <c r="I22" s="131"/>
      <c r="J22" s="131" t="str">
        <f>Design!B60</f>
        <v>Automation Framework</v>
      </c>
      <c r="K22" s="134">
        <f>IF('Severity wise'!C56&gt;0,('Severity wise'!C56-('Severity wise'!D56*ISO90012008!B143+'Severity wise'!E56*ISO90012008!B144+'Severity wise'!F56*ISO90012008!B145))/'Severity wise'!C56,"")</f>
        <v>1</v>
      </c>
      <c r="L22" s="128">
        <f>IF('Severity wise'!G56&gt;0,('Severity wise'!G56-('Severity wise'!H56*ISO90012008!B143+'Severity wise'!I56*ISO90012008!B144+'Severity wise'!J56*ISO90012008!B145))/'Severity wise'!G56,"")</f>
        <v>1</v>
      </c>
      <c r="M22" s="128">
        <f>IF('Severity wise'!K56&gt;0,('Severity wise'!K56-('Severity wise'!L56*ISO90012008!B143+'Severity wise'!M56*ISO90012008!B144+'Severity wise'!N56*ISO90012008!B145))/'Severity wise'!K56,"")</f>
        <v>1</v>
      </c>
      <c r="N22" s="128">
        <f>IF('Severity wise'!O56&gt;0,('Severity wise'!O56-('Severity wise'!P56*ISO90012008!B143+'Severity wise'!Q56*ISO90012008!B144+'Severity wise'!R56*ISO90012008!B145))/'Severity wise'!O56,"")</f>
        <v>1</v>
      </c>
      <c r="O22" s="130">
        <f>IF('Severity wise'!S56&gt;0,('Severity wise'!S56-('Severity wise'!T56*ISO90012008!B143+'Severity wise'!U56*ISO90012008!B144+'Severity wise'!V56*ISO90012008!B145))/'Severity wise'!S56,"")</f>
        <v>1</v>
      </c>
    </row>
    <row r="23" spans="1:15" x14ac:dyDescent="0.2">
      <c r="A23" s="131"/>
      <c r="B23" s="133" t="str">
        <f>'Project Management'!B65</f>
        <v>DAR Plan</v>
      </c>
      <c r="C23" s="128">
        <f>IF('Severity wise'!C24&gt;0,('Severity wise'!C24-('Severity wise'!D24*ISO90012008!B143+'Severity wise'!E24*ISO90012008!B144+'Severity wise'!F24*ISO90012008!B145))/'Severity wise'!C24,"")</f>
        <v>1</v>
      </c>
      <c r="D23" s="128">
        <f>IF('Severity wise'!G24&gt;0,('Severity wise'!G24-('Severity wise'!H24*ISO90012008!B143+'Severity wise'!I24*ISO90012008!B144+'Severity wise'!J24*ISO90012008!B145))/'Severity wise'!G24,"")</f>
        <v>1</v>
      </c>
      <c r="E23" s="128" t="str">
        <f>IF('Severity wise'!K24&gt;0,('Severity wise'!K24-('Severity wise'!L24*ISO90012008!B143+'Severity wise'!M24*ISO90012008!B144+'Severity wise'!N24*ISO90012008!B145))/'Severity wise'!K24,"")</f>
        <v/>
      </c>
      <c r="F23" s="128" t="str">
        <f>IF('Severity wise'!O24&gt;0,('Severity wise'!O24-('Severity wise'!P24*ISO90012008!B143+'Severity wise'!Q24*ISO90012008!B144+'Severity wise'!R24*ISO90012008!B145))/'Severity wise'!O24,"")</f>
        <v/>
      </c>
      <c r="G23" s="128" t="str">
        <f>IF('Severity wise'!S24&gt;0,('Severity wise'!S24-('Severity wise'!T24*ISO90012008!B143+'Severity wise'!U24*ISO90012008!B144+'Severity wise'!V24*ISO90012008!B145))/'Severity wise'!S24,"")</f>
        <v/>
      </c>
      <c r="H23" s="64"/>
      <c r="I23" s="131"/>
      <c r="J23" s="131" t="str">
        <f>Design!B64</f>
        <v>User Documentation</v>
      </c>
      <c r="K23" s="134" t="str">
        <f>IF('Severity wise'!C57&gt;0,('Severity wise'!C57-('Severity wise'!D57*ISO90012008!B143+'Severity wise'!E57*ISO90012008!B144+'Severity wise'!F57*ISO90012008!B145))/'Severity wise'!C57,"")</f>
        <v/>
      </c>
      <c r="L23" s="128">
        <f>IF('Severity wise'!G57&gt;0,('Severity wise'!G57-('Severity wise'!H57*ISO90012008!B143+'Severity wise'!I57*ISO90012008!B144+'Severity wise'!J57*ISO90012008!B145))/'Severity wise'!G57,"")</f>
        <v>1</v>
      </c>
      <c r="M23" s="128">
        <f>IF('Severity wise'!K57&gt;0,('Severity wise'!K57-('Severity wise'!L57*ISO90012008!B143+'Severity wise'!M57*ISO90012008!B144+'Severity wise'!N57*ISO90012008!B145))/'Severity wise'!K57,"")</f>
        <v>1</v>
      </c>
      <c r="N23" s="128">
        <f>IF('Severity wise'!O57&gt;0,('Severity wise'!O57-('Severity wise'!P57*ISO90012008!B143+'Severity wise'!Q57*ISO90012008!B144+'Severity wise'!R57*ISO90012008!B145))/'Severity wise'!O57,"")</f>
        <v>1</v>
      </c>
      <c r="O23" s="130">
        <f>IF('Severity wise'!S57&gt;0,('Severity wise'!S57-('Severity wise'!T57*ISO90012008!B143+'Severity wise'!U57*ISO90012008!B144+'Severity wise'!V57*ISO90012008!B145))/'Severity wise'!S57,"")</f>
        <v>1</v>
      </c>
    </row>
    <row r="24" spans="1:15" x14ac:dyDescent="0.2">
      <c r="A24" s="131"/>
      <c r="B24" s="133" t="str">
        <f>'Project Management'!B68</f>
        <v>Escalation Mechanism</v>
      </c>
      <c r="C24" s="128">
        <f>IF('Severity wise'!C25&gt;0,('Severity wise'!C25-('Severity wise'!D25*ISO90012008!B143+'Severity wise'!E25*ISO90012008!B144+'Severity wise'!F25*ISO90012008!B145))/'Severity wise'!C25,"")</f>
        <v>1</v>
      </c>
      <c r="D24" s="128">
        <f>IF('Severity wise'!G25&gt;0,('Severity wise'!G25-('Severity wise'!H25*ISO90012008!B143+'Severity wise'!I25*ISO90012008!B144+'Severity wise'!J25*ISO90012008!B145))/'Severity wise'!G25,"")</f>
        <v>1</v>
      </c>
      <c r="E24" s="128" t="str">
        <f>IF('Severity wise'!K25&gt;0,('Severity wise'!K25-('Severity wise'!L25*ISO90012008!B143+'Severity wise'!M25*ISO90012008!B144+'Severity wise'!N25*ISO90012008!B145))/'Severity wise'!K25,"")</f>
        <v/>
      </c>
      <c r="F24" s="128" t="str">
        <f>IF('Severity wise'!O25&gt;0,('Severity wise'!O25-('Severity wise'!P25*ISO90012008!B143+'Severity wise'!Q25*ISO90012008!B144+'Severity wise'!R25*ISO90012008!B145))/'Severity wise'!O25,"")</f>
        <v/>
      </c>
      <c r="G24" s="128" t="str">
        <f>IF('Severity wise'!S25&gt;0,('Severity wise'!S25-('Severity wise'!T25*ISO90012008!B143+'Severity wise'!U25*ISO90012008!B144+'Severity wise'!V25*ISO90012008!B145))/'Severity wise'!S25,"")</f>
        <v/>
      </c>
      <c r="H24" s="64"/>
      <c r="I24" s="131"/>
      <c r="J24" s="131"/>
      <c r="K24" s="134"/>
      <c r="L24" s="134"/>
      <c r="M24" s="134"/>
      <c r="N24" s="134"/>
      <c r="O24" s="135"/>
    </row>
    <row r="25" spans="1:15" x14ac:dyDescent="0.2">
      <c r="A25" s="131"/>
      <c r="B25" s="133" t="str">
        <f>'Project Management'!B70</f>
        <v>Reusable Components</v>
      </c>
      <c r="C25" s="128">
        <f>IF('Severity wise'!C26&gt;0,('Severity wise'!C26-('Severity wise'!D26*ISO90012008!B143+'Severity wise'!E26*ISO90012008!B144+'Severity wise'!F26*ISO90012008!B145))/'Severity wise'!C26,"")</f>
        <v>1</v>
      </c>
      <c r="D25" s="128">
        <f>IF('Severity wise'!G26&gt;0,('Severity wise'!G26-('Severity wise'!H26*ISO90012008!B143+'Severity wise'!I26*ISO90012008!B144+'Severity wise'!J26*ISO90012008!B145))/'Severity wise'!G26,"")</f>
        <v>1</v>
      </c>
      <c r="E25" s="128" t="str">
        <f>IF('Severity wise'!K26&gt;0,('Severity wise'!K26-('Severity wise'!L26*ISO90012008!B143+'Severity wise'!M26*ISO90012008!B144+'Severity wise'!N26*ISO90012008!B145))/'Severity wise'!K26,"")</f>
        <v/>
      </c>
      <c r="F25" s="128" t="str">
        <f>IF('Severity wise'!O26&gt;0,('Severity wise'!O26-('Severity wise'!P26*ISO90012008!B143+'Severity wise'!Q26*ISO90012008!B144+'Severity wise'!R26*ISO90012008!B145))/'Severity wise'!O26,"")</f>
        <v/>
      </c>
      <c r="G25" s="128" t="str">
        <f>IF('Severity wise'!S26&gt;0,('Severity wise'!S26-('Severity wise'!T26*ISO90012008!B143+'Severity wise'!U26*ISO90012008!B144+'Severity wise'!V26*ISO90012008!B145))/'Severity wise'!S26,"")</f>
        <v/>
      </c>
      <c r="H25" s="64"/>
      <c r="I25" s="126" t="s">
        <v>13</v>
      </c>
      <c r="J25" s="131" t="str">
        <f>Testing!B3</f>
        <v>Build for Integration Testing</v>
      </c>
      <c r="K25" s="134" t="str">
        <f>IF('Severity wise'!C59&gt;0,('Severity wise'!C59-('Severity wise'!D59*ISO90012008!B143+'Severity wise'!E59*ISO90012008!B144+'Severity wise'!F59*ISO90012008!B145))/'Severity wise'!C59,"")</f>
        <v/>
      </c>
      <c r="L25" s="128">
        <f>IF('Severity wise'!G59&gt;0,('Severity wise'!G59-('Severity wise'!H59*ISO90012008!B143+'Severity wise'!I59*ISO90012008!B144+'Severity wise'!J59*ISO90012008!B145))/'Severity wise'!G59,"")</f>
        <v>1</v>
      </c>
      <c r="M25" s="128">
        <f>IF('Severity wise'!K59&gt;0,('Severity wise'!K59-('Severity wise'!L59*ISO90012008!B143+'Severity wise'!M59*ISO90012008!B144+'Severity wise'!N59*ISO90012008!B145))/'Severity wise'!K59,"")</f>
        <v>1</v>
      </c>
      <c r="N25" s="128">
        <f>IF('Severity wise'!O59&gt;0,('Severity wise'!O59-('Severity wise'!P59*ISO90012008!B143+'Severity wise'!Q59*ISO90012008!B144+'Severity wise'!R59*ISO90012008!B145))/'Severity wise'!O59,"")</f>
        <v>1</v>
      </c>
      <c r="O25" s="130">
        <f>IF('Severity wise'!S59&gt;0,('Severity wise'!S59-('Severity wise'!T59*ISO90012008!B143+'Severity wise'!U59*ISO90012008!B144+'Severity wise'!V59*ISO90012008!B145))/'Severity wise'!S59,"")</f>
        <v>1</v>
      </c>
    </row>
    <row r="26" spans="1:15" x14ac:dyDescent="0.2">
      <c r="A26" s="131"/>
      <c r="B26" s="133" t="str">
        <f>'Project Management'!B73</f>
        <v>Project Closure Plan</v>
      </c>
      <c r="C26" s="128">
        <f>IF('Severity wise'!C27&gt;0,('Severity wise'!C27-('Severity wise'!D27*ISO90012008!B143+'Severity wise'!E27*ISO90012008!B144+'Severity wise'!F27*ISO90012008!B145))/'Severity wise'!C27,"")</f>
        <v>1</v>
      </c>
      <c r="D26" s="128">
        <f>IF('Severity wise'!G27&gt;0,('Severity wise'!G27-('Severity wise'!H27*ISO90012008!B143+'Severity wise'!I27*ISO90012008!B144+'Severity wise'!J27*ISO90012008!B145))/'Severity wise'!G27,"")</f>
        <v>1</v>
      </c>
      <c r="E26" s="128" t="str">
        <f>IF('Severity wise'!K27&gt;0,('Severity wise'!K27-('Severity wise'!L27*ISO90012008!B143+'Severity wise'!M27*ISO90012008!B144+'Severity wise'!N27*ISO90012008!B145))/'Severity wise'!K27,"")</f>
        <v/>
      </c>
      <c r="F26" s="128" t="str">
        <f>IF('Severity wise'!O27&gt;0,('Severity wise'!O27-('Severity wise'!P27*ISO90012008!B143+'Severity wise'!Q27*ISO90012008!B144+'Severity wise'!R27*ISO90012008!B145))/'Severity wise'!O27,"")</f>
        <v/>
      </c>
      <c r="G26" s="128" t="str">
        <f>IF('Severity wise'!S27&gt;0,('Severity wise'!S27-('Severity wise'!T27*ISO90012008!B143+'Severity wise'!U27*ISO90012008!B144+'Severity wise'!V27*ISO90012008!B145))/'Severity wise'!S27,"")</f>
        <v/>
      </c>
      <c r="H26" s="64"/>
      <c r="I26" s="131"/>
      <c r="J26" s="131" t="str">
        <f>Testing!B7</f>
        <v>Integration Testing</v>
      </c>
      <c r="K26" s="134" t="str">
        <f>IF('Severity wise'!C60&gt;0,('Severity wise'!C60-('Severity wise'!D60*ISO90012008!B143+'Severity wise'!E60*ISO90012008!B144+'Severity wise'!F60*ISO90012008!B145))/'Severity wise'!C60,"")</f>
        <v/>
      </c>
      <c r="L26" s="128">
        <f>IF('Severity wise'!G60&gt;0,('Severity wise'!G60-('Severity wise'!H60*ISO90012008!B143+'Severity wise'!I60*ISO90012008!B144+'Severity wise'!J60*ISO90012008!B145))/'Severity wise'!G60,"")</f>
        <v>1</v>
      </c>
      <c r="M26" s="128">
        <f>IF('Severity wise'!K60&gt;0,('Severity wise'!K60-('Severity wise'!L60*ISO90012008!B143+'Severity wise'!M60*ISO90012008!B144+'Severity wise'!N60*ISO90012008!B145))/'Severity wise'!K60,"")</f>
        <v>1</v>
      </c>
      <c r="N26" s="128">
        <f>IF('Severity wise'!O60&gt;0,('Severity wise'!O60-('Severity wise'!P60*ISO90012008!B143+'Severity wise'!Q60*ISO90012008!B144+'Severity wise'!R60*ISO90012008!B145))/'Severity wise'!O60,"")</f>
        <v>1</v>
      </c>
      <c r="O26" s="130">
        <f>IF('Severity wise'!S60&gt;0,('Severity wise'!S60-('Severity wise'!T60*ISO90012008!B143+'Severity wise'!U60*ISO90012008!B144+'Severity wise'!V60*ISO90012008!B145))/'Severity wise'!S60,"")</f>
        <v>1</v>
      </c>
    </row>
    <row r="27" spans="1:15" x14ac:dyDescent="0.2">
      <c r="A27" s="131"/>
      <c r="B27" s="133" t="str">
        <f>'Project Management'!B75</f>
        <v>Project Management Baseline</v>
      </c>
      <c r="C27" s="128">
        <f>IF('Severity wise'!C28&gt;0,('Severity wise'!C28-('Severity wise'!D28*ISO90012008!B143+'Severity wise'!E28*ISO90012008!B144+'Severity wise'!F28*ISO90012008!B145))/'Severity wise'!C28,"")</f>
        <v>0</v>
      </c>
      <c r="D27" s="128">
        <f>IF('Severity wise'!G28&gt;0,('Severity wise'!G28-('Severity wise'!H28*ISO90012008!B143+'Severity wise'!I28*ISO90012008!B144+'Severity wise'!J28*ISO90012008!B145))/'Severity wise'!G28,"")</f>
        <v>1</v>
      </c>
      <c r="E27" s="128" t="str">
        <f>IF('Severity wise'!K28&gt;0,('Severity wise'!K28-('Severity wise'!L28*ISO90012008!B143+'Severity wise'!M28*ISO90012008!B144+'Severity wise'!N28*ISO90012008!B145))/'Severity wise'!K28,"")</f>
        <v/>
      </c>
      <c r="F27" s="128" t="str">
        <f>IF('Severity wise'!O28&gt;0,('Severity wise'!O28-('Severity wise'!P28*ISO90012008!B143+'Severity wise'!Q28*ISO90012008!B144+'Severity wise'!R28*ISO90012008!B145))/'Severity wise'!O28,"")</f>
        <v/>
      </c>
      <c r="G27" s="128" t="str">
        <f>IF('Severity wise'!S28&gt;0,('Severity wise'!S28-('Severity wise'!T28*ISO90012008!B143+'Severity wise'!U28*ISO90012008!B144+'Severity wise'!V28*ISO90012008!B145))/'Severity wise'!S28,"")</f>
        <v/>
      </c>
      <c r="H27" s="64"/>
      <c r="I27" s="131"/>
      <c r="J27" s="131" t="str">
        <f>Testing!B12</f>
        <v>Build for System Testing</v>
      </c>
      <c r="K27" s="134" t="str">
        <f>IF('Severity wise'!C61&gt;0,('Severity wise'!C61-('Severity wise'!D61*ISO90012008!B143+'Severity wise'!E61*ISO90012008!B144+'Severity wise'!F61*ISO90012008!B145))/'Severity wise'!C61,"")</f>
        <v/>
      </c>
      <c r="L27" s="128">
        <f>IF('Severity wise'!G61&gt;0,('Severity wise'!G61-('Severity wise'!H61*ISO90012008!B143+'Severity wise'!I61*ISO90012008!B144+'Severity wise'!J61*ISO90012008!B145))/'Severity wise'!G61,"")</f>
        <v>1</v>
      </c>
      <c r="M27" s="128">
        <f>IF('Severity wise'!K61&gt;0,('Severity wise'!K61-('Severity wise'!L61*ISO90012008!B143+'Severity wise'!M61*ISO90012008!B144+'Severity wise'!N61*ISO90012008!B145))/'Severity wise'!K61,"")</f>
        <v>1</v>
      </c>
      <c r="N27" s="128">
        <f>IF('Severity wise'!O61&gt;0,('Severity wise'!O61-('Severity wise'!P61*ISO90012008!B143+'Severity wise'!Q61*ISO90012008!B144+'Severity wise'!R61*ISO90012008!B145))/'Severity wise'!O61,"")</f>
        <v>1</v>
      </c>
      <c r="O27" s="130">
        <f>IF('Severity wise'!S61&gt;0,('Severity wise'!S61-('Severity wise'!T61*ISO90012008!B143+'Severity wise'!U61*ISO90012008!B144+'Severity wise'!V61*ISO90012008!B145))/'Severity wise'!S61,"")</f>
        <v>1</v>
      </c>
    </row>
    <row r="28" spans="1:15" x14ac:dyDescent="0.2">
      <c r="A28" s="131"/>
      <c r="B28" s="133"/>
      <c r="C28" s="131"/>
      <c r="D28" s="131"/>
      <c r="E28" s="131"/>
      <c r="F28" s="131"/>
      <c r="G28" s="131"/>
      <c r="H28" s="64"/>
      <c r="I28" s="131"/>
      <c r="J28" s="131" t="str">
        <f>Testing!B16</f>
        <v>System Testing</v>
      </c>
      <c r="K28" s="134">
        <f>IF('Severity wise'!C62&gt;0,('Severity wise'!C62-('Severity wise'!D62*ISO90012008!B143+'Severity wise'!E62*ISO90012008!B144+'Severity wise'!F62*ISO90012008!B145))/'Severity wise'!C62,"")</f>
        <v>1</v>
      </c>
      <c r="L28" s="128">
        <f>IF('Severity wise'!G62&gt;0,('Severity wise'!G62-('Severity wise'!H62*ISO90012008!B143+'Severity wise'!I62*ISO90012008!B144+'Severity wise'!J62*ISO90012008!B145))/'Severity wise'!G62,"")</f>
        <v>1</v>
      </c>
      <c r="M28" s="128">
        <f>IF('Severity wise'!K62&gt;0,('Severity wise'!K62-('Severity wise'!L62*ISO90012008!B143+'Severity wise'!M62*ISO90012008!B144+'Severity wise'!N62*ISO90012008!B145))/'Severity wise'!K62,"")</f>
        <v>1</v>
      </c>
      <c r="N28" s="128">
        <f>IF('Severity wise'!O62&gt;0,('Severity wise'!O62-('Severity wise'!P62*ISO90012008!B143+'Severity wise'!Q62*ISO90012008!B144+'Severity wise'!R62*ISO90012008!B145))/'Severity wise'!O62,"")</f>
        <v>1</v>
      </c>
      <c r="O28" s="130">
        <f>IF('Severity wise'!S62&gt;0,('Severity wise'!S62-('Severity wise'!T62*ISO90012008!B143+'Severity wise'!U62*ISO90012008!B144+'Severity wise'!V62*ISO90012008!B145))/'Severity wise'!S62,"")</f>
        <v>1</v>
      </c>
    </row>
    <row r="29" spans="1:15" x14ac:dyDescent="0.2">
      <c r="A29" s="126" t="s">
        <v>12</v>
      </c>
      <c r="B29" s="133" t="str">
        <f>'Monitoring &amp; Control'!B3</f>
        <v>Configuration Audits</v>
      </c>
      <c r="C29" s="128">
        <f>IF('Severity wise'!C30&gt;0,('Severity wise'!C30-('Severity wise'!D30*ISO90012008!B143+'Severity wise'!E30*ISO90012008!B144+'Severity wise'!F30*ISO90012008!B145))/'Severity wise'!C30,"")</f>
        <v>0.2857142857142857</v>
      </c>
      <c r="D29" s="128">
        <f>IF('Severity wise'!G30&gt;0,('Severity wise'!G30-('Severity wise'!H30*ISO90012008!B143+'Severity wise'!I30*ISO90012008!B144+'Severity wise'!J30*ISO90012008!B145))/'Severity wise'!G30,"")</f>
        <v>1</v>
      </c>
      <c r="E29" s="134">
        <f>IF('Severity wise'!K30&gt;0,('Severity wise'!K30-('Severity wise'!L30*ISO90012008!B143+'Severity wise'!M30*ISO90012008!B144+'Severity wise'!N30*ISO90012008!B145))/'Severity wise'!K30,"")</f>
        <v>1</v>
      </c>
      <c r="F29" s="128">
        <f>IF('Severity wise'!O30&gt;0,('Severity wise'!O30-('Severity wise'!P30*ISO90012008!B143+'Severity wise'!Q30*ISO90012008!B144+'Severity wise'!R30*ISO90012008!B145))/'Severity wise'!O30,"")</f>
        <v>1</v>
      </c>
      <c r="G29" s="128">
        <f>IF('Severity wise'!S30&gt;0,('Severity wise'!S30-('Severity wise'!T30*ISO90012008!B143+'Severity wise'!U30*ISO90012008!B144+'Severity wise'!V30*ISO90012008!B145))/'Severity wise'!S30,"")</f>
        <v>1</v>
      </c>
      <c r="H29" s="64"/>
      <c r="I29" s="131"/>
      <c r="J29" s="131" t="str">
        <f>Testing!B21</f>
        <v>Build for Regression Testing</v>
      </c>
      <c r="K29" s="134" t="str">
        <f>IF('Severity wise'!C63&gt;0,('Severity wise'!C63-('Severity wise'!D63*ISO90012008!B143+'Severity wise'!E63*ISO90012008!B144+'Severity wise'!F63*ISO90012008!B145))/'Severity wise'!C63,"")</f>
        <v/>
      </c>
      <c r="L29" s="128">
        <f>IF('Severity wise'!G63&gt;0,('Severity wise'!G63-('Severity wise'!H63*ISO90012008!B143+'Severity wise'!I63*ISO90012008!B144+'Severity wise'!J63*ISO90012008!B145))/'Severity wise'!G63,"")</f>
        <v>1</v>
      </c>
      <c r="M29" s="128">
        <f>IF('Severity wise'!K63&gt;0,('Severity wise'!K63-('Severity wise'!L63*ISO90012008!B143+'Severity wise'!M63*ISO90012008!B144+'Severity wise'!N63*ISO90012008!B145))/'Severity wise'!K63,"")</f>
        <v>1</v>
      </c>
      <c r="N29" s="128">
        <f>IF('Severity wise'!O63&gt;0,('Severity wise'!O63-('Severity wise'!P63*ISO90012008!B143+'Severity wise'!Q63*ISO90012008!B144+'Severity wise'!R63*ISO90012008!B145))/'Severity wise'!O63,"")</f>
        <v>1</v>
      </c>
      <c r="O29" s="130">
        <f>IF('Severity wise'!S63&gt;0,('Severity wise'!S63-('Severity wise'!T63*ISO90012008!B143+'Severity wise'!U63*ISO90012008!B144+'Severity wise'!V63*ISO90012008!B145))/'Severity wise'!S63,"")</f>
        <v>1</v>
      </c>
    </row>
    <row r="30" spans="1:15" x14ac:dyDescent="0.2">
      <c r="A30" s="131"/>
      <c r="B30" s="133" t="str">
        <f>'Monitoring &amp; Control'!B7</f>
        <v>Access Permissions</v>
      </c>
      <c r="C30" s="128">
        <f>IF('Severity wise'!C31&gt;0,('Severity wise'!C31-('Severity wise'!D31*ISO90012008!B143+'Severity wise'!E31*ISO90012008!B144+'Severity wise'!F31*ISO90012008!B145))/'Severity wise'!C31,"")</f>
        <v>1</v>
      </c>
      <c r="D30" s="128">
        <f>IF('Severity wise'!G31&gt;0,('Severity wise'!G31-('Severity wise'!H31*ISO90012008!B143+'Severity wise'!I31*ISO90012008!B144+'Severity wise'!J31*ISO90012008!B145))/'Severity wise'!G31,"")</f>
        <v>1</v>
      </c>
      <c r="E30" s="134">
        <f>IF('Severity wise'!K31&gt;0,('Severity wise'!K31-('Severity wise'!L31*ISO90012008!B143+'Severity wise'!M31*ISO90012008!B144+'Severity wise'!N31*ISO90012008!B145))/'Severity wise'!K31,"")</f>
        <v>1</v>
      </c>
      <c r="F30" s="128">
        <f>IF('Severity wise'!O31&gt;0,('Severity wise'!O31-('Severity wise'!P31*ISO90012008!B143+'Severity wise'!Q31*ISO90012008!B144+'Severity wise'!R31*ISO90012008!B145))/'Severity wise'!O31,"")</f>
        <v>1</v>
      </c>
      <c r="G30" s="128">
        <f>IF('Severity wise'!S31&gt;0,('Severity wise'!S31-('Severity wise'!T31*ISO90012008!B143+'Severity wise'!U31*ISO90012008!B144+'Severity wise'!V31*ISO90012008!B145))/'Severity wise'!S31,"")</f>
        <v>1</v>
      </c>
      <c r="H30" s="64"/>
      <c r="I30" s="131"/>
      <c r="J30" s="131" t="str">
        <f>Testing!B25</f>
        <v>Regression Testing</v>
      </c>
      <c r="K30" s="134" t="str">
        <f>IF('Severity wise'!C64&gt;0,('Severity wise'!C64-('Severity wise'!D64*ISO90012008!B143+'Severity wise'!E64*ISO90012008!B144+'Severity wise'!F64*ISO90012008!B145))/'Severity wise'!C64,"")</f>
        <v/>
      </c>
      <c r="L30" s="128">
        <f>IF('Severity wise'!G64&gt;0,('Severity wise'!G64-('Severity wise'!H64*ISO90012008!B143+'Severity wise'!I64*ISO90012008!B144+'Severity wise'!J64*ISO90012008!B145))/'Severity wise'!G64,"")</f>
        <v>1</v>
      </c>
      <c r="M30" s="128">
        <f>IF('Severity wise'!K64&gt;0,('Severity wise'!K64-('Severity wise'!L64*ISO90012008!B143+'Severity wise'!M64*ISO90012008!B144+'Severity wise'!N64*ISO90012008!B145))/'Severity wise'!K64,"")</f>
        <v>1</v>
      </c>
      <c r="N30" s="128">
        <f>IF('Severity wise'!O64&gt;0,('Severity wise'!O64-('Severity wise'!P64*ISO90012008!B143+'Severity wise'!Q64*ISO90012008!B144+'Severity wise'!R64*ISO90012008!B145))/'Severity wise'!O64,"")</f>
        <v>1</v>
      </c>
      <c r="O30" s="130">
        <f>IF('Severity wise'!S64&gt;0,('Severity wise'!S64-('Severity wise'!T64*ISO90012008!B143+'Severity wise'!U64*ISO90012008!B144+'Severity wise'!V64*ISO90012008!B145))/'Severity wise'!S64,"")</f>
        <v>1</v>
      </c>
    </row>
    <row r="31" spans="1:15" x14ac:dyDescent="0.2">
      <c r="A31" s="131"/>
      <c r="B31" s="133" t="str">
        <f>'Monitoring &amp; Control'!B9</f>
        <v>Backups</v>
      </c>
      <c r="C31" s="128">
        <f>IF('Severity wise'!C32&gt;0,('Severity wise'!C32-('Severity wise'!D32*ISO90012008!B143+'Severity wise'!E32*ISO90012008!B144+'Severity wise'!F32*ISO90012008!B145))/'Severity wise'!C32,"")</f>
        <v>0</v>
      </c>
      <c r="D31" s="128">
        <f>IF('Severity wise'!G32&gt;0,('Severity wise'!G32-('Severity wise'!H32*ISO90012008!B143+'Severity wise'!I32*ISO90012008!B144+'Severity wise'!J32*ISO90012008!B145))/'Severity wise'!G32,"")</f>
        <v>1</v>
      </c>
      <c r="E31" s="134">
        <f>IF('Severity wise'!K32&gt;0,('Severity wise'!K32-('Severity wise'!L32*ISO90012008!B143+'Severity wise'!M32*ISO90012008!B144+'Severity wise'!N32*ISO90012008!B145))/'Severity wise'!K32,"")</f>
        <v>1</v>
      </c>
      <c r="F31" s="128">
        <f>IF('Severity wise'!O32&gt;0,('Severity wise'!O32-('Severity wise'!P32*ISO90012008!B143+'Severity wise'!Q32*ISO90012008!B144+'Severity wise'!R32*ISO90012008!B145))/'Severity wise'!O32,"")</f>
        <v>1</v>
      </c>
      <c r="G31" s="128">
        <f>IF('Severity wise'!S32&gt;0,('Severity wise'!S32-('Severity wise'!T32*ISO90012008!B143+'Severity wise'!U32*ISO90012008!B144+'Severity wise'!V32*ISO90012008!B145))/'Severity wise'!S32,"")</f>
        <v>1</v>
      </c>
      <c r="H31" s="64"/>
      <c r="I31" s="131"/>
      <c r="J31" s="131" t="str">
        <f>Testing!B30</f>
        <v>Build for Load/Performance Testing</v>
      </c>
      <c r="K31" s="134" t="str">
        <f>IF('Severity wise'!C65&gt;0,('Severity wise'!C65-('Severity wise'!D65*ISO90012008!B143+'Severity wise'!E65*ISO90012008!B144+'Severity wise'!F65*ISO90012008!B145))/'Severity wise'!C65,"")</f>
        <v/>
      </c>
      <c r="L31" s="128">
        <f>IF('Severity wise'!G65&gt;0,('Severity wise'!G65-('Severity wise'!H65*ISO90012008!B143+'Severity wise'!I65*ISO90012008!B144+'Severity wise'!J65*ISO90012008!B145))/'Severity wise'!G65,"")</f>
        <v>1</v>
      </c>
      <c r="M31" s="128">
        <f>IF('Severity wise'!K65&gt;0,('Severity wise'!K65-('Severity wise'!L65*ISO90012008!B143+'Severity wise'!M65*ISO90012008!B144+'Severity wise'!N65*ISO90012008!B145))/'Severity wise'!K65,"")</f>
        <v>1</v>
      </c>
      <c r="N31" s="128">
        <f>IF('Severity wise'!O65&gt;0,('Severity wise'!O65-('Severity wise'!P65*ISO90012008!B143+'Severity wise'!Q65*ISO90012008!B144+'Severity wise'!R65*ISO90012008!B145))/'Severity wise'!O65,"")</f>
        <v>1</v>
      </c>
      <c r="O31" s="130">
        <f>IF('Severity wise'!S65&gt;0,('Severity wise'!S65-('Severity wise'!T65*ISO90012008!B143+'Severity wise'!U65*ISO90012008!B144+'Severity wise'!V65*ISO90012008!B145))/'Severity wise'!S65,"")</f>
        <v>1</v>
      </c>
    </row>
    <row r="32" spans="1:15" x14ac:dyDescent="0.2">
      <c r="A32" s="131"/>
      <c r="B32" s="133" t="str">
        <f>'Monitoring &amp; Control'!B13</f>
        <v>Change Management</v>
      </c>
      <c r="C32" s="128" t="str">
        <f>IF('Severity wise'!C33&gt;0,('Severity wise'!C33-('Severity wise'!D33*ISO90012008!B143+'Severity wise'!E33*ISO90012008!B144+'Severity wise'!F33*ISO90012008!B145))/'Severity wise'!C33,"")</f>
        <v/>
      </c>
      <c r="D32" s="128">
        <f>IF('Severity wise'!G33&gt;0,('Severity wise'!G33-('Severity wise'!H33*ISO90012008!B143+'Severity wise'!I33*ISO90012008!B144+'Severity wise'!J33*ISO90012008!B145))/'Severity wise'!G33,"")</f>
        <v>1</v>
      </c>
      <c r="E32" s="134">
        <f>IF('Severity wise'!K33&gt;0,('Severity wise'!K33-('Severity wise'!L33*ISO90012008!B143+'Severity wise'!M33*ISO90012008!B144+'Severity wise'!N33*ISO90012008!B145))/'Severity wise'!K33,"")</f>
        <v>1</v>
      </c>
      <c r="F32" s="128">
        <f>IF('Severity wise'!O33&gt;0,('Severity wise'!O33-('Severity wise'!P33*ISO90012008!B143+'Severity wise'!Q33*ISO90012008!B144+'Severity wise'!R33*ISO90012008!B145))/'Severity wise'!O33,"")</f>
        <v>1</v>
      </c>
      <c r="G32" s="128">
        <f>IF('Severity wise'!S33&gt;0,('Severity wise'!S33-('Severity wise'!T33*ISO90012008!B143+'Severity wise'!U33*ISO90012008!B144+'Severity wise'!V33*ISO90012008!B145))/'Severity wise'!S33,"")</f>
        <v>1</v>
      </c>
      <c r="H32" s="64"/>
      <c r="I32" s="126"/>
      <c r="J32" s="131" t="str">
        <f>Testing!B34</f>
        <v>Load/Performance Testing</v>
      </c>
      <c r="K32" s="134" t="str">
        <f>IF('Severity wise'!C66&gt;0,('Severity wise'!C66-('Severity wise'!D66*ISO90012008!B143+'Severity wise'!E66*ISO90012008!B144+'Severity wise'!F66*ISO90012008!B145))/'Severity wise'!C66,"")</f>
        <v/>
      </c>
      <c r="L32" s="128">
        <f>IF('Severity wise'!G66&gt;0,('Severity wise'!G66-('Severity wise'!H66*ISO90012008!B143+'Severity wise'!I66*ISO90012008!B144+'Severity wise'!J66*ISO90012008!B145))/'Severity wise'!G66,"")</f>
        <v>1</v>
      </c>
      <c r="M32" s="128">
        <f>IF('Severity wise'!K66&gt;0,('Severity wise'!K66-('Severity wise'!L66*ISO90012008!B143+'Severity wise'!M66*ISO90012008!B144+'Severity wise'!N66*ISO90012008!B145))/'Severity wise'!K66,"")</f>
        <v>1</v>
      </c>
      <c r="N32" s="128">
        <f>IF('Severity wise'!O66&gt;0,('Severity wise'!O66-('Severity wise'!P66*ISO90012008!B143+'Severity wise'!Q66*ISO90012008!B144+'Severity wise'!R66*ISO90012008!B145))/'Severity wise'!O66,"")</f>
        <v>1</v>
      </c>
      <c r="O32" s="130">
        <f>IF('Severity wise'!S66&gt;0,('Severity wise'!S66-('Severity wise'!T66*ISO90012008!B143+'Severity wise'!U66*ISO90012008!B144+'Severity wise'!V66*ISO90012008!B145))/'Severity wise'!S66,"")</f>
        <v>1</v>
      </c>
    </row>
    <row r="33" spans="1:15" x14ac:dyDescent="0.2">
      <c r="A33" s="131"/>
      <c r="B33" s="133" t="str">
        <f>'Monitoring &amp; Control'!B22</f>
        <v>Metrics</v>
      </c>
      <c r="C33" s="128">
        <f>IF('Severity wise'!C34&gt;0,('Severity wise'!C34-('Severity wise'!D34*ISO90012008!B143+'Severity wise'!E34*ISO90012008!B144+'Severity wise'!F34*ISO90012008!B145))/'Severity wise'!C34,"")</f>
        <v>0</v>
      </c>
      <c r="D33" s="128">
        <f>IF('Severity wise'!G34&gt;0,('Severity wise'!G34-('Severity wise'!H34*ISO90012008!B143+'Severity wise'!I34*ISO90012008!B144+'Severity wise'!J34*ISO90012008!B145))/'Severity wise'!G34,"")</f>
        <v>1</v>
      </c>
      <c r="E33" s="134">
        <f>IF('Severity wise'!K34&gt;0,('Severity wise'!K34-('Severity wise'!L34*ISO90012008!B143+'Severity wise'!M34*ISO90012008!B144+'Severity wise'!N34*ISO90012008!B145))/'Severity wise'!K34,"")</f>
        <v>1</v>
      </c>
      <c r="F33" s="128">
        <f>IF('Severity wise'!O34&gt;0,('Severity wise'!O34-('Severity wise'!P34*ISO90012008!B143+'Severity wise'!Q34*ISO90012008!B144+'Severity wise'!R34*ISO90012008!B145))/'Severity wise'!O34,"")</f>
        <v>1</v>
      </c>
      <c r="G33" s="128">
        <f>IF('Severity wise'!S34&gt;0,('Severity wise'!S34-('Severity wise'!T34*ISO90012008!B143+'Severity wise'!U34*ISO90012008!B144+'Severity wise'!V34*ISO90012008!B145))/'Severity wise'!S34,"")</f>
        <v>1</v>
      </c>
      <c r="H33" s="64"/>
      <c r="I33" s="126"/>
      <c r="J33" s="131"/>
      <c r="K33" s="134"/>
      <c r="L33" s="134"/>
      <c r="M33" s="134"/>
      <c r="N33" s="134"/>
      <c r="O33" s="135"/>
    </row>
    <row r="34" spans="1:15" x14ac:dyDescent="0.2">
      <c r="A34" s="131"/>
      <c r="B34" s="133" t="str">
        <f>'Monitoring &amp; Control'!B27</f>
        <v>Risk Management</v>
      </c>
      <c r="C34" s="128">
        <f>IF('Severity wise'!C35&gt;0,('Severity wise'!C35-('Severity wise'!D35*ISO90012008!B143+'Severity wise'!E35*ISO90012008!B144+'Severity wise'!F35*ISO90012008!B145))/'Severity wise'!C35,"")</f>
        <v>0</v>
      </c>
      <c r="D34" s="128">
        <f>IF('Severity wise'!G35&gt;0,('Severity wise'!G35-('Severity wise'!H35*ISO90012008!B143+'Severity wise'!I35*ISO90012008!B144+'Severity wise'!J35*ISO90012008!B145))/'Severity wise'!G35,"")</f>
        <v>1</v>
      </c>
      <c r="E34" s="134">
        <f>IF('Severity wise'!K35&gt;0,('Severity wise'!K35-('Severity wise'!L35*ISO90012008!B143+'Severity wise'!M35*ISO90012008!B144+'Severity wise'!N35*ISO90012008!B145))/'Severity wise'!K35,"")</f>
        <v>1</v>
      </c>
      <c r="F34" s="128">
        <f>IF('Severity wise'!O35&gt;0,('Severity wise'!O35-('Severity wise'!P35*ISO90012008!B143+'Severity wise'!Q35*ISO90012008!B144+'Severity wise'!R35*ISO90012008!B145))/'Severity wise'!O35,"")</f>
        <v>1</v>
      </c>
      <c r="G34" s="128">
        <f>IF('Severity wise'!S35&gt;0,('Severity wise'!S35-('Severity wise'!T35*ISO90012008!B143+'Severity wise'!U35*ISO90012008!B144+'Severity wise'!V35*ISO90012008!B145))/'Severity wise'!S35,"")</f>
        <v>1</v>
      </c>
      <c r="H34" s="64"/>
      <c r="I34" s="126"/>
      <c r="J34" s="131"/>
      <c r="K34" s="134"/>
      <c r="L34" s="128"/>
      <c r="M34" s="128"/>
      <c r="N34" s="128"/>
      <c r="O34" s="130"/>
    </row>
    <row r="35" spans="1:15" x14ac:dyDescent="0.2">
      <c r="A35" s="131"/>
      <c r="B35" s="133" t="str">
        <f>'Monitoring &amp; Control'!B29</f>
        <v>Issue Management</v>
      </c>
      <c r="C35" s="128">
        <f>IF('Severity wise'!C36&gt;0,('Severity wise'!C36-('Severity wise'!D36*ISO90012008!B143+'Severity wise'!E36*ISO90012008!B144+'Severity wise'!F36*ISO90012008!B145))/'Severity wise'!C36,"")</f>
        <v>0</v>
      </c>
      <c r="D35" s="128">
        <f>IF('Severity wise'!G36&gt;0,('Severity wise'!G36-('Severity wise'!H36*ISO90012008!B143+'Severity wise'!I36*ISO90012008!B144+'Severity wise'!J36*ISO90012008!B145))/'Severity wise'!G36,"")</f>
        <v>1</v>
      </c>
      <c r="E35" s="134">
        <f>IF('Severity wise'!K36&gt;0,('Severity wise'!K36-('Severity wise'!L36*ISO90012008!B143+'Severity wise'!M36*ISO90012008!B144+'Severity wise'!N36*ISO90012008!B145))/'Severity wise'!K36,"")</f>
        <v>1</v>
      </c>
      <c r="F35" s="128">
        <f>IF('Severity wise'!O36&gt;0,('Severity wise'!O36-('Severity wise'!P36*ISO90012008!B143+'Severity wise'!Q36*ISO90012008!B144+'Severity wise'!R36*ISO90012008!B145))/'Severity wise'!O36,"")</f>
        <v>1</v>
      </c>
      <c r="G35" s="128">
        <f>IF('Severity wise'!S36&gt;0,('Severity wise'!S36-('Severity wise'!T36*ISO90012008!B143+'Severity wise'!U36*ISO90012008!B144+'Severity wise'!V36*ISO90012008!B145))/'Severity wise'!S36,"")</f>
        <v>1</v>
      </c>
      <c r="H35" s="64"/>
      <c r="I35" s="126" t="s">
        <v>561</v>
      </c>
      <c r="J35" s="131" t="str">
        <f>Delivery!B3</f>
        <v>Acceptance</v>
      </c>
      <c r="K35" s="134">
        <f>IF('Severity wise'!C68&gt;0,('Severity wise'!C68-('Severity wise'!D68*ISO90012008!B143+'Severity wise'!E68*ISO90012008!B144+'Severity wise'!F68*ISO90012008!B145))/'Severity wise'!C68,"")</f>
        <v>1</v>
      </c>
      <c r="L35" s="128">
        <f>IF('Severity wise'!G68&gt;0,('Severity wise'!G68-('Severity wise'!H68*ISO90012008!B143+'Severity wise'!I68*ISO90012008!B144+'Severity wise'!J68*ISO90012008!B145))/'Severity wise'!G68,"")</f>
        <v>1</v>
      </c>
      <c r="M35" s="128" t="str">
        <f>IF('Severity wise'!K68&gt;0,('Severity wise'!K68-('Severity wise'!L68*ISO90012008!B143+'Severity wise'!M68*ISO90012008!B144+'Severity wise'!N68*ISO90012008!B145))/'Severity wise'!K68,"")</f>
        <v/>
      </c>
      <c r="N35" s="128" t="str">
        <f>IF('Severity wise'!O68&gt;0,('Severity wise'!O68-('Severity wise'!P68*ISO90012008!B143+'Severity wise'!Q68*ISO90012008!B144+'Severity wise'!R68*ISO90012008!B145))/'Severity wise'!O68,"")</f>
        <v/>
      </c>
      <c r="O35" s="130" t="str">
        <f>IF('Severity wise'!S68&gt;0,('Severity wise'!S68-('Severity wise'!T68*ISO90012008!B143+'Severity wise'!U68*ISO90012008!B144+'Severity wise'!V68*ISO90012008!B145))/'Severity wise'!S68,"")</f>
        <v/>
      </c>
    </row>
    <row r="36" spans="1:15" x14ac:dyDescent="0.2">
      <c r="A36" s="131"/>
      <c r="B36" s="133" t="str">
        <f>'Monitoring &amp; Control'!B31</f>
        <v>Actiion Item Tracking</v>
      </c>
      <c r="C36" s="128" t="str">
        <f>IF('Severity wise'!C37&gt;0,('Severity wise'!C37-('Severity wise'!D37*ISO90012008!B143+'Severity wise'!E37*ISO90012008!B144+'Severity wise'!F37*ISO90012008!B145))/'Severity wise'!C37,"")</f>
        <v/>
      </c>
      <c r="D36" s="128">
        <f>IF('Severity wise'!G37&gt;0,('Severity wise'!G37-('Severity wise'!H37*ISO90012008!B143+'Severity wise'!I37*ISO90012008!B144+'Severity wise'!J37*ISO90012008!B145))/'Severity wise'!G37,"")</f>
        <v>1</v>
      </c>
      <c r="E36" s="134">
        <f>IF('Severity wise'!K37&gt;0,('Severity wise'!K37-('Severity wise'!L37*ISO90012008!B143+'Severity wise'!M37*ISO90012008!B144+'Severity wise'!N37*ISO90012008!B145))/'Severity wise'!K37,"")</f>
        <v>1</v>
      </c>
      <c r="F36" s="128">
        <f>IF('Severity wise'!O37&gt;0,('Severity wise'!O37-('Severity wise'!P37*ISO90012008!B143+'Severity wise'!Q37*ISO90012008!B144+'Severity wise'!R37*ISO90012008!B145))/'Severity wise'!O37,"")</f>
        <v>1</v>
      </c>
      <c r="G36" s="128">
        <f>IF('Severity wise'!S37&gt;0,('Severity wise'!S37-('Severity wise'!T37*ISO90012008!B143+'Severity wise'!U37*ISO90012008!B144+'Severity wise'!V37*ISO90012008!B145))/'Severity wise'!S37,"")</f>
        <v>1</v>
      </c>
      <c r="H36" s="64"/>
      <c r="I36" s="131"/>
      <c r="J36" s="131"/>
      <c r="K36" s="134"/>
      <c r="L36" s="128"/>
      <c r="M36" s="128"/>
      <c r="N36" s="128"/>
      <c r="O36" s="130"/>
    </row>
    <row r="37" spans="1:15" x14ac:dyDescent="0.2">
      <c r="A37" s="131"/>
      <c r="B37" s="133" t="str">
        <f>'Monitoring &amp; Control'!B33</f>
        <v>Review Defect Tracking</v>
      </c>
      <c r="C37" s="128">
        <f>IF('Severity wise'!C38&gt;0,('Severity wise'!C38-('Severity wise'!D38*ISO90012008!B143+'Severity wise'!E38*ISO90012008!B144+'Severity wise'!F38*ISO90012008!B145))/'Severity wise'!C38,"")</f>
        <v>0</v>
      </c>
      <c r="D37" s="128">
        <f>IF('Severity wise'!G38&gt;0,('Severity wise'!G38-('Severity wise'!H38*ISO90012008!B143+'Severity wise'!I38*ISO90012008!B144+'Severity wise'!J38*ISO90012008!B145))/'Severity wise'!G38,"")</f>
        <v>1</v>
      </c>
      <c r="E37" s="134">
        <f>IF('Severity wise'!K38&gt;0,('Severity wise'!K38-('Severity wise'!L38*ISO90012008!B143+'Severity wise'!M38*ISO90012008!B144+'Severity wise'!N38*ISO90012008!B145))/'Severity wise'!K38,"")</f>
        <v>1</v>
      </c>
      <c r="F37" s="128">
        <f>IF('Severity wise'!O38&gt;0,('Severity wise'!O38-('Severity wise'!P38*ISO90012008!B143+'Severity wise'!Q38*ISO90012008!B144+'Severity wise'!R38*ISO90012008!B145))/'Severity wise'!O38,"")</f>
        <v>1</v>
      </c>
      <c r="G37" s="128">
        <f>IF('Severity wise'!S38&gt;0,('Severity wise'!S38-('Severity wise'!T38*ISO90012008!B143+'Severity wise'!U38*ISO90012008!B144+'Severity wise'!V38*ISO90012008!B145))/'Severity wise'!S38,"")</f>
        <v>1</v>
      </c>
      <c r="H37" s="64"/>
      <c r="I37" s="131"/>
      <c r="J37" s="131"/>
      <c r="K37" s="134"/>
      <c r="L37" s="134"/>
      <c r="M37" s="134"/>
      <c r="N37" s="134"/>
      <c r="O37" s="135"/>
    </row>
    <row r="38" spans="1:15" x14ac:dyDescent="0.2">
      <c r="A38" s="131"/>
      <c r="B38" s="133" t="str">
        <f>'Monitoring &amp; Control'!B35</f>
        <v>Test Defect Tracking</v>
      </c>
      <c r="C38" s="128">
        <f>IF('Severity wise'!C39&gt;0,('Severity wise'!C39-('Severity wise'!D39*ISO90012008!B143+'Severity wise'!E39*ISO90012008!B144+'Severity wise'!F39*ISO90012008!B145))/'Severity wise'!C39,"")</f>
        <v>1</v>
      </c>
      <c r="D38" s="128">
        <f>IF('Severity wise'!G39&gt;0,('Severity wise'!G39-('Severity wise'!H39*ISO90012008!B143+'Severity wise'!I39*ISO90012008!B144+'Severity wise'!J39*ISO90012008!B145))/'Severity wise'!G39,"")</f>
        <v>1</v>
      </c>
      <c r="E38" s="134">
        <f>IF('Severity wise'!K39&gt;0,('Severity wise'!K39-('Severity wise'!L39*ISO90012008!B143+'Severity wise'!M39*ISO90012008!B144+'Severity wise'!N39*ISO90012008!B145))/'Severity wise'!K39,"")</f>
        <v>1</v>
      </c>
      <c r="F38" s="128">
        <f>IF('Severity wise'!O39&gt;0,('Severity wise'!O39-('Severity wise'!P39*ISO90012008!B143+'Severity wise'!Q39*ISO90012008!B144+'Severity wise'!R39*ISO90012008!B145))/'Severity wise'!O39,"")</f>
        <v>1</v>
      </c>
      <c r="G38" s="128">
        <f>IF('Severity wise'!S39&gt;0,('Severity wise'!S39-('Severity wise'!T39*ISO90012008!B143+'Severity wise'!U39*ISO90012008!B144+'Severity wise'!V39*ISO90012008!B145))/'Severity wise'!S39,"")</f>
        <v>1</v>
      </c>
      <c r="H38" s="64"/>
      <c r="I38" s="126" t="s">
        <v>29</v>
      </c>
      <c r="J38" s="129" t="s">
        <v>505</v>
      </c>
      <c r="K38" s="134" t="str">
        <f>IF('Severity wise'!C70&gt;0,('Severity wise'!C70-('Severity wise'!D70*ISO90012008!B143+'Severity wise'!E70*ISO90012008!B144+'Severity wise'!F70*ISO90012008!B145))/'Severity wise'!C70,"")</f>
        <v/>
      </c>
      <c r="L38" s="128" t="str">
        <f>IF('Severity wise'!G70&gt;0,('Severity wise'!G70-('Severity wise'!H70*ISO90012008!B143+'Severity wise'!I70*ISO90012008!B144+'Severity wise'!J70*ISO90012008!B145))/'Severity wise'!G70,"")</f>
        <v/>
      </c>
      <c r="M38" s="128" t="str">
        <f>IF('Severity wise'!K70&gt;0,('Severity wise'!K70-('Severity wise'!L70*ISO90012008!B143+'Severity wise'!M70*ISO90012008!B144+'Severity wise'!N70*ISO90012008!B145))/'Severity wise'!K70,"")</f>
        <v/>
      </c>
      <c r="N38" s="128" t="str">
        <f>IF('Severity wise'!O70&gt;0,('Severity wise'!O70-('Severity wise'!P70*ISO90012008!B143+'Severity wise'!Q70*ISO90012008!B144+'Severity wise'!R70*ISO90012008!B145))/'Severity wise'!O70,"")</f>
        <v/>
      </c>
      <c r="O38" s="130" t="str">
        <f>IF('Severity wise'!S70&gt;0,('Severity wise'!S70-('Severity wise'!T70*ISO90012008!B143+'Severity wise'!U70*ISO90012008!B144+'Severity wise'!V70*ISO90012008!B145))/'Severity wise'!S70,"")</f>
        <v/>
      </c>
    </row>
    <row r="39" spans="1:15" x14ac:dyDescent="0.2">
      <c r="A39" s="131"/>
      <c r="B39" s="133" t="str">
        <f>'Monitoring &amp; Control'!B37</f>
        <v>Internal Audit Findings Tracking</v>
      </c>
      <c r="C39" s="128">
        <f>IF('Severity wise'!C40&gt;0,('Severity wise'!C40-('Severity wise'!D40*ISO90012008!B143+'Severity wise'!E40*ISO90012008!B144+'Severity wise'!F40*ISO90012008!B145))/'Severity wise'!C40,"")</f>
        <v>1</v>
      </c>
      <c r="D39" s="128">
        <f>IF('Severity wise'!G40&gt;0,('Severity wise'!G40-('Severity wise'!H40*ISO90012008!B143+'Severity wise'!I40*ISO90012008!B144+'Severity wise'!J40*ISO90012008!B145))/'Severity wise'!G40,"")</f>
        <v>1</v>
      </c>
      <c r="E39" s="134">
        <f>IF('Severity wise'!K40&gt;0,('Severity wise'!K40-('Severity wise'!L40*ISO90012008!B143+'Severity wise'!M40*ISO90012008!B144+'Severity wise'!N40*ISO90012008!B145))/'Severity wise'!K40,"")</f>
        <v>1</v>
      </c>
      <c r="F39" s="128">
        <f>IF('Severity wise'!O40&gt;0,('Severity wise'!O40-('Severity wise'!P40*ISO90012008!B143+'Severity wise'!Q40*ISO90012008!B144+'Severity wise'!R40*ISO90012008!B145))/'Severity wise'!O40,"")</f>
        <v>1</v>
      </c>
      <c r="G39" s="128">
        <f>IF('Severity wise'!S40&gt;0,('Severity wise'!S40-('Severity wise'!T40*ISO90012008!B143+'Severity wise'!U40*ISO90012008!B144+'Severity wise'!V40*ISO90012008!B145))/'Severity wise'!S40,"")</f>
        <v>1</v>
      </c>
      <c r="H39" s="64"/>
      <c r="I39" s="136"/>
      <c r="J39" s="136"/>
      <c r="K39" s="136"/>
      <c r="L39" s="136"/>
      <c r="M39" s="136"/>
      <c r="N39" s="136"/>
      <c r="O39" s="137"/>
    </row>
    <row r="40" spans="1:15" x14ac:dyDescent="0.2">
      <c r="A40" s="131"/>
      <c r="B40" s="133" t="str">
        <f>'Monitoring &amp; Control'!B40</f>
        <v>Trainings</v>
      </c>
      <c r="C40" s="128">
        <f>IF('Severity wise'!C41&gt;0,('Severity wise'!C41-('Severity wise'!D41*ISO90012008!B143+'Severity wise'!E41*ISO90012008!B144+'Severity wise'!F41*ISO90012008!B145))/'Severity wise'!C41,"")</f>
        <v>1</v>
      </c>
      <c r="D40" s="128">
        <f>IF('Severity wise'!G41&gt;0,('Severity wise'!G41-('Severity wise'!H41*ISO90012008!B143+'Severity wise'!I41*ISO90012008!B144+'Severity wise'!J41*ISO90012008!B145))/'Severity wise'!G41,"")</f>
        <v>1</v>
      </c>
      <c r="E40" s="134">
        <f>IF('Severity wise'!K41&gt;0,('Severity wise'!K41-('Severity wise'!L41*ISO90012008!B143+'Severity wise'!M41*ISO90012008!B144+'Severity wise'!N41*ISO90012008!B145))/'Severity wise'!K41,"")</f>
        <v>1</v>
      </c>
      <c r="F40" s="128">
        <f>IF('Severity wise'!O41&gt;0,('Severity wise'!O41-('Severity wise'!P41*ISO90012008!B143+'Severity wise'!Q41*ISO90012008!B144+'Severity wise'!R41*ISO90012008!B145))/'Severity wise'!O41,"")</f>
        <v>1</v>
      </c>
      <c r="G40" s="128">
        <f>IF('Severity wise'!S41&gt;0,('Severity wise'!S41-('Severity wise'!T41*ISO90012008!B143+'Severity wise'!U41*ISO90012008!B144+'Severity wise'!V41*ISO90012008!B145))/'Severity wise'!S41,"")</f>
        <v>1</v>
      </c>
      <c r="H40" s="64"/>
      <c r="I40" s="136"/>
      <c r="J40" s="136"/>
      <c r="K40" s="136"/>
      <c r="L40" s="136"/>
      <c r="M40" s="136"/>
      <c r="N40" s="136"/>
      <c r="O40" s="137"/>
    </row>
    <row r="41" spans="1:15" ht="13.5" thickBot="1" x14ac:dyDescent="0.25">
      <c r="A41" s="138"/>
      <c r="B41" s="139" t="str">
        <f>'Monitoring &amp; Control'!B42</f>
        <v>Status Reviews</v>
      </c>
      <c r="C41" s="128">
        <f>IF('Severity wise'!C42&gt;0,('Severity wise'!C42-('Severity wise'!D42*ISO90012008!B143+'Severity wise'!E42*ISO90012008!B144+'Severity wise'!F42*ISO90012008!B145))/'Severity wise'!C42,"")</f>
        <v>0</v>
      </c>
      <c r="D41" s="128">
        <f>IF('Severity wise'!G42&gt;0,('Severity wise'!G42-('Severity wise'!H42*ISO90012008!B143+'Severity wise'!I42*ISO90012008!B144+'Severity wise'!J42*ISO90012008!B145))/'Severity wise'!G42,"")</f>
        <v>1</v>
      </c>
      <c r="E41" s="134">
        <f>IF('Severity wise'!K42&gt;0,('Severity wise'!K42-('Severity wise'!L42*ISO90012008!B143+'Severity wise'!M42*ISO90012008!B144+'Severity wise'!N42*ISO90012008!B145))/'Severity wise'!K42,"")</f>
        <v>1</v>
      </c>
      <c r="F41" s="128">
        <f>IF('Severity wise'!O42&gt;0,('Severity wise'!O42-('Severity wise'!P42*ISO90012008!B143+'Severity wise'!Q42*ISO90012008!B144+'Severity wise'!R42*ISO90012008!B145))/'Severity wise'!O42,"")</f>
        <v>1</v>
      </c>
      <c r="G41" s="128">
        <f>IF('Severity wise'!S42&gt;0,('Severity wise'!S42-('Severity wise'!T42*ISO90012008!B143+'Severity wise'!U42*ISO90012008!B144+'Severity wise'!V42*ISO90012008!B145))/'Severity wise'!S42,"")</f>
        <v>1</v>
      </c>
      <c r="H41" s="140"/>
      <c r="I41" s="141"/>
      <c r="J41" s="141"/>
      <c r="K41" s="136"/>
      <c r="L41" s="136"/>
      <c r="M41" s="136"/>
      <c r="N41" s="136"/>
      <c r="O41" s="137"/>
    </row>
    <row r="42" spans="1:15" x14ac:dyDescent="0.2">
      <c r="A42" s="154"/>
      <c r="B42" s="154"/>
      <c r="C42" s="181"/>
      <c r="D42" s="181"/>
      <c r="E42" s="181"/>
      <c r="F42" s="181"/>
      <c r="G42" s="181"/>
      <c r="H42" s="64"/>
      <c r="I42" s="64"/>
      <c r="J42" s="64"/>
      <c r="K42" s="181"/>
      <c r="L42" s="181"/>
      <c r="M42" s="181"/>
      <c r="N42" s="181"/>
      <c r="O42" s="181"/>
    </row>
    <row r="43" spans="1:15" ht="13.5" thickBot="1" x14ac:dyDescent="0.25">
      <c r="A43" s="154"/>
      <c r="B43" s="154"/>
      <c r="C43" s="155"/>
      <c r="D43" s="155"/>
      <c r="E43" s="156"/>
      <c r="F43" s="155"/>
      <c r="G43" s="155"/>
      <c r="H43" s="64"/>
      <c r="I43" s="64"/>
      <c r="J43" s="64"/>
      <c r="K43" s="64"/>
      <c r="L43" s="64"/>
      <c r="M43" s="64"/>
      <c r="N43" s="64"/>
      <c r="O43" s="64"/>
    </row>
    <row r="44" spans="1:15" ht="13.5" thickBot="1" x14ac:dyDescent="0.25">
      <c r="A44" s="122" t="s">
        <v>444</v>
      </c>
      <c r="B44" s="122" t="s">
        <v>445</v>
      </c>
      <c r="C44" s="162" t="str">
        <f>C3</f>
        <v>Cycle 1</v>
      </c>
      <c r="D44" s="162" t="s">
        <v>244</v>
      </c>
      <c r="E44" s="162" t="s">
        <v>251</v>
      </c>
      <c r="F44" s="162" t="s">
        <v>252</v>
      </c>
      <c r="G44" s="162" t="s">
        <v>253</v>
      </c>
    </row>
    <row r="45" spans="1:15" x14ac:dyDescent="0.2">
      <c r="A45" s="126" t="s">
        <v>7</v>
      </c>
      <c r="B45" s="129" t="s">
        <v>240</v>
      </c>
      <c r="C45" s="136">
        <f>SUM('Severity wise'!D5:F5)</f>
        <v>0</v>
      </c>
      <c r="D45" s="177">
        <f>SUM('Severity wise'!H5:J5)</f>
        <v>0</v>
      </c>
      <c r="E45" s="177">
        <f>SUM('Severity wise'!L5:N5)</f>
        <v>0</v>
      </c>
      <c r="F45" s="177">
        <f>SUM('Severity wise'!P5:R5)</f>
        <v>0</v>
      </c>
      <c r="G45" s="177">
        <f>SUM('Severity wise'!T5:V5)</f>
        <v>0</v>
      </c>
    </row>
    <row r="46" spans="1:15" x14ac:dyDescent="0.2">
      <c r="A46" s="131"/>
      <c r="B46" s="129" t="s">
        <v>241</v>
      </c>
      <c r="C46" s="136">
        <f>SUM('Severity wise'!D6:F6)</f>
        <v>0</v>
      </c>
      <c r="D46" s="177">
        <f>SUM('Severity wise'!H6:J6)</f>
        <v>0</v>
      </c>
      <c r="E46" s="177">
        <f>SUM('Severity wise'!L6:N6)</f>
        <v>0</v>
      </c>
      <c r="F46" s="177">
        <f>SUM('Severity wise'!P6:R6)</f>
        <v>0</v>
      </c>
      <c r="G46" s="177">
        <f>SUM('Severity wise'!T6:V6)</f>
        <v>0</v>
      </c>
    </row>
    <row r="47" spans="1:15" x14ac:dyDescent="0.2">
      <c r="A47" s="131"/>
      <c r="B47" s="129" t="s">
        <v>507</v>
      </c>
      <c r="C47" s="136">
        <f>SUM('Severity wise'!D7:F7)</f>
        <v>0</v>
      </c>
      <c r="D47" s="177">
        <f>SUM('Severity wise'!H7:J7)</f>
        <v>0</v>
      </c>
      <c r="E47" s="177">
        <f>SUM('Severity wise'!L7:N7)</f>
        <v>0</v>
      </c>
      <c r="F47" s="177">
        <f>SUM('Severity wise'!P7:R7)</f>
        <v>0</v>
      </c>
      <c r="G47" s="177">
        <f>SUM('Severity wise'!T7:V7)</f>
        <v>0</v>
      </c>
    </row>
    <row r="48" spans="1:15" x14ac:dyDescent="0.2">
      <c r="A48" s="131"/>
      <c r="B48" s="131"/>
      <c r="C48" s="136"/>
      <c r="D48" s="177"/>
      <c r="E48" s="177"/>
      <c r="F48" s="177"/>
      <c r="G48" s="177"/>
    </row>
    <row r="49" spans="1:7" ht="25.5" x14ac:dyDescent="0.2">
      <c r="A49" s="126" t="s">
        <v>443</v>
      </c>
      <c r="B49" s="129" t="s">
        <v>258</v>
      </c>
      <c r="C49" s="136">
        <f>SUM('Severity wise'!D9:F9)</f>
        <v>0</v>
      </c>
      <c r="D49" s="177">
        <f>SUM('Severity wise'!H9:J9)</f>
        <v>0</v>
      </c>
      <c r="E49" s="177">
        <f>SUM('Severity wise'!L9:N9)</f>
        <v>0</v>
      </c>
      <c r="F49" s="177">
        <f>SUM('Severity wise'!P9:R9)</f>
        <v>0</v>
      </c>
      <c r="G49" s="177">
        <f>SUM('Severity wise'!T9:V9)</f>
        <v>0</v>
      </c>
    </row>
    <row r="50" spans="1:7" x14ac:dyDescent="0.2">
      <c r="A50" s="131"/>
      <c r="B50" s="129" t="s">
        <v>259</v>
      </c>
      <c r="C50" s="136">
        <f>SUM('Severity wise'!D10:F10)</f>
        <v>1</v>
      </c>
      <c r="D50" s="177">
        <f>SUM('Severity wise'!H10:J10)</f>
        <v>0</v>
      </c>
      <c r="E50" s="177">
        <f>SUM('Severity wise'!L10:N10)</f>
        <v>0</v>
      </c>
      <c r="F50" s="177">
        <f>SUM('Severity wise'!P10:R10)</f>
        <v>0</v>
      </c>
      <c r="G50" s="177">
        <f>SUM('Severity wise'!T10:V10)</f>
        <v>0</v>
      </c>
    </row>
    <row r="51" spans="1:7" x14ac:dyDescent="0.2">
      <c r="A51" s="131"/>
      <c r="B51" s="129" t="s">
        <v>261</v>
      </c>
      <c r="C51" s="136">
        <f>SUM('Severity wise'!D11:F11)</f>
        <v>2</v>
      </c>
      <c r="D51" s="177">
        <f>SUM('Severity wise'!H11:J11)</f>
        <v>0</v>
      </c>
      <c r="E51" s="177">
        <f>SUM('Severity wise'!L11:N11)</f>
        <v>0</v>
      </c>
      <c r="F51" s="177">
        <f>SUM('Severity wise'!P11:R11)</f>
        <v>0</v>
      </c>
      <c r="G51" s="177">
        <f>SUM('Severity wise'!T11:V11)</f>
        <v>0</v>
      </c>
    </row>
    <row r="52" spans="1:7" x14ac:dyDescent="0.2">
      <c r="A52" s="131"/>
      <c r="B52" s="129" t="s">
        <v>264</v>
      </c>
      <c r="C52" s="136">
        <f>SUM('Severity wise'!D12:F12)</f>
        <v>1</v>
      </c>
      <c r="D52" s="177">
        <f>SUM('Severity wise'!H12:J12)</f>
        <v>0</v>
      </c>
      <c r="E52" s="177">
        <f>SUM('Severity wise'!L12:N12)</f>
        <v>0</v>
      </c>
      <c r="F52" s="177">
        <f>SUM('Severity wise'!P12:R12)</f>
        <v>0</v>
      </c>
      <c r="G52" s="177">
        <f>SUM('Severity wise'!T12:V12)</f>
        <v>0</v>
      </c>
    </row>
    <row r="53" spans="1:7" x14ac:dyDescent="0.2">
      <c r="A53" s="131"/>
      <c r="B53" s="129" t="s">
        <v>186</v>
      </c>
      <c r="C53" s="136">
        <f>SUM('Severity wise'!D13:F13)</f>
        <v>3</v>
      </c>
      <c r="D53" s="177">
        <f>SUM('Severity wise'!H13:J13)</f>
        <v>0</v>
      </c>
      <c r="E53" s="177">
        <f>SUM('Severity wise'!L13:N13)</f>
        <v>0</v>
      </c>
      <c r="F53" s="177">
        <f>SUM('Severity wise'!P13:R13)</f>
        <v>0</v>
      </c>
      <c r="G53" s="177">
        <f>SUM('Severity wise'!T13:V13)</f>
        <v>0</v>
      </c>
    </row>
    <row r="54" spans="1:7" x14ac:dyDescent="0.2">
      <c r="A54" s="131"/>
      <c r="B54" s="129" t="s">
        <v>265</v>
      </c>
      <c r="C54" s="136">
        <f>SUM('Severity wise'!D14:F14)</f>
        <v>1</v>
      </c>
      <c r="D54" s="177">
        <f>SUM('Severity wise'!H14:J14)</f>
        <v>0</v>
      </c>
      <c r="E54" s="177">
        <f>SUM('Severity wise'!L14:N14)</f>
        <v>0</v>
      </c>
      <c r="F54" s="177">
        <f>SUM('Severity wise'!P14:R14)</f>
        <v>0</v>
      </c>
      <c r="G54" s="177">
        <f>SUM('Severity wise'!T14:V14)</f>
        <v>0</v>
      </c>
    </row>
    <row r="55" spans="1:7" x14ac:dyDescent="0.2">
      <c r="A55" s="131"/>
      <c r="B55" s="129" t="s">
        <v>269</v>
      </c>
      <c r="C55" s="136">
        <f>SUM('Severity wise'!D15:F15)</f>
        <v>2</v>
      </c>
      <c r="D55" s="177">
        <f>SUM('Severity wise'!H15:J15)</f>
        <v>0</v>
      </c>
      <c r="E55" s="177">
        <f>SUM('Severity wise'!L15:N15)</f>
        <v>0</v>
      </c>
      <c r="F55" s="177">
        <f>SUM('Severity wise'!P15:R15)</f>
        <v>0</v>
      </c>
      <c r="G55" s="177">
        <f>SUM('Severity wise'!T15:V15)</f>
        <v>0</v>
      </c>
    </row>
    <row r="56" spans="1:7" x14ac:dyDescent="0.2">
      <c r="A56" s="131"/>
      <c r="B56" s="129" t="s">
        <v>276</v>
      </c>
      <c r="C56" s="136">
        <f>SUM('Severity wise'!D16:F16)</f>
        <v>0</v>
      </c>
      <c r="D56" s="177">
        <f>SUM('Severity wise'!H16:J16)</f>
        <v>0</v>
      </c>
      <c r="E56" s="177">
        <f>SUM('Severity wise'!L16:N16)</f>
        <v>0</v>
      </c>
      <c r="F56" s="177">
        <f>SUM('Severity wise'!P16:R16)</f>
        <v>0</v>
      </c>
      <c r="G56" s="177">
        <f>SUM('Severity wise'!T16:V16)</f>
        <v>0</v>
      </c>
    </row>
    <row r="57" spans="1:7" x14ac:dyDescent="0.2">
      <c r="A57" s="131"/>
      <c r="B57" s="129" t="s">
        <v>190</v>
      </c>
      <c r="C57" s="136">
        <f>SUM('Severity wise'!D17:F17)</f>
        <v>0</v>
      </c>
      <c r="D57" s="177">
        <f>SUM('Severity wise'!H17:J17)</f>
        <v>0</v>
      </c>
      <c r="E57" s="177">
        <f>SUM('Severity wise'!L17:N17)</f>
        <v>0</v>
      </c>
      <c r="F57" s="177">
        <f>SUM('Severity wise'!P17:R17)</f>
        <v>0</v>
      </c>
      <c r="G57" s="177">
        <f>SUM('Severity wise'!T17:V17)</f>
        <v>0</v>
      </c>
    </row>
    <row r="58" spans="1:7" x14ac:dyDescent="0.2">
      <c r="A58" s="131"/>
      <c r="B58" s="129" t="s">
        <v>279</v>
      </c>
      <c r="C58" s="136">
        <f>SUM('Severity wise'!D18:F18)</f>
        <v>0</v>
      </c>
      <c r="D58" s="177">
        <f>SUM('Severity wise'!H18:J18)</f>
        <v>0</v>
      </c>
      <c r="E58" s="177">
        <f>SUM('Severity wise'!L18:N18)</f>
        <v>0</v>
      </c>
      <c r="F58" s="177">
        <f>SUM('Severity wise'!P18:R18)</f>
        <v>0</v>
      </c>
      <c r="G58" s="177">
        <f>SUM('Severity wise'!T18:V18)</f>
        <v>0</v>
      </c>
    </row>
    <row r="59" spans="1:7" x14ac:dyDescent="0.2">
      <c r="A59" s="131"/>
      <c r="B59" s="129" t="s">
        <v>280</v>
      </c>
      <c r="C59" s="136">
        <f>SUM('Severity wise'!D19:F19)</f>
        <v>3</v>
      </c>
      <c r="D59" s="177">
        <f>SUM('Severity wise'!H19:J19)</f>
        <v>0</v>
      </c>
      <c r="E59" s="177">
        <f>SUM('Severity wise'!L19:N19)</f>
        <v>0</v>
      </c>
      <c r="F59" s="177">
        <f>SUM('Severity wise'!P19:R19)</f>
        <v>0</v>
      </c>
      <c r="G59" s="177">
        <f>SUM('Severity wise'!T19:V19)</f>
        <v>0</v>
      </c>
    </row>
    <row r="60" spans="1:7" ht="25.5" x14ac:dyDescent="0.2">
      <c r="A60" s="131"/>
      <c r="B60" s="129" t="s">
        <v>508</v>
      </c>
      <c r="C60" s="136">
        <f>SUM('Severity wise'!D20:F20)</f>
        <v>0</v>
      </c>
      <c r="D60" s="177">
        <f>SUM('Severity wise'!H20:J20)</f>
        <v>0</v>
      </c>
      <c r="E60" s="177">
        <f>SUM('Severity wise'!L20:N20)</f>
        <v>0</v>
      </c>
      <c r="F60" s="177">
        <f>SUM('Severity wise'!P20:R20)</f>
        <v>0</v>
      </c>
      <c r="G60" s="177">
        <f>SUM('Severity wise'!T20:V20)</f>
        <v>0</v>
      </c>
    </row>
    <row r="61" spans="1:7" x14ac:dyDescent="0.2">
      <c r="A61" s="131"/>
      <c r="B61" s="129" t="s">
        <v>281</v>
      </c>
      <c r="C61" s="136">
        <f>SUM('Severity wise'!D21:F21)</f>
        <v>1</v>
      </c>
      <c r="D61" s="177">
        <f>SUM('Severity wise'!H21:J21)</f>
        <v>0</v>
      </c>
      <c r="E61" s="177">
        <f>SUM('Severity wise'!L21:N21)</f>
        <v>0</v>
      </c>
      <c r="F61" s="177">
        <f>SUM('Severity wise'!P21:R21)</f>
        <v>0</v>
      </c>
      <c r="G61" s="177">
        <f>SUM('Severity wise'!T21:V21)</f>
        <v>0</v>
      </c>
    </row>
    <row r="62" spans="1:7" x14ac:dyDescent="0.2">
      <c r="A62" s="131"/>
      <c r="B62" s="129" t="s">
        <v>282</v>
      </c>
      <c r="C62" s="136">
        <f>SUM('Severity wise'!D22:F22)</f>
        <v>0</v>
      </c>
      <c r="D62" s="177">
        <f>SUM('Severity wise'!H22:J22)</f>
        <v>0</v>
      </c>
      <c r="E62" s="177">
        <f>SUM('Severity wise'!L22:N22)</f>
        <v>0</v>
      </c>
      <c r="F62" s="177">
        <f>SUM('Severity wise'!P22:R22)</f>
        <v>0</v>
      </c>
      <c r="G62" s="177">
        <f>SUM('Severity wise'!T22:V22)</f>
        <v>0</v>
      </c>
    </row>
    <row r="63" spans="1:7" x14ac:dyDescent="0.2">
      <c r="A63" s="131"/>
      <c r="B63" s="129" t="s">
        <v>283</v>
      </c>
      <c r="C63" s="136">
        <f>SUM('Severity wise'!D23:F23)</f>
        <v>1</v>
      </c>
      <c r="D63" s="177">
        <f>SUM('Severity wise'!H23:J23)</f>
        <v>0</v>
      </c>
      <c r="E63" s="177">
        <f>SUM('Severity wise'!L23:N23)</f>
        <v>0</v>
      </c>
      <c r="F63" s="177">
        <f>SUM('Severity wise'!P23:R23)</f>
        <v>0</v>
      </c>
      <c r="G63" s="177">
        <f>SUM('Severity wise'!T23:V23)</f>
        <v>0</v>
      </c>
    </row>
    <row r="64" spans="1:7" x14ac:dyDescent="0.2">
      <c r="A64" s="131"/>
      <c r="B64" s="129" t="s">
        <v>285</v>
      </c>
      <c r="C64" s="136">
        <f>SUM('Severity wise'!D24:F24)</f>
        <v>0</v>
      </c>
      <c r="D64" s="177">
        <f>SUM('Severity wise'!H24:J24)</f>
        <v>0</v>
      </c>
      <c r="E64" s="177">
        <f>SUM('Severity wise'!L24:N24)</f>
        <v>0</v>
      </c>
      <c r="F64" s="177">
        <f>SUM('Severity wise'!P24:R24)</f>
        <v>0</v>
      </c>
      <c r="G64" s="177">
        <f>SUM('Severity wise'!T24:V24)</f>
        <v>0</v>
      </c>
    </row>
    <row r="65" spans="1:7" x14ac:dyDescent="0.2">
      <c r="A65" s="131"/>
      <c r="B65" s="129" t="s">
        <v>286</v>
      </c>
      <c r="C65" s="136">
        <f>SUM('Severity wise'!D25:F25)</f>
        <v>0</v>
      </c>
      <c r="D65" s="177">
        <f>SUM('Severity wise'!H25:J25)</f>
        <v>0</v>
      </c>
      <c r="E65" s="177">
        <f>SUM('Severity wise'!L25:N25)</f>
        <v>0</v>
      </c>
      <c r="F65" s="177">
        <f>SUM('Severity wise'!P25:R25)</f>
        <v>0</v>
      </c>
      <c r="G65" s="177">
        <f>SUM('Severity wise'!T25:V25)</f>
        <v>0</v>
      </c>
    </row>
    <row r="66" spans="1:7" x14ac:dyDescent="0.2">
      <c r="A66" s="131"/>
      <c r="B66" s="129" t="s">
        <v>287</v>
      </c>
      <c r="C66" s="136">
        <f>SUM('Severity wise'!D26:F26)</f>
        <v>0</v>
      </c>
      <c r="D66" s="177">
        <f>SUM('Severity wise'!H26:J26)</f>
        <v>0</v>
      </c>
      <c r="E66" s="177">
        <f>SUM('Severity wise'!L26:N26)</f>
        <v>0</v>
      </c>
      <c r="F66" s="177">
        <f>SUM('Severity wise'!P26:R26)</f>
        <v>0</v>
      </c>
      <c r="G66" s="177">
        <f>SUM('Severity wise'!T26:V26)</f>
        <v>0</v>
      </c>
    </row>
    <row r="67" spans="1:7" x14ac:dyDescent="0.2">
      <c r="A67" s="131"/>
      <c r="B67" s="129" t="s">
        <v>288</v>
      </c>
      <c r="C67" s="136">
        <f>SUM('Severity wise'!D27:F27)</f>
        <v>0</v>
      </c>
      <c r="D67" s="177">
        <f>SUM('Severity wise'!H27:J27)</f>
        <v>0</v>
      </c>
      <c r="E67" s="177">
        <f>SUM('Severity wise'!L27:N27)</f>
        <v>0</v>
      </c>
      <c r="F67" s="177">
        <f>SUM('Severity wise'!P27:R27)</f>
        <v>0</v>
      </c>
      <c r="G67" s="177">
        <f>SUM('Severity wise'!T27:V27)</f>
        <v>0</v>
      </c>
    </row>
    <row r="68" spans="1:7" x14ac:dyDescent="0.2">
      <c r="A68" s="131"/>
      <c r="B68" s="129" t="s">
        <v>289</v>
      </c>
      <c r="C68" s="136">
        <f>SUM('Severity wise'!D28:F28)</f>
        <v>3</v>
      </c>
      <c r="D68" s="177">
        <f>SUM('Severity wise'!H28:J28)</f>
        <v>0</v>
      </c>
      <c r="E68" s="177">
        <f>SUM('Severity wise'!L28:N28)</f>
        <v>0</v>
      </c>
      <c r="F68" s="177">
        <f>SUM('Severity wise'!P28:R28)</f>
        <v>0</v>
      </c>
      <c r="G68" s="177">
        <f>SUM('Severity wise'!T28:V28)</f>
        <v>0</v>
      </c>
    </row>
    <row r="69" spans="1:7" x14ac:dyDescent="0.2">
      <c r="A69" s="131"/>
      <c r="B69" s="131"/>
      <c r="C69" s="136"/>
      <c r="D69" s="177"/>
      <c r="E69" s="177"/>
      <c r="F69" s="177"/>
      <c r="G69" s="177"/>
    </row>
    <row r="70" spans="1:7" x14ac:dyDescent="0.2">
      <c r="A70" s="126" t="s">
        <v>12</v>
      </c>
      <c r="B70" s="129" t="s">
        <v>291</v>
      </c>
      <c r="C70" s="136">
        <f>SUM('Severity wise'!D30:F30)</f>
        <v>1</v>
      </c>
      <c r="D70" s="177">
        <f>SUM('Severity wise'!H30:J30)</f>
        <v>0</v>
      </c>
      <c r="E70" s="177">
        <f>SUM('Severity wise'!L30:N30)</f>
        <v>0</v>
      </c>
      <c r="F70" s="177">
        <f>SUM('Severity wise'!P30:R30)</f>
        <v>0</v>
      </c>
      <c r="G70" s="177">
        <f>SUM('Severity wise'!T30:V30)</f>
        <v>0</v>
      </c>
    </row>
    <row r="71" spans="1:7" x14ac:dyDescent="0.2">
      <c r="A71" s="131"/>
      <c r="B71" s="129" t="s">
        <v>276</v>
      </c>
      <c r="C71" s="136">
        <f>SUM('Severity wise'!D31:F31)</f>
        <v>0</v>
      </c>
      <c r="D71" s="177">
        <f>SUM('Severity wise'!H31:J31)</f>
        <v>0</v>
      </c>
      <c r="E71" s="177">
        <f>SUM('Severity wise'!L31:N31)</f>
        <v>0</v>
      </c>
      <c r="F71" s="177">
        <f>SUM('Severity wise'!P31:R31)</f>
        <v>0</v>
      </c>
      <c r="G71" s="177">
        <f>SUM('Severity wise'!T31:V31)</f>
        <v>0</v>
      </c>
    </row>
    <row r="72" spans="1:7" x14ac:dyDescent="0.2">
      <c r="A72" s="131"/>
      <c r="B72" s="129" t="s">
        <v>294</v>
      </c>
      <c r="C72" s="136">
        <f>SUM('Severity wise'!D32:F32)</f>
        <v>2</v>
      </c>
      <c r="D72" s="177">
        <f>SUM('Severity wise'!H32:J32)</f>
        <v>0</v>
      </c>
      <c r="E72" s="177">
        <f>SUM('Severity wise'!L32:N32)</f>
        <v>0</v>
      </c>
      <c r="F72" s="177">
        <f>SUM('Severity wise'!P32:R32)</f>
        <v>0</v>
      </c>
      <c r="G72" s="177">
        <f>SUM('Severity wise'!T32:V32)</f>
        <v>0</v>
      </c>
    </row>
    <row r="73" spans="1:7" x14ac:dyDescent="0.2">
      <c r="A73" s="131"/>
      <c r="B73" s="129" t="s">
        <v>292</v>
      </c>
      <c r="C73" s="136">
        <f>SUM('Severity wise'!D33:F33)</f>
        <v>0</v>
      </c>
      <c r="D73" s="177">
        <f>SUM('Severity wise'!H33:J33)</f>
        <v>0</v>
      </c>
      <c r="E73" s="177">
        <f>SUM('Severity wise'!L33:N33)</f>
        <v>0</v>
      </c>
      <c r="F73" s="177">
        <f>SUM('Severity wise'!P33:R33)</f>
        <v>0</v>
      </c>
      <c r="G73" s="177">
        <f>SUM('Severity wise'!T33:V33)</f>
        <v>0</v>
      </c>
    </row>
    <row r="74" spans="1:7" x14ac:dyDescent="0.2">
      <c r="A74" s="131"/>
      <c r="B74" s="129" t="s">
        <v>293</v>
      </c>
      <c r="C74" s="136">
        <f>SUM('Severity wise'!D34:F34)</f>
        <v>4</v>
      </c>
      <c r="D74" s="177">
        <f>SUM('Severity wise'!H34:J34)</f>
        <v>0</v>
      </c>
      <c r="E74" s="177">
        <f>SUM('Severity wise'!L34:N34)</f>
        <v>0</v>
      </c>
      <c r="F74" s="177">
        <f>SUM('Severity wise'!P34:R34)</f>
        <v>0</v>
      </c>
      <c r="G74" s="177">
        <f>SUM('Severity wise'!T34:V34)</f>
        <v>0</v>
      </c>
    </row>
    <row r="75" spans="1:7" x14ac:dyDescent="0.2">
      <c r="A75" s="131"/>
      <c r="B75" s="129" t="s">
        <v>296</v>
      </c>
      <c r="C75" s="136">
        <f>SUM('Severity wise'!D35:F35)</f>
        <v>1</v>
      </c>
      <c r="D75" s="177">
        <f>SUM('Severity wise'!H35:J35)</f>
        <v>0</v>
      </c>
      <c r="E75" s="177">
        <f>SUM('Severity wise'!L35:N35)</f>
        <v>0</v>
      </c>
      <c r="F75" s="177">
        <f>SUM('Severity wise'!P35:R35)</f>
        <v>0</v>
      </c>
      <c r="G75" s="177">
        <f>SUM('Severity wise'!T35:V35)</f>
        <v>0</v>
      </c>
    </row>
    <row r="76" spans="1:7" x14ac:dyDescent="0.2">
      <c r="A76" s="131"/>
      <c r="B76" s="129" t="s">
        <v>297</v>
      </c>
      <c r="C76" s="136">
        <f>SUM('Severity wise'!D36:F36)</f>
        <v>1</v>
      </c>
      <c r="D76" s="177">
        <f>SUM('Severity wise'!H36:J36)</f>
        <v>0</v>
      </c>
      <c r="E76" s="177">
        <f>SUM('Severity wise'!L36:N36)</f>
        <v>0</v>
      </c>
      <c r="F76" s="177">
        <f>SUM('Severity wise'!P36:R36)</f>
        <v>0</v>
      </c>
      <c r="G76" s="177">
        <f>SUM('Severity wise'!T36:V36)</f>
        <v>0</v>
      </c>
    </row>
    <row r="77" spans="1:7" x14ac:dyDescent="0.2">
      <c r="A77" s="131"/>
      <c r="B77" s="129" t="s">
        <v>509</v>
      </c>
      <c r="C77" s="136">
        <f>SUM('Severity wise'!D37:F37)</f>
        <v>0</v>
      </c>
      <c r="D77" s="177">
        <f>SUM('Severity wise'!H37:J37)</f>
        <v>0</v>
      </c>
      <c r="E77" s="177">
        <f>SUM('Severity wise'!L37:N37)</f>
        <v>0</v>
      </c>
      <c r="F77" s="177">
        <f>SUM('Severity wise'!P37:R37)</f>
        <v>0</v>
      </c>
      <c r="G77" s="177">
        <f>SUM('Severity wise'!T37:V37)</f>
        <v>0</v>
      </c>
    </row>
    <row r="78" spans="1:7" x14ac:dyDescent="0.2">
      <c r="A78" s="131"/>
      <c r="B78" s="129" t="s">
        <v>430</v>
      </c>
      <c r="C78" s="136">
        <f>SUM('Severity wise'!D38:F38)</f>
        <v>1</v>
      </c>
      <c r="D78" s="177">
        <f>SUM('Severity wise'!H38:J38)</f>
        <v>0</v>
      </c>
      <c r="E78" s="177">
        <f>SUM('Severity wise'!L38:N38)</f>
        <v>0</v>
      </c>
      <c r="F78" s="177">
        <f>SUM('Severity wise'!P38:R38)</f>
        <v>0</v>
      </c>
      <c r="G78" s="177">
        <f>SUM('Severity wise'!T38:V38)</f>
        <v>0</v>
      </c>
    </row>
    <row r="79" spans="1:7" x14ac:dyDescent="0.2">
      <c r="A79" s="131"/>
      <c r="B79" s="129" t="s">
        <v>432</v>
      </c>
      <c r="C79" s="136">
        <f>SUM('Severity wise'!D39:F39)</f>
        <v>0</v>
      </c>
      <c r="D79" s="177">
        <f>SUM('Severity wise'!H39:J39)</f>
        <v>0</v>
      </c>
      <c r="E79" s="177">
        <f>SUM('Severity wise'!L39:N39)</f>
        <v>0</v>
      </c>
      <c r="F79" s="177">
        <f>SUM('Severity wise'!P39:R39)</f>
        <v>0</v>
      </c>
      <c r="G79" s="177">
        <f>SUM('Severity wise'!T39:V39)</f>
        <v>0</v>
      </c>
    </row>
    <row r="80" spans="1:7" x14ac:dyDescent="0.2">
      <c r="A80" s="131"/>
      <c r="B80" s="129" t="s">
        <v>437</v>
      </c>
      <c r="C80" s="136">
        <f>SUM('Severity wise'!D40:F40)</f>
        <v>0</v>
      </c>
      <c r="D80" s="177">
        <f>SUM('Severity wise'!H40:J40)</f>
        <v>0</v>
      </c>
      <c r="E80" s="177">
        <f>SUM('Severity wise'!L40:N40)</f>
        <v>0</v>
      </c>
      <c r="F80" s="177">
        <f>SUM('Severity wise'!P40:R40)</f>
        <v>0</v>
      </c>
      <c r="G80" s="177">
        <f>SUM('Severity wise'!T40:V40)</f>
        <v>0</v>
      </c>
    </row>
    <row r="81" spans="1:7" x14ac:dyDescent="0.2">
      <c r="A81" s="131"/>
      <c r="B81" s="129" t="s">
        <v>448</v>
      </c>
      <c r="C81" s="136">
        <f>SUM('Severity wise'!D41:F41)</f>
        <v>0</v>
      </c>
      <c r="D81" s="177">
        <f>SUM('Severity wise'!H41:J41)</f>
        <v>0</v>
      </c>
      <c r="E81" s="177">
        <f>SUM('Severity wise'!L41:N41)</f>
        <v>0</v>
      </c>
      <c r="F81" s="177">
        <f>SUM('Severity wise'!P41:R41)</f>
        <v>0</v>
      </c>
      <c r="G81" s="177">
        <f>SUM('Severity wise'!T41:V41)</f>
        <v>0</v>
      </c>
    </row>
    <row r="82" spans="1:7" x14ac:dyDescent="0.2">
      <c r="A82" s="131"/>
      <c r="B82" s="129" t="s">
        <v>295</v>
      </c>
      <c r="C82" s="136">
        <f>SUM('Severity wise'!D42:F42)</f>
        <v>4</v>
      </c>
      <c r="D82" s="177">
        <f>SUM('Severity wise'!H42:J42)</f>
        <v>0</v>
      </c>
      <c r="E82" s="177">
        <f>SUM('Severity wise'!L42:N42)</f>
        <v>0</v>
      </c>
      <c r="F82" s="177">
        <f>SUM('Severity wise'!P42:R42)</f>
        <v>0</v>
      </c>
      <c r="G82" s="177">
        <f>SUM('Severity wise'!T42:V42)</f>
        <v>0</v>
      </c>
    </row>
    <row r="83" spans="1:7" x14ac:dyDescent="0.2">
      <c r="A83" s="136"/>
      <c r="B83" s="136"/>
      <c r="C83" s="136"/>
      <c r="D83" s="177"/>
      <c r="E83" s="177"/>
      <c r="F83" s="177"/>
      <c r="G83" s="177"/>
    </row>
    <row r="84" spans="1:7" x14ac:dyDescent="0.2">
      <c r="A84" s="171" t="str">
        <f>I4</f>
        <v>Test Requirements</v>
      </c>
      <c r="B84" s="175" t="s">
        <v>298</v>
      </c>
      <c r="C84" s="136">
        <f>SUM('Severity wise'!D44:F44)</f>
        <v>0</v>
      </c>
      <c r="D84" s="177">
        <f>SUM('Severity wise'!H44:J44)</f>
        <v>0</v>
      </c>
      <c r="E84" s="177">
        <f>SUM('Severity wise'!L44:N44)</f>
        <v>0</v>
      </c>
      <c r="F84" s="177">
        <f>SUM('Severity wise'!P44:R44)</f>
        <v>0</v>
      </c>
      <c r="G84" s="177">
        <f>SUM('Severity wise'!T44:V44)</f>
        <v>0</v>
      </c>
    </row>
    <row r="85" spans="1:7" x14ac:dyDescent="0.2">
      <c r="A85" s="136"/>
      <c r="B85" s="175" t="s">
        <v>511</v>
      </c>
      <c r="C85" s="136">
        <f>SUM('Severity wise'!D45:F45)</f>
        <v>0</v>
      </c>
      <c r="D85" s="177">
        <f>SUM('Severity wise'!H45:J45)</f>
        <v>0</v>
      </c>
      <c r="E85" s="177">
        <f>SUM('Severity wise'!L45:N45)</f>
        <v>0</v>
      </c>
      <c r="F85" s="177">
        <f>SUM('Severity wise'!P45:R45)</f>
        <v>0</v>
      </c>
      <c r="G85" s="177">
        <f>SUM('Severity wise'!T45:V45)</f>
        <v>0</v>
      </c>
    </row>
    <row r="86" spans="1:7" x14ac:dyDescent="0.2">
      <c r="A86" s="136"/>
      <c r="B86" s="175" t="s">
        <v>301</v>
      </c>
      <c r="C86" s="136">
        <f>SUM('Severity wise'!D46:F46)</f>
        <v>0</v>
      </c>
      <c r="D86" s="177">
        <f>SUM('Severity wise'!H46:J46)</f>
        <v>0</v>
      </c>
      <c r="E86" s="177">
        <f>SUM('Severity wise'!L46:N46)</f>
        <v>0</v>
      </c>
      <c r="F86" s="177">
        <f>SUM('Severity wise'!P46:R46)</f>
        <v>0</v>
      </c>
      <c r="G86" s="177">
        <f>SUM('Severity wise'!T46:V46)</f>
        <v>0</v>
      </c>
    </row>
    <row r="87" spans="1:7" x14ac:dyDescent="0.2">
      <c r="A87" s="136"/>
      <c r="B87" s="136"/>
      <c r="C87" s="136"/>
      <c r="D87" s="177"/>
      <c r="E87" s="177"/>
      <c r="F87" s="177"/>
      <c r="G87" s="177"/>
    </row>
    <row r="88" spans="1:7" x14ac:dyDescent="0.2">
      <c r="A88" s="171" t="str">
        <f>I10</f>
        <v>Test Design</v>
      </c>
      <c r="B88" s="175" t="s">
        <v>303</v>
      </c>
      <c r="C88" s="136">
        <f>SUM('Severity wise'!D48:F48)</f>
        <v>0</v>
      </c>
      <c r="D88" s="177">
        <f>SUM('Severity wise'!H48:J48)</f>
        <v>0</v>
      </c>
      <c r="E88" s="177">
        <f>SUM('Severity wise'!L48:N48)</f>
        <v>0</v>
      </c>
      <c r="F88" s="177">
        <f>SUM('Severity wise'!P48:R48)</f>
        <v>0</v>
      </c>
      <c r="G88" s="177">
        <f>SUM('Severity wise'!T48:V48)</f>
        <v>0</v>
      </c>
    </row>
    <row r="89" spans="1:7" x14ac:dyDescent="0.2">
      <c r="A89" s="136"/>
      <c r="B89" s="175" t="s">
        <v>304</v>
      </c>
      <c r="C89" s="136">
        <f>SUM('Severity wise'!D49:F49)</f>
        <v>0</v>
      </c>
      <c r="D89" s="177">
        <f>SUM('Severity wise'!H49:J49)</f>
        <v>0</v>
      </c>
      <c r="E89" s="177">
        <f>SUM('Severity wise'!L49:N49)</f>
        <v>0</v>
      </c>
      <c r="F89" s="177">
        <f>SUM('Severity wise'!P49:R49)</f>
        <v>0</v>
      </c>
      <c r="G89" s="177">
        <f>SUM('Severity wise'!T49:V49)</f>
        <v>0</v>
      </c>
    </row>
    <row r="90" spans="1:7" x14ac:dyDescent="0.2">
      <c r="A90" s="136"/>
      <c r="B90" s="175" t="s">
        <v>403</v>
      </c>
      <c r="C90" s="136">
        <f>SUM('Severity wise'!D50:F50)</f>
        <v>2</v>
      </c>
      <c r="D90" s="177">
        <f>SUM('Severity wise'!H50:J50)</f>
        <v>0</v>
      </c>
      <c r="E90" s="177">
        <f>SUM('Severity wise'!L50:N50)</f>
        <v>0</v>
      </c>
      <c r="F90" s="177">
        <f>SUM('Severity wise'!P50:R50)</f>
        <v>0</v>
      </c>
      <c r="G90" s="177">
        <f>SUM('Severity wise'!T50:V50)</f>
        <v>0</v>
      </c>
    </row>
    <row r="91" spans="1:7" x14ac:dyDescent="0.2">
      <c r="A91" s="136"/>
      <c r="B91" s="175" t="s">
        <v>312</v>
      </c>
      <c r="C91" s="136">
        <f>SUM('Severity wise'!D51:F51)</f>
        <v>0</v>
      </c>
      <c r="D91" s="177">
        <f>SUM('Severity wise'!H51:J51)</f>
        <v>0</v>
      </c>
      <c r="E91" s="177">
        <f>SUM('Severity wise'!L51:N51)</f>
        <v>0</v>
      </c>
      <c r="F91" s="177">
        <f>SUM('Severity wise'!P51:R51)</f>
        <v>0</v>
      </c>
      <c r="G91" s="177">
        <f>SUM('Severity wise'!T51:V51)</f>
        <v>0</v>
      </c>
    </row>
    <row r="92" spans="1:7" x14ac:dyDescent="0.2">
      <c r="A92" s="136"/>
      <c r="B92" s="175" t="s">
        <v>313</v>
      </c>
      <c r="C92" s="136">
        <f>SUM('Severity wise'!D52:F52)</f>
        <v>0</v>
      </c>
      <c r="D92" s="177">
        <f>SUM('Severity wise'!H52:J52)</f>
        <v>0</v>
      </c>
      <c r="E92" s="177">
        <f>SUM('Severity wise'!L52:N52)</f>
        <v>0</v>
      </c>
      <c r="F92" s="177">
        <f>SUM('Severity wise'!P52:R52)</f>
        <v>0</v>
      </c>
      <c r="G92" s="177">
        <f>SUM('Severity wise'!T52:V52)</f>
        <v>0</v>
      </c>
    </row>
    <row r="93" spans="1:7" x14ac:dyDescent="0.2">
      <c r="A93" s="136"/>
      <c r="B93" s="175" t="s">
        <v>317</v>
      </c>
      <c r="C93" s="136">
        <f>SUM('Severity wise'!D53:F53)</f>
        <v>0</v>
      </c>
      <c r="D93" s="177">
        <f>SUM('Severity wise'!H53:J53)</f>
        <v>0</v>
      </c>
      <c r="E93" s="177">
        <f>SUM('Severity wise'!L53:N53)</f>
        <v>0</v>
      </c>
      <c r="F93" s="177">
        <f>SUM('Severity wise'!P53:R53)</f>
        <v>0</v>
      </c>
      <c r="G93" s="177">
        <f>SUM('Severity wise'!T53:V53)</f>
        <v>0</v>
      </c>
    </row>
    <row r="94" spans="1:7" x14ac:dyDescent="0.2">
      <c r="A94" s="136"/>
      <c r="B94" s="175" t="s">
        <v>322</v>
      </c>
      <c r="C94" s="136">
        <f>SUM('Severity wise'!D54:F54)</f>
        <v>0</v>
      </c>
      <c r="D94" s="177">
        <f>SUM('Severity wise'!H54:J54)</f>
        <v>0</v>
      </c>
      <c r="E94" s="177">
        <f>SUM('Severity wise'!L54:N54)</f>
        <v>0</v>
      </c>
      <c r="F94" s="177">
        <f>SUM('Severity wise'!P54:R54)</f>
        <v>0</v>
      </c>
      <c r="G94" s="177">
        <f>SUM('Severity wise'!T54:V54)</f>
        <v>0</v>
      </c>
    </row>
    <row r="95" spans="1:7" x14ac:dyDescent="0.2">
      <c r="A95" s="136"/>
      <c r="B95" s="175" t="s">
        <v>351</v>
      </c>
      <c r="C95" s="136">
        <f>SUM('Severity wise'!D55:F55)</f>
        <v>0</v>
      </c>
      <c r="D95" s="177">
        <f>SUM('Severity wise'!H55:J55)</f>
        <v>0</v>
      </c>
      <c r="E95" s="177">
        <f>SUM('Severity wise'!L55:N55)</f>
        <v>0</v>
      </c>
      <c r="F95" s="177">
        <f>SUM('Severity wise'!P55:R55)</f>
        <v>0</v>
      </c>
      <c r="G95" s="177">
        <f>SUM('Severity wise'!T55:V55)</f>
        <v>0</v>
      </c>
    </row>
    <row r="96" spans="1:7" x14ac:dyDescent="0.2">
      <c r="A96" s="136"/>
      <c r="B96" s="175" t="s">
        <v>330</v>
      </c>
      <c r="C96" s="136">
        <f>SUM('Severity wise'!D56:F56)</f>
        <v>0</v>
      </c>
      <c r="D96" s="177">
        <f>SUM('Severity wise'!H56:J56)</f>
        <v>0</v>
      </c>
      <c r="E96" s="177">
        <f>SUM('Severity wise'!L56:N56)</f>
        <v>0</v>
      </c>
      <c r="F96" s="177">
        <f>SUM('Severity wise'!P56:R56)</f>
        <v>0</v>
      </c>
      <c r="G96" s="177">
        <f>SUM('Severity wise'!T56:V56)</f>
        <v>0</v>
      </c>
    </row>
    <row r="97" spans="1:7" x14ac:dyDescent="0.2">
      <c r="A97" s="136"/>
      <c r="B97" s="175" t="s">
        <v>446</v>
      </c>
      <c r="C97" s="136">
        <f>SUM('Severity wise'!D57:F57)</f>
        <v>0</v>
      </c>
      <c r="D97" s="177">
        <f>SUM('Severity wise'!H57:J57)</f>
        <v>0</v>
      </c>
      <c r="E97" s="177">
        <f>SUM('Severity wise'!L57:N57)</f>
        <v>0</v>
      </c>
      <c r="F97" s="177">
        <f>SUM('Severity wise'!P57:R57)</f>
        <v>0</v>
      </c>
      <c r="G97" s="177">
        <f>SUM('Severity wise'!T57:V57)</f>
        <v>0</v>
      </c>
    </row>
    <row r="98" spans="1:7" x14ac:dyDescent="0.2">
      <c r="A98" s="136"/>
      <c r="B98" s="136"/>
      <c r="C98" s="136"/>
      <c r="D98" s="177"/>
      <c r="E98" s="177"/>
      <c r="F98" s="177"/>
      <c r="G98" s="177"/>
    </row>
    <row r="99" spans="1:7" x14ac:dyDescent="0.2">
      <c r="A99" s="171" t="str">
        <f>I25</f>
        <v>Testing</v>
      </c>
      <c r="B99" s="175" t="s">
        <v>336</v>
      </c>
      <c r="C99" s="136">
        <f>SUM('Severity wise'!D59:F59)</f>
        <v>0</v>
      </c>
      <c r="D99" s="177">
        <f>SUM('Severity wise'!H59:J59)</f>
        <v>0</v>
      </c>
      <c r="E99" s="177">
        <f>SUM('Severity wise'!L59:N59)</f>
        <v>0</v>
      </c>
      <c r="F99" s="177">
        <f>SUM('Severity wise'!P59:R59)</f>
        <v>0</v>
      </c>
      <c r="G99" s="177">
        <f>SUM('Severity wise'!T59:V59)</f>
        <v>0</v>
      </c>
    </row>
    <row r="100" spans="1:7" x14ac:dyDescent="0.2">
      <c r="A100" s="136"/>
      <c r="B100" s="175" t="s">
        <v>338</v>
      </c>
      <c r="C100" s="136">
        <f>SUM('Severity wise'!D60:F60)</f>
        <v>0</v>
      </c>
      <c r="D100" s="177">
        <f>SUM('Severity wise'!H60:J60)</f>
        <v>0</v>
      </c>
      <c r="E100" s="177">
        <f>SUM('Severity wise'!L60:N60)</f>
        <v>0</v>
      </c>
      <c r="F100" s="177">
        <f>SUM('Severity wise'!P60:R60)</f>
        <v>0</v>
      </c>
      <c r="G100" s="177">
        <f>SUM('Severity wise'!T60:V60)</f>
        <v>0</v>
      </c>
    </row>
    <row r="101" spans="1:7" x14ac:dyDescent="0.2">
      <c r="A101" s="136"/>
      <c r="B101" s="175" t="s">
        <v>340</v>
      </c>
      <c r="C101" s="136">
        <f>SUM('Severity wise'!D61:F61)</f>
        <v>0</v>
      </c>
      <c r="D101" s="177">
        <f>SUM('Severity wise'!H61:J61)</f>
        <v>0</v>
      </c>
      <c r="E101" s="177">
        <f>SUM('Severity wise'!L61:N61)</f>
        <v>0</v>
      </c>
      <c r="F101" s="177">
        <f>SUM('Severity wise'!P61:R61)</f>
        <v>0</v>
      </c>
      <c r="G101" s="177">
        <f>SUM('Severity wise'!T61:V61)</f>
        <v>0</v>
      </c>
    </row>
    <row r="102" spans="1:7" x14ac:dyDescent="0.2">
      <c r="A102" s="136"/>
      <c r="B102" s="175" t="s">
        <v>344</v>
      </c>
      <c r="C102" s="136">
        <f>SUM('Severity wise'!D62:F62)</f>
        <v>0</v>
      </c>
      <c r="D102" s="177">
        <f>SUM('Severity wise'!H62:J62)</f>
        <v>0</v>
      </c>
      <c r="E102" s="177">
        <f>SUM('Severity wise'!L62:N62)</f>
        <v>0</v>
      </c>
      <c r="F102" s="177">
        <f>SUM('Severity wise'!P62:R62)</f>
        <v>0</v>
      </c>
      <c r="G102" s="177">
        <f>SUM('Severity wise'!T62:V62)</f>
        <v>0</v>
      </c>
    </row>
    <row r="103" spans="1:7" x14ac:dyDescent="0.2">
      <c r="A103" s="136"/>
      <c r="B103" s="175" t="s">
        <v>341</v>
      </c>
      <c r="C103" s="136">
        <f>SUM('Severity wise'!D63:F63)</f>
        <v>0</v>
      </c>
      <c r="D103" s="177">
        <f>SUM('Severity wise'!H63:J63)</f>
        <v>0</v>
      </c>
      <c r="E103" s="177">
        <f>SUM('Severity wise'!L63:N63)</f>
        <v>0</v>
      </c>
      <c r="F103" s="177">
        <f>SUM('Severity wise'!P63:R63)</f>
        <v>0</v>
      </c>
      <c r="G103" s="177">
        <f>SUM('Severity wise'!T63:V63)</f>
        <v>0</v>
      </c>
    </row>
    <row r="104" spans="1:7" x14ac:dyDescent="0.2">
      <c r="A104" s="136"/>
      <c r="B104" s="175" t="s">
        <v>345</v>
      </c>
      <c r="C104" s="136">
        <f>SUM('Severity wise'!D64:F64)</f>
        <v>0</v>
      </c>
      <c r="D104" s="177">
        <f>SUM('Severity wise'!H64:J64)</f>
        <v>0</v>
      </c>
      <c r="E104" s="177">
        <f>SUM('Severity wise'!L64:N64)</f>
        <v>0</v>
      </c>
      <c r="F104" s="177">
        <f>SUM('Severity wise'!P64:R64)</f>
        <v>0</v>
      </c>
      <c r="G104" s="177">
        <f>SUM('Severity wise'!T64:V64)</f>
        <v>0</v>
      </c>
    </row>
    <row r="105" spans="1:7" x14ac:dyDescent="0.2">
      <c r="A105" s="136"/>
      <c r="B105" s="175" t="s">
        <v>347</v>
      </c>
      <c r="C105" s="136">
        <f>SUM('Severity wise'!D65:F65)</f>
        <v>0</v>
      </c>
      <c r="D105" s="177">
        <f>SUM('Severity wise'!H65:J65)</f>
        <v>0</v>
      </c>
      <c r="E105" s="177">
        <f>SUM('Severity wise'!L65:N65)</f>
        <v>0</v>
      </c>
      <c r="F105" s="177">
        <f>SUM('Severity wise'!P65:R65)</f>
        <v>0</v>
      </c>
      <c r="G105" s="177">
        <f>SUM('Severity wise'!T65:V65)</f>
        <v>0</v>
      </c>
    </row>
    <row r="106" spans="1:7" x14ac:dyDescent="0.2">
      <c r="A106" s="136"/>
      <c r="B106" s="175" t="s">
        <v>350</v>
      </c>
      <c r="C106" s="136">
        <f>SUM('Severity wise'!D66:F66)</f>
        <v>0</v>
      </c>
      <c r="D106" s="177">
        <f>SUM('Severity wise'!H66:J66)</f>
        <v>0</v>
      </c>
      <c r="E106" s="177">
        <f>SUM('Severity wise'!L66:N66)</f>
        <v>0</v>
      </c>
      <c r="F106" s="177">
        <f>SUM('Severity wise'!P66:R66)</f>
        <v>0</v>
      </c>
      <c r="G106" s="177">
        <f>SUM('Severity wise'!T66:V66)</f>
        <v>0</v>
      </c>
    </row>
    <row r="107" spans="1:7" x14ac:dyDescent="0.2">
      <c r="A107" s="136"/>
      <c r="B107" s="136"/>
      <c r="C107" s="136"/>
      <c r="D107" s="177"/>
      <c r="E107" s="177"/>
      <c r="F107" s="177"/>
      <c r="G107" s="177"/>
    </row>
    <row r="108" spans="1:7" x14ac:dyDescent="0.2">
      <c r="A108" s="171">
        <f>I34</f>
        <v>0</v>
      </c>
      <c r="B108" s="175" t="s">
        <v>447</v>
      </c>
      <c r="C108" s="136">
        <f>SUM('Severity wise'!D68:F68)</f>
        <v>0</v>
      </c>
      <c r="D108" s="177">
        <f>SUM('Severity wise'!H68:J68)</f>
        <v>0</v>
      </c>
      <c r="E108" s="177">
        <f>SUM('Severity wise'!L68:N68)</f>
        <v>0</v>
      </c>
      <c r="F108" s="177">
        <f>SUM('Severity wise'!P68:R68)</f>
        <v>0</v>
      </c>
      <c r="G108" s="177">
        <f>SUM('Severity wise'!T68:V68)</f>
        <v>0</v>
      </c>
    </row>
    <row r="109" spans="1:7" x14ac:dyDescent="0.2">
      <c r="A109" s="136"/>
      <c r="B109" s="136"/>
      <c r="C109" s="136"/>
      <c r="D109" s="177"/>
      <c r="E109" s="177"/>
      <c r="F109" s="177"/>
      <c r="G109" s="177"/>
    </row>
    <row r="110" spans="1:7" ht="13.5" thickBot="1" x14ac:dyDescent="0.25">
      <c r="A110" s="172" t="str">
        <f>I38</f>
        <v>Project Closure</v>
      </c>
      <c r="B110" s="176" t="s">
        <v>510</v>
      </c>
      <c r="C110" s="141">
        <f>SUM('Severity wise'!D70:F70)</f>
        <v>0</v>
      </c>
      <c r="D110" s="178">
        <f>SUM('Severity wise'!H70:J70)</f>
        <v>0</v>
      </c>
      <c r="E110" s="178">
        <f>SUM('Severity wise'!L70:N70)</f>
        <v>0</v>
      </c>
      <c r="F110" s="178">
        <f>SUM('Severity wise'!P70:R70)</f>
        <v>0</v>
      </c>
      <c r="G110" s="178">
        <f>SUM('Severity wise'!T70:V70)</f>
        <v>0</v>
      </c>
    </row>
    <row r="111" spans="1:7" ht="13.5" thickBot="1" x14ac:dyDescent="0.25">
      <c r="A111" s="162" t="s">
        <v>9</v>
      </c>
      <c r="C111" s="174">
        <f>SUM(C45:C110)</f>
        <v>34</v>
      </c>
      <c r="D111" s="174">
        <f>SUM(D45:D110)</f>
        <v>0</v>
      </c>
      <c r="E111" s="174">
        <f>SUM(E45:E110)</f>
        <v>0</v>
      </c>
      <c r="F111" s="174">
        <f>SUM(F45:F110)</f>
        <v>0</v>
      </c>
      <c r="G111" s="174">
        <f>SUM(G45:G110)</f>
        <v>0</v>
      </c>
    </row>
  </sheetData>
  <mergeCells count="1">
    <mergeCell ref="A1:B1"/>
  </mergeCells>
  <phoneticPr fontId="2" type="noConversion"/>
  <conditionalFormatting sqref="K4:O41 K43:O43">
    <cfRule type="iconSet" priority="9">
      <iconSet iconSet="5Arrows">
        <cfvo type="percent" val="0"/>
        <cfvo type="percent" val="20"/>
        <cfvo type="percent" val="40"/>
        <cfvo type="percent" val="60"/>
        <cfvo type="percent" val="80"/>
      </iconSet>
    </cfRule>
  </conditionalFormatting>
  <conditionalFormatting sqref="C4:G41">
    <cfRule type="iconSet" priority="3">
      <iconSet iconSet="4Arrows">
        <cfvo type="percent" val="0"/>
        <cfvo type="percent" val="25"/>
        <cfvo type="percent" val="50"/>
        <cfvo type="percent" val="75"/>
      </iconSet>
    </cfRule>
  </conditionalFormatting>
  <conditionalFormatting sqref="K4:O41">
    <cfRule type="iconSet" priority="2">
      <iconSet iconSet="4Arrows">
        <cfvo type="percent" val="0"/>
        <cfvo type="percent" val="25"/>
        <cfvo type="percent" val="50"/>
        <cfvo type="percent" val="75"/>
      </iconSet>
    </cfRule>
  </conditionalFormatting>
  <conditionalFormatting sqref="C45:G110">
    <cfRule type="colorScale" priority="1082">
      <colorScale>
        <cfvo type="min"/>
        <cfvo type="max"/>
        <color rgb="FFFFEF9C"/>
        <color rgb="FFFF7128"/>
      </colorScale>
    </cfRule>
  </conditionalFormatting>
  <hyperlinks>
    <hyperlink ref="A1:B1" location="'Severity wise'!A1" display="PROCESS AREA WISE COMPLIANCE STATUS"/>
  </hyperlinks>
  <pageMargins left="0.75" right="0.75" top="1" bottom="1" header="0.5" footer="0.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5"/>
  <sheetViews>
    <sheetView showGridLines="0" zoomScale="80" zoomScaleNormal="80" workbookViewId="0">
      <pane ySplit="4" topLeftCell="A5" activePane="bottomLeft" state="frozen"/>
      <selection pane="bottomLeft" activeCell="C33" sqref="C33"/>
    </sheetView>
  </sheetViews>
  <sheetFormatPr defaultRowHeight="12.75" x14ac:dyDescent="0.2"/>
  <cols>
    <col min="1" max="1" width="17" style="98" customWidth="1"/>
    <col min="2" max="2" width="33.7109375" style="98" customWidth="1"/>
    <col min="3" max="3" width="12.140625" style="102" customWidth="1"/>
    <col min="4" max="4" width="8.85546875" style="98" bestFit="1" customWidth="1"/>
    <col min="5" max="5" width="6.7109375" style="98" bestFit="1" customWidth="1"/>
    <col min="6" max="6" width="7" style="98" bestFit="1" customWidth="1"/>
    <col min="7" max="7" width="12.140625" style="102" customWidth="1"/>
    <col min="8" max="8" width="8" style="98" customWidth="1"/>
    <col min="9" max="9" width="6.7109375" style="98" customWidth="1"/>
    <col min="10" max="10" width="7" style="98" customWidth="1"/>
    <col min="11" max="11" width="12.7109375" style="102" customWidth="1"/>
    <col min="12" max="12" width="8" style="98" customWidth="1"/>
    <col min="13" max="13" width="6.7109375" style="98" customWidth="1"/>
    <col min="14" max="14" width="7" style="98" customWidth="1"/>
    <col min="15" max="15" width="12.85546875" style="102" customWidth="1"/>
    <col min="16" max="16" width="8.85546875" style="98" customWidth="1"/>
    <col min="17" max="17" width="6.7109375" style="98" customWidth="1"/>
    <col min="18" max="18" width="7" style="98" customWidth="1"/>
    <col min="19" max="19" width="12.42578125" style="102" customWidth="1"/>
    <col min="20" max="20" width="8.85546875" style="98" customWidth="1"/>
    <col min="21" max="21" width="6.7109375" style="98" customWidth="1"/>
    <col min="22" max="22" width="7" style="98" customWidth="1"/>
    <col min="23" max="16384" width="9.140625" style="98"/>
  </cols>
  <sheetData>
    <row r="1" spans="1:22" ht="13.5" thickBot="1" x14ac:dyDescent="0.25">
      <c r="A1" s="313" t="s">
        <v>484</v>
      </c>
      <c r="B1" s="314"/>
      <c r="C1" s="314"/>
      <c r="D1" s="314"/>
      <c r="E1" s="314"/>
      <c r="F1" s="315"/>
    </row>
    <row r="2" spans="1:22" ht="13.5" thickBot="1" x14ac:dyDescent="0.25"/>
    <row r="3" spans="1:22" ht="38.25" x14ac:dyDescent="0.2">
      <c r="A3" s="114" t="s">
        <v>444</v>
      </c>
      <c r="B3" s="103" t="s">
        <v>483</v>
      </c>
      <c r="C3" s="111" t="s">
        <v>472</v>
      </c>
      <c r="D3" s="316" t="s">
        <v>477</v>
      </c>
      <c r="E3" s="311"/>
      <c r="F3" s="312"/>
      <c r="G3" s="111" t="s">
        <v>473</v>
      </c>
      <c r="H3" s="316" t="s">
        <v>478</v>
      </c>
      <c r="I3" s="311"/>
      <c r="J3" s="312"/>
      <c r="K3" s="111" t="s">
        <v>474</v>
      </c>
      <c r="L3" s="316" t="s">
        <v>479</v>
      </c>
      <c r="M3" s="311"/>
      <c r="N3" s="312"/>
      <c r="O3" s="111" t="s">
        <v>475</v>
      </c>
      <c r="P3" s="316" t="s">
        <v>480</v>
      </c>
      <c r="Q3" s="311"/>
      <c r="R3" s="312"/>
      <c r="S3" s="111" t="s">
        <v>476</v>
      </c>
      <c r="T3" s="311" t="s">
        <v>481</v>
      </c>
      <c r="U3" s="311"/>
      <c r="V3" s="312"/>
    </row>
    <row r="4" spans="1:22" x14ac:dyDescent="0.2">
      <c r="A4" s="115"/>
      <c r="B4" s="105"/>
      <c r="C4" s="112"/>
      <c r="D4" s="118" t="s">
        <v>109</v>
      </c>
      <c r="E4" s="106" t="s">
        <v>159</v>
      </c>
      <c r="F4" s="107" t="s">
        <v>160</v>
      </c>
      <c r="G4" s="120"/>
      <c r="H4" s="118" t="s">
        <v>109</v>
      </c>
      <c r="I4" s="106" t="s">
        <v>159</v>
      </c>
      <c r="J4" s="107" t="s">
        <v>160</v>
      </c>
      <c r="K4" s="120"/>
      <c r="L4" s="118" t="s">
        <v>109</v>
      </c>
      <c r="M4" s="106" t="s">
        <v>159</v>
      </c>
      <c r="N4" s="107" t="s">
        <v>160</v>
      </c>
      <c r="O4" s="120"/>
      <c r="P4" s="118" t="s">
        <v>109</v>
      </c>
      <c r="Q4" s="106" t="s">
        <v>159</v>
      </c>
      <c r="R4" s="107" t="s">
        <v>160</v>
      </c>
      <c r="S4" s="120"/>
      <c r="T4" s="106" t="s">
        <v>109</v>
      </c>
      <c r="U4" s="106" t="s">
        <v>159</v>
      </c>
      <c r="V4" s="107" t="s">
        <v>160</v>
      </c>
    </row>
    <row r="5" spans="1:22" x14ac:dyDescent="0.2">
      <c r="A5" s="116" t="s">
        <v>7</v>
      </c>
      <c r="B5" s="105" t="str">
        <f>'Project Initiation'!B3</f>
        <v>Statement of Work</v>
      </c>
      <c r="C5" s="112">
        <f>SUMIFS('Project Initiation'!D4:D5,'Project Initiation'!H4:H5,"Yes")+SUMIFS('Project Initiation'!D4:D5,'Project Initiation'!H4:H5,"No")</f>
        <v>5</v>
      </c>
      <c r="D5" s="104">
        <f>COUNTIFS('Project Initiation'!C4:C5,"Critical",'Project Initiation'!H4:H5,"No")</f>
        <v>0</v>
      </c>
      <c r="E5" s="105">
        <f>COUNTIFS('Project Initiation'!C4:C5,"Major",'Project Initiation'!H4:H5,"No")</f>
        <v>0</v>
      </c>
      <c r="F5" s="108">
        <f>COUNTIFS('Project Initiation'!C4:C5,"Minor",'Project Initiation'!H4:H5,"No")</f>
        <v>0</v>
      </c>
      <c r="G5" s="112">
        <f>SUMIFS('Project Initiation'!D4:D5,'Project Initiation'!I4:I5,"&lt;&gt;NA")</f>
        <v>8</v>
      </c>
      <c r="H5" s="104">
        <f>COUNTIFS('Project Initiation'!C4:C5,"Critical",'Project Initiation'!I4:I5,"No")</f>
        <v>0</v>
      </c>
      <c r="I5" s="105">
        <f>COUNTIFS('Project Initiation'!C4:C5,"Major",'Project Initiation'!I4:I5,"No")</f>
        <v>0</v>
      </c>
      <c r="J5" s="108">
        <f>COUNTIFS('Project Initiation'!C4:C5,"Minor",'Project Initiation'!I4:I5,"No")</f>
        <v>0</v>
      </c>
      <c r="K5" s="112">
        <f>SUMIFS('Project Initiation'!D4:D5,'Project Initiation'!J4:J5,"&lt;&gt;NA")</f>
        <v>0</v>
      </c>
      <c r="L5" s="104">
        <f>COUNTIFS('Project Initiation'!C4:C5,"Critical",'Project Initiation'!J4:J5,"No")</f>
        <v>0</v>
      </c>
      <c r="M5" s="105">
        <f>COUNTIFS('Project Initiation'!C4:C5,"Major",'Project Initiation'!J4:J5,"No")</f>
        <v>0</v>
      </c>
      <c r="N5" s="108">
        <f>COUNTIFS('Project Initiation'!C4:C5,"Minor",'Project Initiation'!J4:J5,"No")</f>
        <v>0</v>
      </c>
      <c r="O5" s="112">
        <f>SUMIFS('Project Initiation'!D4:D5,'Project Initiation'!K4:K5,"&lt;&gt;NA")</f>
        <v>0</v>
      </c>
      <c r="P5" s="104">
        <f>COUNTIFS('Project Initiation'!C4:C5,"Critical",'Project Initiation'!K4:K5,"No")</f>
        <v>0</v>
      </c>
      <c r="Q5" s="105">
        <f>COUNTIFS('Project Initiation'!C4:C5,"Major",'Project Initiation'!K4:K5,"No")</f>
        <v>0</v>
      </c>
      <c r="R5" s="108">
        <f>COUNTIFS('Project Initiation'!C4:C5,"Minor",'Project Initiation'!K4:K5,"No")</f>
        <v>0</v>
      </c>
      <c r="S5" s="112">
        <f>SUMIFS('Project Initiation'!D4:D5,'Project Initiation'!L4:L5,"&lt;&gt;NA")</f>
        <v>0</v>
      </c>
      <c r="T5" s="104">
        <f>COUNTIFS('Project Initiation'!C4:C5,"Critical",'Project Initiation'!L4:L5,"No")</f>
        <v>0</v>
      </c>
      <c r="U5" s="105">
        <f>COUNTIFS('Project Initiation'!C4:C5,"Major",'Project Initiation'!L4:L5,"No")</f>
        <v>0</v>
      </c>
      <c r="V5" s="108">
        <f>COUNTIFS('Project Initiation'!C4:C5,"Minor",'Project Initiation'!L4:L5,"No")</f>
        <v>0</v>
      </c>
    </row>
    <row r="6" spans="1:22" x14ac:dyDescent="0.2">
      <c r="A6" s="115"/>
      <c r="B6" s="105" t="str">
        <f>'Project Initiation'!B6</f>
        <v>Project Initiation Note</v>
      </c>
      <c r="C6" s="112">
        <f>SUMIFS('Project Initiation'!D7:D9,'Project Initiation'!H7:H9,"Yes")+SUMIFS('Project Initiation'!D7:D9,'Project Initiation'!H7:H9,"No")</f>
        <v>6</v>
      </c>
      <c r="D6" s="104">
        <f>COUNTIFS('Project Initiation'!C7:C9,"Critical",'Project Initiation'!H7:H9,"No")</f>
        <v>0</v>
      </c>
      <c r="E6" s="105">
        <f>COUNTIFS('Project Initiation'!C7:C9,"Major",'Project Initiation'!H7:H9,"No")</f>
        <v>0</v>
      </c>
      <c r="F6" s="108">
        <f>COUNTIFS('Project Initiation'!C7:C9,"Minor",'Project Initiation'!H7:H9,"No")</f>
        <v>0</v>
      </c>
      <c r="G6" s="112">
        <f>SUMIFS('Project Initiation'!D7:D9,'Project Initiation'!I7:I9,"&lt;&gt;NA")</f>
        <v>9</v>
      </c>
      <c r="H6" s="104">
        <f>COUNTIFS('Project Initiation'!C7:C9,"Critical",'Project Initiation'!I7:I9,"No")</f>
        <v>0</v>
      </c>
      <c r="I6" s="105">
        <f>COUNTIFS('Project Initiation'!C7:C9,"Major",'Project Initiation'!I7:I9,"No")</f>
        <v>0</v>
      </c>
      <c r="J6" s="108">
        <f>COUNTIFS('Project Initiation'!C7:C9,"Minor",'Project Initiation'!I7:I9,"No")</f>
        <v>0</v>
      </c>
      <c r="K6" s="112">
        <f>SUMIFS('Project Initiation'!D7:D9,'Project Initiation'!J7:J9,"&lt;&gt;NA")</f>
        <v>0</v>
      </c>
      <c r="L6" s="104">
        <f>COUNTIFS('Project Initiation'!C7:C9,"Critical",'Project Initiation'!J7:J9,"No")</f>
        <v>0</v>
      </c>
      <c r="M6" s="105">
        <f>COUNTIFS('Project Initiation'!C7:C9,"Major",'Project Initiation'!J7:J9,"No")</f>
        <v>0</v>
      </c>
      <c r="N6" s="108">
        <f>COUNTIFS('Project Initiation'!C7:C9,"Minor",'Project Initiation'!J7:J9,"No")</f>
        <v>0</v>
      </c>
      <c r="O6" s="112">
        <f>SUMIFS('Project Initiation'!D7:D9,'Project Initiation'!K7:K9,"&lt;&gt;NA")</f>
        <v>0</v>
      </c>
      <c r="P6" s="104">
        <f>COUNTIFS('Project Initiation'!C7:C9,"Critical",'Project Initiation'!K7:K9,"No")</f>
        <v>0</v>
      </c>
      <c r="Q6" s="105">
        <f>COUNTIFS('Project Initiation'!C7:C9,"Major",'Project Initiation'!K7:K9,"No")</f>
        <v>0</v>
      </c>
      <c r="R6" s="108">
        <f>COUNTIFS('Project Initiation'!C7:C9,"Minor",'Project Initiation'!K7:K9,"No")</f>
        <v>0</v>
      </c>
      <c r="S6" s="112">
        <f>SUMIFS('Project Initiation'!D7:D9,'Project Initiation'!L7:L9,"&lt;&gt;NA")</f>
        <v>0</v>
      </c>
      <c r="T6" s="104">
        <f>COUNTIFS('Project Initiation'!C7:C9,"Critical",'Project Initiation'!L7:L9,"No")</f>
        <v>0</v>
      </c>
      <c r="U6" s="105">
        <f>COUNTIFS('Project Initiation'!C7:C9,"Major",'Project Initiation'!L7:L9,"No")</f>
        <v>0</v>
      </c>
      <c r="V6" s="108">
        <f>COUNTIFS('Project Initiation'!C7:C9,"Minor",'Project Initiation'!L7:L9,"No")</f>
        <v>0</v>
      </c>
    </row>
    <row r="7" spans="1:22" x14ac:dyDescent="0.2">
      <c r="A7" s="115"/>
      <c r="B7" s="105" t="str">
        <f>'Project Initiation'!B10</f>
        <v>Project Kick Off</v>
      </c>
      <c r="C7" s="112">
        <f>SUMIFS('Project Initiation'!D11,'Project Initiation'!H11,"Yes")+SUMIFS('Project Initiation'!D11,'Project Initiation'!H11,"No")</f>
        <v>5</v>
      </c>
      <c r="D7" s="104">
        <f>COUNTIFS('Project Initiation'!C11,"Critical",'Project Initiation'!H11,"No")</f>
        <v>0</v>
      </c>
      <c r="E7" s="105">
        <f>COUNTIFS('Project Initiation'!C11,"Major",'Project Initiation'!H11,"No")</f>
        <v>0</v>
      </c>
      <c r="F7" s="108">
        <f>COUNTIFS('Project Initiation'!C11,"Minor",'Project Initiation'!H11,"No")</f>
        <v>0</v>
      </c>
      <c r="G7" s="112">
        <f>SUMIFS('Project Initiation'!D11,'Project Initiation'!I11,"&lt;&gt;NA")</f>
        <v>5</v>
      </c>
      <c r="H7" s="104">
        <f>COUNTIFS('Project Initiation'!C11,"Critical",'Project Initiation'!I11,"No")</f>
        <v>0</v>
      </c>
      <c r="I7" s="105">
        <f>COUNTIFS('Project Initiation'!C11,"Major",'Project Initiation'!I11,"No")</f>
        <v>0</v>
      </c>
      <c r="J7" s="108">
        <f>COUNTIFS('Project Initiation'!C11,"Minor",'Project Initiation'!I11,"No")</f>
        <v>0</v>
      </c>
      <c r="K7" s="112">
        <f>SUMIFS('Project Initiation'!D11,'Project Initiation'!J11,"&lt;&gt;NA")</f>
        <v>0</v>
      </c>
      <c r="L7" s="104">
        <f>COUNTIFS('Project Initiation'!C11,"Critical",'Project Initiation'!J11,"No")</f>
        <v>0</v>
      </c>
      <c r="M7" s="105">
        <f>COUNTIFS('Project Initiation'!C11,"Major",'Project Initiation'!J11,"No")</f>
        <v>0</v>
      </c>
      <c r="N7" s="108">
        <f>COUNTIFS('Project Initiation'!C11,"Minor",'Project Initiation'!J11,"No")</f>
        <v>0</v>
      </c>
      <c r="O7" s="112">
        <f>SUMIFS('Project Initiation'!D11,'Project Initiation'!K11,"&lt;&gt;NA")</f>
        <v>0</v>
      </c>
      <c r="P7" s="104">
        <f>COUNTIFS('Project Initiation'!C11,"Critical",'Project Initiation'!K11,"No")</f>
        <v>0</v>
      </c>
      <c r="Q7" s="105">
        <f>COUNTIFS('Project Initiation'!C11,"Major",'Project Initiation'!K11,"No")</f>
        <v>0</v>
      </c>
      <c r="R7" s="108">
        <f>COUNTIFS('Project Initiation'!C11,"Minor",'Project Initiation'!K11,"No")</f>
        <v>0</v>
      </c>
      <c r="S7" s="112">
        <f>SUMIFS('Project Initiation'!D11,'Project Initiation'!L11,"&lt;&gt;NA")</f>
        <v>0</v>
      </c>
      <c r="T7" s="104">
        <f>COUNTIFS('Project Initiation'!C11,"Critical",'Project Initiation'!L11,"No")</f>
        <v>0</v>
      </c>
      <c r="U7" s="105">
        <f>COUNTIFS('Project Initiation'!C11,"Major",'Project Initiation'!L11,"No")</f>
        <v>0</v>
      </c>
      <c r="V7" s="108">
        <f>COUNTIFS('Project Initiation'!C11,"Minor",'Project Initiation'!L11,"No")</f>
        <v>0</v>
      </c>
    </row>
    <row r="8" spans="1:22" x14ac:dyDescent="0.2">
      <c r="A8" s="115"/>
      <c r="B8" s="105"/>
      <c r="C8" s="112"/>
      <c r="D8" s="104"/>
      <c r="E8" s="105"/>
      <c r="F8" s="108"/>
      <c r="G8" s="112"/>
      <c r="H8" s="104"/>
      <c r="I8" s="105"/>
      <c r="J8" s="108"/>
      <c r="K8" s="112"/>
      <c r="L8" s="104"/>
      <c r="M8" s="105"/>
      <c r="N8" s="108"/>
      <c r="O8" s="112"/>
      <c r="P8" s="104"/>
      <c r="Q8" s="105"/>
      <c r="R8" s="108"/>
      <c r="S8" s="112"/>
      <c r="T8" s="104"/>
      <c r="U8" s="105"/>
      <c r="V8" s="108"/>
    </row>
    <row r="9" spans="1:22" x14ac:dyDescent="0.2">
      <c r="A9" s="116" t="s">
        <v>83</v>
      </c>
      <c r="B9" s="105" t="str">
        <f>'Project Management'!B3</f>
        <v>Assumptions &amp; Constraints</v>
      </c>
      <c r="C9" s="112">
        <f>SUMIFS('Project Management'!D4:D5,'Project Management'!H4:H5,"Yes")+SUMIFS('Project Management'!D4:D5,'Project Management'!H4:H5,"No")</f>
        <v>4</v>
      </c>
      <c r="D9" s="104">
        <f>COUNTIFS('Project Management'!C4:C5,"Critical",'Project Management'!H4:H5,"No")</f>
        <v>0</v>
      </c>
      <c r="E9" s="105">
        <f>COUNTIFS('Project Management'!C4:C5,"Major",'Project Management'!H4:H5,"No")</f>
        <v>0</v>
      </c>
      <c r="F9" s="108">
        <f>COUNTIFS('Project Management'!C4:C5,"Minor",'Project Management'!H4:H5,"No")</f>
        <v>0</v>
      </c>
      <c r="G9" s="112">
        <f>SUMIFS('Project Management'!D4:D5,'Project Management'!I4:I5,"&lt;&gt;NA")</f>
        <v>4</v>
      </c>
      <c r="H9" s="104">
        <f>COUNTIFS('Project Management'!C4:C5,"Critical",'Project Management'!I4:I5,"No")</f>
        <v>0</v>
      </c>
      <c r="I9" s="105">
        <f>COUNTIFS('Project Management'!C4:C5,"Major",'Project Management'!I4:I5,"No")</f>
        <v>0</v>
      </c>
      <c r="J9" s="108">
        <f>COUNTIFS('Project Management'!C4:C5,"Minor",'Project Management'!I4:I5,"No")</f>
        <v>0</v>
      </c>
      <c r="K9" s="112">
        <f>SUMIFS('Project Management'!D4:D5,'Project Management'!J4:J5,"&lt;&gt;NA")</f>
        <v>0</v>
      </c>
      <c r="L9" s="104">
        <f>COUNTIFS('Project Management'!C4:C5,"Critical",'Project Management'!J4:J5,"No")</f>
        <v>0</v>
      </c>
      <c r="M9" s="105">
        <f>COUNTIFS('Project Management'!C4:C5,"Major",'Project Management'!J4:J5,"No")</f>
        <v>0</v>
      </c>
      <c r="N9" s="108">
        <f>COUNTIFS('Project Management'!C4:C5,"Minor",'Project Management'!J4:J5,"No")</f>
        <v>0</v>
      </c>
      <c r="O9" s="112">
        <f>SUMIFS('Project Management'!D4:D5,'Project Management'!K4:K5,"&lt;&gt;NA")</f>
        <v>0</v>
      </c>
      <c r="P9" s="104">
        <f>COUNTIFS('Project Management'!C4:C5,"Critical",'Project Management'!K4:K5,"No")</f>
        <v>0</v>
      </c>
      <c r="Q9" s="105">
        <f>COUNTIFS('Project Management'!C4:C5,"Major",'Project Management'!K4:K5,"No")</f>
        <v>0</v>
      </c>
      <c r="R9" s="108">
        <f>COUNTIFS('Project Management'!C4:C5,"Minor",'Project Management'!K4:K5,"No")</f>
        <v>0</v>
      </c>
      <c r="S9" s="112">
        <f>SUMIFS('Project Management'!D4:D5,'Project Management'!L4:L5,"&lt;&gt;NA")</f>
        <v>0</v>
      </c>
      <c r="T9" s="104">
        <f>COUNTIFS('Project Management'!C4:C5,"Critical",'Project Management'!L4:L5,"No")</f>
        <v>0</v>
      </c>
      <c r="U9" s="105">
        <f>COUNTIFS('Project Management'!C4:C5,"Major",'Project Management'!L4:L5,"No")</f>
        <v>0</v>
      </c>
      <c r="V9" s="108">
        <f>COUNTIFS('Project Management'!C4:C5,"Minor",'Project Management'!L4:L5,"No")</f>
        <v>0</v>
      </c>
    </row>
    <row r="10" spans="1:22" x14ac:dyDescent="0.2">
      <c r="A10" s="115"/>
      <c r="B10" s="105" t="str">
        <f>'Project Management'!B6</f>
        <v>Estimation</v>
      </c>
      <c r="C10" s="112">
        <f>SUMIFS('Project Management'!D7:D11,'Project Management'!H7:H11,"Yes")+SUMIFS('Project Management'!D7:D11,'Project Management'!H7:H11,"No")</f>
        <v>15</v>
      </c>
      <c r="D10" s="104">
        <f>COUNTIFS('Project Management'!C7:C11,"Critical",'Project Management'!H7:H11,"No")</f>
        <v>0</v>
      </c>
      <c r="E10" s="105">
        <f>COUNTIFS('Project Management'!C7:C11,"Major",'Project Management'!H7:H11,"No")</f>
        <v>0</v>
      </c>
      <c r="F10" s="108">
        <f>COUNTIFS('Project Management'!C7:C11,"Minor",'Project Management'!H7:H11,"No")</f>
        <v>1</v>
      </c>
      <c r="G10" s="112">
        <f>SUMIFS('Project Management'!D7:D11,'Project Management'!I7:I11,"&lt;&gt;NA")</f>
        <v>15</v>
      </c>
      <c r="H10" s="104">
        <f>COUNTIFS('Project Management'!C7:C11,"Critical",'Project Management'!I7:I11,"No")</f>
        <v>0</v>
      </c>
      <c r="I10" s="105">
        <f>COUNTIFS('Project Management'!C7:C11,"Major",'Project Management'!I7:I11,"No")</f>
        <v>0</v>
      </c>
      <c r="J10" s="108">
        <f>COUNTIFS('Project Management'!C7:C11,"Minor",'Project Management'!I7:I11,"No")</f>
        <v>0</v>
      </c>
      <c r="K10" s="112">
        <f>SUMIFS('Project Management'!D7:D11,'Project Management'!J7:J11,"&lt;&gt;NA")</f>
        <v>0</v>
      </c>
      <c r="L10" s="104">
        <f>COUNTIFS('Project Management'!C7:C11,"Critical",'Project Management'!J7:J11,"No")</f>
        <v>0</v>
      </c>
      <c r="M10" s="105">
        <f>COUNTIFS('Project Management'!C7:C11,"Major",'Project Management'!J7:J11,"No")</f>
        <v>0</v>
      </c>
      <c r="N10" s="108">
        <f>COUNTIFS('Project Management'!C7:C11,"Minor",'Project Management'!J7:J11,"No")</f>
        <v>0</v>
      </c>
      <c r="O10" s="112">
        <f>SUMIFS('Project Management'!D7:D11,'Project Management'!K7:K11,"&lt;&gt;NA")</f>
        <v>0</v>
      </c>
      <c r="P10" s="104">
        <f>COUNTIFS('Project Management'!C7:C11,"Critical",'Project Management'!K7:K11,"No")</f>
        <v>0</v>
      </c>
      <c r="Q10" s="105">
        <f>COUNTIFS('Project Management'!C7:C11,"Major",'Project Management'!K7:K11,"No")</f>
        <v>0</v>
      </c>
      <c r="R10" s="108">
        <f>COUNTIFS('Project Management'!C7:C11,"Minor",'Project Management'!K7:K11,"No")</f>
        <v>0</v>
      </c>
      <c r="S10" s="112">
        <f>SUMIFS('Project Management'!D7:D11,'Project Management'!L7:L11,"&lt;&gt;NA")</f>
        <v>0</v>
      </c>
      <c r="T10" s="104">
        <f>COUNTIFS('Project Management'!C7:C11,"Critical",'Project Management'!L7:L11,"No")</f>
        <v>0</v>
      </c>
      <c r="U10" s="105">
        <f>COUNTIFS('Project Management'!C7:C11,"Major",'Project Management'!L7:L11,"No")</f>
        <v>0</v>
      </c>
      <c r="V10" s="108">
        <f>COUNTIFS('Project Management'!C7:C11,"Minor",'Project Management'!L7:L11,"No")</f>
        <v>0</v>
      </c>
    </row>
    <row r="11" spans="1:22" x14ac:dyDescent="0.2">
      <c r="A11" s="115"/>
      <c r="B11" s="105" t="str">
        <f>'Project Management'!B12</f>
        <v>Process Plan/Tailoring</v>
      </c>
      <c r="C11" s="112">
        <f>SUMIFS('Project Management'!D13:D18,'Project Management'!H13:H18,"Yes")+SUMIFS('Project Management'!D13:D18,'Project Management'!H13:H18,"No")</f>
        <v>16</v>
      </c>
      <c r="D11" s="104">
        <f>COUNTIFS('Project Management'!C13:C18,"Critical",'Project Management'!H13:H18,"No")</f>
        <v>1</v>
      </c>
      <c r="E11" s="105">
        <f>COUNTIFS('Project Management'!C13:C18,"Major",'Project Management'!H13:H18,"No")</f>
        <v>1</v>
      </c>
      <c r="F11" s="108">
        <f>COUNTIFS('Project Management'!C13:C18,"Minor",'Project Management'!H13:H18,"No")</f>
        <v>0</v>
      </c>
      <c r="G11" s="112">
        <f>SUMIFS('Project Management'!D13:D18,'Project Management'!I13:I18,"&lt;&gt;NA")</f>
        <v>16</v>
      </c>
      <c r="H11" s="104">
        <f>COUNTIFS('Project Management'!C13:C18,"Critical",'Project Management'!I13:I18,"No")</f>
        <v>0</v>
      </c>
      <c r="I11" s="105">
        <f>COUNTIFS('Project Management'!C13:C18,"Major",'Project Management'!I13:I18,"No")</f>
        <v>0</v>
      </c>
      <c r="J11" s="108">
        <f>COUNTIFS('Project Management'!C13:C18,"Minor",'Project Management'!I13:I18,"No")</f>
        <v>0</v>
      </c>
      <c r="K11" s="112">
        <f>SUMIFS('Project Management'!D13:D18,'Project Management'!J13:J18,"&lt;&gt;NA")</f>
        <v>0</v>
      </c>
      <c r="L11" s="104">
        <f>COUNTIFS('Project Management'!C13:C18,"Critical",'Project Management'!J13:J18,"No")</f>
        <v>0</v>
      </c>
      <c r="M11" s="105">
        <f>COUNTIFS('Project Management'!C13:C18,"Major",'Project Management'!J13:J18,"No")</f>
        <v>0</v>
      </c>
      <c r="N11" s="108">
        <f>COUNTIFS('Project Management'!C13:C18,"Minor",'Project Management'!J13:J18,"No")</f>
        <v>0</v>
      </c>
      <c r="O11" s="112">
        <f>SUMIFS('Project Management'!D13:D18,'Project Management'!K13:K18,"&lt;&gt;NA")</f>
        <v>0</v>
      </c>
      <c r="P11" s="104">
        <f>COUNTIFS('Project Management'!C13:C18,"Critical",'Project Management'!K13:K18,"No")</f>
        <v>0</v>
      </c>
      <c r="Q11" s="105">
        <f>COUNTIFS('Project Management'!C13:C18,"Major",'Project Management'!K13:K18,"No")</f>
        <v>0</v>
      </c>
      <c r="R11" s="108">
        <f>COUNTIFS('Project Management'!C13:C18,"Minor",'Project Management'!K13:K18,"No")</f>
        <v>0</v>
      </c>
      <c r="S11" s="112">
        <f>SUMIFS('Project Management'!D13:D18,'Project Management'!L13:L18,"&lt;&gt;NA")</f>
        <v>0</v>
      </c>
      <c r="T11" s="104">
        <f>COUNTIFS('Project Management'!C13:C18,"Critical",'Project Management'!L13:L18,"No")</f>
        <v>0</v>
      </c>
      <c r="U11" s="105">
        <f>COUNTIFS('Project Management'!C13:C18,"Major",'Project Management'!L13:L18,"No")</f>
        <v>0</v>
      </c>
      <c r="V11" s="108">
        <f>COUNTIFS('Project Management'!C13:C18,"Minor",'Project Management'!L13:L18,"No")</f>
        <v>0</v>
      </c>
    </row>
    <row r="12" spans="1:22" x14ac:dyDescent="0.2">
      <c r="A12" s="115"/>
      <c r="B12" s="105" t="str">
        <f>'Project Management'!B19</f>
        <v>IT/Human Resource Plan</v>
      </c>
      <c r="C12" s="112">
        <f>SUMIFS('Project Management'!D20:D23,'Project Management'!H20:H23,"Yes")+SUMIFS('Project Management'!D20:D23,'Project Management'!H20:H23,"No")</f>
        <v>8</v>
      </c>
      <c r="D12" s="104">
        <f>COUNTIFS('Project Management'!C20:C23,"Critical",'Project Management'!H20:H23,"No")</f>
        <v>0</v>
      </c>
      <c r="E12" s="105">
        <f>COUNTIFS('Project Management'!C20:C23,"Major",'Project Management'!H20:H23,"No")</f>
        <v>0</v>
      </c>
      <c r="F12" s="108">
        <f>COUNTIFS('Project Management'!C20:C23,"Minor",'Project Management'!H20:H23,"No")</f>
        <v>1</v>
      </c>
      <c r="G12" s="112">
        <f>SUMIFS('Project Management'!D20:D23,'Project Management'!I20:I23,"&lt;&gt;NA")</f>
        <v>8</v>
      </c>
      <c r="H12" s="104">
        <f>COUNTIFS('Project Management'!C20:C23,"Critical",'Project Management'!I20:I23,"No")</f>
        <v>0</v>
      </c>
      <c r="I12" s="105">
        <f>COUNTIFS('Project Management'!C20:C23,"Major",'Project Management'!I20:I23,"No")</f>
        <v>0</v>
      </c>
      <c r="J12" s="108">
        <f>COUNTIFS('Project Management'!C20:C23,"Minor",'Project Management'!I20:I23,"No")</f>
        <v>0</v>
      </c>
      <c r="K12" s="112">
        <f>SUMIFS('Project Management'!D20:D23,'Project Management'!J20:J23,"&lt;&gt;NA")</f>
        <v>0</v>
      </c>
      <c r="L12" s="104">
        <f>COUNTIFS('Project Management'!C20:C23,"Critical",'Project Management'!J20:J23,"No")</f>
        <v>0</v>
      </c>
      <c r="M12" s="105">
        <f>COUNTIFS('Project Management'!C20:C23,"Major",'Project Management'!J20:J23,"No")</f>
        <v>0</v>
      </c>
      <c r="N12" s="108">
        <f>COUNTIFS('Project Management'!C20:C23,"Minor",'Project Management'!J20:J23,"No")</f>
        <v>0</v>
      </c>
      <c r="O12" s="112">
        <f>SUMIFS('Project Management'!D20:D23,'Project Management'!K20:K23,"&lt;&gt;NA")</f>
        <v>0</v>
      </c>
      <c r="P12" s="104">
        <f>COUNTIFS('Project Management'!C20:C23,"Critical",'Project Management'!K20:K23,"No")</f>
        <v>0</v>
      </c>
      <c r="Q12" s="105">
        <f>COUNTIFS('Project Management'!C20:C23,"Major",'Project Management'!K20:K23,"No")</f>
        <v>0</v>
      </c>
      <c r="R12" s="108">
        <f>COUNTIFS('Project Management'!C20:C23,"Minor",'Project Management'!K20:K23,"No")</f>
        <v>0</v>
      </c>
      <c r="S12" s="112">
        <f>SUMIFS('Project Management'!D20:D23,'Project Management'!L20:L23,"&lt;&gt;NA")</f>
        <v>0</v>
      </c>
      <c r="T12" s="104">
        <f>COUNTIFS('Project Management'!C20:C23,"Critical",'Project Management'!L20:L23,"No")</f>
        <v>0</v>
      </c>
      <c r="U12" s="105">
        <f>COUNTIFS('Project Management'!C20:C23,"Major",'Project Management'!L20:L23,"No")</f>
        <v>0</v>
      </c>
      <c r="V12" s="108">
        <f>COUNTIFS('Project Management'!C20:C23,"Minor",'Project Management'!L20:L23,"No")</f>
        <v>0</v>
      </c>
    </row>
    <row r="13" spans="1:22" x14ac:dyDescent="0.2">
      <c r="A13" s="115"/>
      <c r="B13" s="105" t="str">
        <f>'Project Management'!B24</f>
        <v>Skill Assessment</v>
      </c>
      <c r="C13" s="112">
        <f>SUMIFS('Project Management'!D25:D27,'Project Management'!H25:H27,"Yes")+SUMIFS('Project Management'!D25:D27,'Project Management'!H25:H27,"No")</f>
        <v>8</v>
      </c>
      <c r="D13" s="104">
        <f>COUNTIFS('Project Management'!C25:C27,"Critical",'Project Management'!H25:H27,"No")</f>
        <v>1</v>
      </c>
      <c r="E13" s="105">
        <f>COUNTIFS('Project Management'!C25:C27,"Major",'Project Management'!H25:H27,"No")</f>
        <v>2</v>
      </c>
      <c r="F13" s="108">
        <f>COUNTIFS('Project Management'!C25:C27,"Minor",'Project Management'!H25:H27,"No")</f>
        <v>0</v>
      </c>
      <c r="G13" s="112">
        <f>SUMIFS('Project Management'!D25:D27,'Project Management'!I25:I27,"&lt;&gt;NA")</f>
        <v>8</v>
      </c>
      <c r="H13" s="104">
        <f>COUNTIFS('Project Management'!C25:C27,"Critical",'Project Management'!I25:I27,"No")</f>
        <v>0</v>
      </c>
      <c r="I13" s="105">
        <f>COUNTIFS('Project Management'!C25:C27,"Major",'Project Management'!I25:I27,"No")</f>
        <v>0</v>
      </c>
      <c r="J13" s="108">
        <f>COUNTIFS('Project Management'!C25:C27,"Minor",'Project Management'!I25:I27,"No")</f>
        <v>0</v>
      </c>
      <c r="K13" s="112">
        <f>SUMIFS('Project Management'!D25:D27,'Project Management'!J25:J27,"&lt;&gt;NA")</f>
        <v>0</v>
      </c>
      <c r="L13" s="104">
        <f>COUNTIFS('Project Management'!C25:C27,"Critical",'Project Management'!J25:J27,"No")</f>
        <v>0</v>
      </c>
      <c r="M13" s="105">
        <f>COUNTIFS('Project Management'!C25:C27,"Major",'Project Management'!J25:J27,"No")</f>
        <v>0</v>
      </c>
      <c r="N13" s="108">
        <f>COUNTIFS('Project Management'!C25:C27,"Minor",'Project Management'!J25:J27,"No")</f>
        <v>0</v>
      </c>
      <c r="O13" s="112">
        <f>SUMIFS('Project Management'!D25:D27,'Project Management'!K25:K27,"&lt;&gt;NA")</f>
        <v>0</v>
      </c>
      <c r="P13" s="104">
        <f>COUNTIFS('Project Management'!C25:C27,"Critical",'Project Management'!K25:K27,"No")</f>
        <v>0</v>
      </c>
      <c r="Q13" s="105">
        <f>COUNTIFS('Project Management'!C25:C27,"Major",'Project Management'!K25:K27,"No")</f>
        <v>0</v>
      </c>
      <c r="R13" s="108">
        <f>COUNTIFS('Project Management'!C25:C27,"Minor",'Project Management'!K25:K27,"No")</f>
        <v>0</v>
      </c>
      <c r="S13" s="112">
        <f>SUMIFS('Project Management'!D25:D27,'Project Management'!L25:L27,"&lt;&gt;NA")</f>
        <v>0</v>
      </c>
      <c r="T13" s="104">
        <f>COUNTIFS('Project Management'!C25:C27,"Critical",'Project Management'!L25:L27,"No")</f>
        <v>0</v>
      </c>
      <c r="U13" s="105">
        <f>COUNTIFS('Project Management'!C25:C27,"Major",'Project Management'!L25:L27,"No")</f>
        <v>0</v>
      </c>
      <c r="V13" s="108">
        <f>COUNTIFS('Project Management'!C25:C27,"Minor",'Project Management'!L25:L27,"No")</f>
        <v>0</v>
      </c>
    </row>
    <row r="14" spans="1:22" x14ac:dyDescent="0.2">
      <c r="A14" s="115"/>
      <c r="B14" s="105" t="str">
        <f>'Project Management'!B28</f>
        <v>Schedule</v>
      </c>
      <c r="C14" s="112">
        <f>SUMIFS('Project Management'!D29:D31,'Project Management'!H29:H31,"Yes")+SUMIFS('Project Management'!D29:D31,'Project Management'!H29:H31,"No")</f>
        <v>5</v>
      </c>
      <c r="D14" s="104">
        <f>COUNTIFS('Project Management'!C29:C31,"Critical",'Project Management'!H29:H31,"No")</f>
        <v>1</v>
      </c>
      <c r="E14" s="105">
        <f>COUNTIFS('Project Management'!C29:C31,"Major",'Project Management'!H29:H31,"No")</f>
        <v>0</v>
      </c>
      <c r="F14" s="108">
        <f>COUNTIFS('Project Management'!C29:C31,"Minor",'Project Management'!H29:H31,"No")</f>
        <v>0</v>
      </c>
      <c r="G14" s="112">
        <f>SUMIFS('Project Management'!D29:D31,'Project Management'!I29:I31,"&lt;&gt;NA")</f>
        <v>9</v>
      </c>
      <c r="H14" s="104">
        <f>COUNTIFS('Project Management'!C29:C31,"Critical",'Project Management'!I29:I31,"No")</f>
        <v>0</v>
      </c>
      <c r="I14" s="105">
        <f>COUNTIFS('Project Management'!C29:C31,"Major",'Project Management'!I29:I31,"No")</f>
        <v>0</v>
      </c>
      <c r="J14" s="108">
        <f>COUNTIFS('Project Management'!C29:C31,"Minor",'Project Management'!I29:I31,"No")</f>
        <v>0</v>
      </c>
      <c r="K14" s="112">
        <f>SUMIFS('Project Management'!D29:D31,'Project Management'!J29:J31,"&lt;&gt;NA")</f>
        <v>0</v>
      </c>
      <c r="L14" s="104">
        <f>COUNTIFS('Project Management'!C29:C31,"Critical",'Project Management'!J29:J31,"No")</f>
        <v>0</v>
      </c>
      <c r="M14" s="105">
        <f>COUNTIFS('Project Management'!C29:C31,"Major",'Project Management'!J29:J31,"No")</f>
        <v>0</v>
      </c>
      <c r="N14" s="108">
        <f>COUNTIFS('Project Management'!C29:C31,"Minor",'Project Management'!J29:J31,"No")</f>
        <v>0</v>
      </c>
      <c r="O14" s="112">
        <f>SUMIFS('Project Management'!D29:D31,'Project Management'!K29:K31,"&lt;&gt;NA")</f>
        <v>0</v>
      </c>
      <c r="P14" s="104">
        <f>COUNTIFS('Project Management'!C29:C31,"Critical",'Project Management'!K29:K31,"No")</f>
        <v>0</v>
      </c>
      <c r="Q14" s="105">
        <f>COUNTIFS('Project Management'!C29:C31,"Major",'Project Management'!K29:K31,"No")</f>
        <v>0</v>
      </c>
      <c r="R14" s="108">
        <f>COUNTIFS('Project Management'!C29:C31,"Minor",'Project Management'!K29:K31,"No")</f>
        <v>0</v>
      </c>
      <c r="S14" s="112">
        <f>SUMIFS('Project Management'!D29:D31,'Project Management'!L29:L31,"&lt;&gt;NA")</f>
        <v>0</v>
      </c>
      <c r="T14" s="104">
        <f>COUNTIFS('Project Management'!C29:C31,"Critical",'Project Management'!L29:L31,"No")</f>
        <v>0</v>
      </c>
      <c r="U14" s="105">
        <f>COUNTIFS('Project Management'!C29:C31,"Major",'Project Management'!L29:L31,"No")</f>
        <v>0</v>
      </c>
      <c r="V14" s="108">
        <f>COUNTIFS('Project Management'!C29:C31,"Minor",'Project Management'!L29:L31,"No")</f>
        <v>0</v>
      </c>
    </row>
    <row r="15" spans="1:22" x14ac:dyDescent="0.2">
      <c r="A15" s="115"/>
      <c r="B15" s="105" t="str">
        <f>'Project Management'!B32</f>
        <v>Configuration Management Plan</v>
      </c>
      <c r="C15" s="112">
        <f>SUMIFS('Project Management'!D33:D41,'Project Management'!H33:H41,"Yes")+SUMIFS('Project Management'!D33:D41,'Project Management'!H33:H41,"No")</f>
        <v>21</v>
      </c>
      <c r="D15" s="104">
        <f>COUNTIFS('Project Management'!C33:C41,"Critical",'Project Management'!H33:H41,"No")</f>
        <v>1</v>
      </c>
      <c r="E15" s="105">
        <f>COUNTIFS('Project Management'!C33:C41,"Major",'Project Management'!H33:H41,"No")</f>
        <v>1</v>
      </c>
      <c r="F15" s="108">
        <f>COUNTIFS('Project Management'!C33:C41,"Minor",'Project Management'!H33:H41,"No")</f>
        <v>0</v>
      </c>
      <c r="G15" s="112">
        <f>SUMIFS('Project Management'!D33:D41,'Project Management'!I33:I41,"&lt;&gt;NA")</f>
        <v>21</v>
      </c>
      <c r="H15" s="104">
        <f>COUNTIFS('Project Management'!C33:C41,"Critical",'Project Management'!I33:I41,"No")</f>
        <v>0</v>
      </c>
      <c r="I15" s="105">
        <f>COUNTIFS('Project Management'!C33:C41,"Major",'Project Management'!I33:I41,"No")</f>
        <v>0</v>
      </c>
      <c r="J15" s="108">
        <f>COUNTIFS('Project Management'!C33:C41,"Minor",'Project Management'!I33:I41,"No")</f>
        <v>0</v>
      </c>
      <c r="K15" s="112">
        <f>SUMIFS('Project Management'!D33:D41,'Project Management'!J33:J41,"&lt;&gt;NA")</f>
        <v>0</v>
      </c>
      <c r="L15" s="104">
        <f>COUNTIFS('Project Management'!C33:C41,"Critical",'Project Management'!J33:J41,"No")</f>
        <v>0</v>
      </c>
      <c r="M15" s="105">
        <f>COUNTIFS('Project Management'!C33:C41,"Major",'Project Management'!J33:J41,"No")</f>
        <v>0</v>
      </c>
      <c r="N15" s="108">
        <f>COUNTIFS('Project Management'!C33:C41,"Minor",'Project Management'!J33:J41,"No")</f>
        <v>0</v>
      </c>
      <c r="O15" s="112">
        <f>SUMIFS('Project Management'!D33:D41,'Project Management'!K33:K41,"&lt;&gt;NA")</f>
        <v>0</v>
      </c>
      <c r="P15" s="104">
        <f>COUNTIFS('Project Management'!C33:C41,"Critical",'Project Management'!K33:K41,"No")</f>
        <v>0</v>
      </c>
      <c r="Q15" s="105">
        <f>COUNTIFS('Project Management'!C33:C41,"Major",'Project Management'!K33:K41,"No")</f>
        <v>0</v>
      </c>
      <c r="R15" s="108">
        <f>COUNTIFS('Project Management'!C33:C41,"Minor",'Project Management'!K33:K41,"No")</f>
        <v>0</v>
      </c>
      <c r="S15" s="112">
        <f>SUMIFS('Project Management'!D33:D41,'Project Management'!L33:L41,"&lt;&gt;NA")</f>
        <v>0</v>
      </c>
      <c r="T15" s="104">
        <f>COUNTIFS('Project Management'!C33:C41,"Critical",'Project Management'!L33:L41,"No")</f>
        <v>0</v>
      </c>
      <c r="U15" s="105">
        <f>COUNTIFS('Project Management'!C33:C41,"Major",'Project Management'!L33:L41,"No")</f>
        <v>0</v>
      </c>
      <c r="V15" s="108">
        <f>COUNTIFS('Project Management'!C33:C41,"Minor",'Project Management'!L33:L41,"No")</f>
        <v>0</v>
      </c>
    </row>
    <row r="16" spans="1:22" x14ac:dyDescent="0.2">
      <c r="A16" s="115"/>
      <c r="B16" s="105" t="str">
        <f>'Project Management'!B42</f>
        <v>Access Permissions</v>
      </c>
      <c r="C16" s="112">
        <f>SUMIFS('Project Management'!D43,'Project Management'!H43,"Yes")+SUMIFS('Project Management'!D43,'Project Management'!H43,"No")</f>
        <v>5</v>
      </c>
      <c r="D16" s="104">
        <f>COUNTIFS('Project Management'!C43,"Critical",'Project Management'!H43,"No")</f>
        <v>0</v>
      </c>
      <c r="E16" s="105">
        <f>COUNTIFS('Project Management'!C43,"Major",'Project Management'!H43,"No")</f>
        <v>0</v>
      </c>
      <c r="F16" s="108">
        <f>COUNTIFS('Project Management'!C43,"Minor",'Project Management'!H43,"No")</f>
        <v>0</v>
      </c>
      <c r="G16" s="112">
        <f>SUMIFS('Project Management'!D43,'Project Management'!I43,"&lt;&gt;NA")</f>
        <v>5</v>
      </c>
      <c r="H16" s="104">
        <f>COUNTIFS('Project Management'!C43,"Critical",'Project Management'!I43,"No")</f>
        <v>0</v>
      </c>
      <c r="I16" s="105">
        <f>COUNTIFS('Project Management'!C43,"Major",'Project Management'!I43,"No")</f>
        <v>0</v>
      </c>
      <c r="J16" s="108">
        <f>COUNTIFS('Project Management'!C43,"Minor",'Project Management'!I43,"No")</f>
        <v>0</v>
      </c>
      <c r="K16" s="112">
        <f>SUMIFS('Project Management'!D43,'Project Management'!J43,"&lt;&gt;NA")</f>
        <v>0</v>
      </c>
      <c r="L16" s="104">
        <f>COUNTIFS('Project Management'!C43,"Critical",'Project Management'!J43,"No")</f>
        <v>0</v>
      </c>
      <c r="M16" s="105">
        <f>COUNTIFS('Project Management'!C43,"Major",'Project Management'!J43,"No")</f>
        <v>0</v>
      </c>
      <c r="N16" s="108">
        <f>COUNTIFS('Project Management'!C43,"Minor",'Project Management'!J43,"No")</f>
        <v>0</v>
      </c>
      <c r="O16" s="112">
        <f>SUMIFS('Project Management'!D43,'Project Management'!K43,"&lt;&gt;NA")</f>
        <v>0</v>
      </c>
      <c r="P16" s="104">
        <f>COUNTIFS('Project Management'!C43,"Critical",'Project Management'!K43,"No")</f>
        <v>0</v>
      </c>
      <c r="Q16" s="105">
        <f>COUNTIFS('Project Management'!C43,"Major",'Project Management'!K43,"No")</f>
        <v>0</v>
      </c>
      <c r="R16" s="108">
        <f>COUNTIFS('Project Management'!C43,"Minor",'Project Management'!K43,"No")</f>
        <v>0</v>
      </c>
      <c r="S16" s="112">
        <f>SUMIFS('Project Management'!D43,'Project Management'!L43,"&lt;&gt;NA")</f>
        <v>0</v>
      </c>
      <c r="T16" s="104">
        <f>COUNTIFS('Project Management'!C43,"Critical",'Project Management'!L43,"No")</f>
        <v>0</v>
      </c>
      <c r="U16" s="105">
        <f>COUNTIFS('Project Management'!C43,"Major",'Project Management'!L43,"No")</f>
        <v>0</v>
      </c>
      <c r="V16" s="108">
        <f>COUNTIFS('Project Management'!C43,"Minor",'Project Management'!L43,"No")</f>
        <v>0</v>
      </c>
    </row>
    <row r="17" spans="1:22" x14ac:dyDescent="0.2">
      <c r="A17" s="115"/>
      <c r="B17" s="105" t="str">
        <f>'Project Management'!B44</f>
        <v>Backup Plan</v>
      </c>
      <c r="C17" s="112">
        <f>SUMIFS('Project Management'!D45:D46,'Project Management'!H45:H46,"Yes")+SUMIFS('Project Management'!D45:D46,'Project Management'!H45:H46,"No")</f>
        <v>6</v>
      </c>
      <c r="D17" s="104">
        <f>COUNTIFS('Project Management'!C45:C46,"Critical",'Project Management'!H45:H46,"No")</f>
        <v>0</v>
      </c>
      <c r="E17" s="105">
        <f>COUNTIFS('Project Management'!C45:C46,"Major",'Project Management'!H45:H46,"No")</f>
        <v>0</v>
      </c>
      <c r="F17" s="108">
        <f>COUNTIFS('Project Management'!C45:C46,"Minor",'Project Management'!H45:H46,"No")</f>
        <v>0</v>
      </c>
      <c r="G17" s="112">
        <f>SUMIFS('Project Management'!D45:D46,'Project Management'!I45:I46,"&lt;&gt;NA")</f>
        <v>6</v>
      </c>
      <c r="H17" s="104">
        <f>COUNTIFS('Project Management'!C45:C46,"Critical",'Project Management'!I45:I46,"No")</f>
        <v>0</v>
      </c>
      <c r="I17" s="105">
        <f>COUNTIFS('Project Management'!C45:C46,"Major",'Project Management'!I45:I46,"No")</f>
        <v>0</v>
      </c>
      <c r="J17" s="108">
        <f>COUNTIFS('Project Management'!C45:C46,"Minor",'Project Management'!I45:I46,"No")</f>
        <v>0</v>
      </c>
      <c r="K17" s="112">
        <f>SUMIFS('Project Management'!D45:D46,'Project Management'!J45:J46,"&lt;&gt;NA")</f>
        <v>0</v>
      </c>
      <c r="L17" s="104">
        <f>COUNTIFS('Project Management'!C45:C46,"Critical",'Project Management'!J45:J46,"No")</f>
        <v>0</v>
      </c>
      <c r="M17" s="105">
        <f>COUNTIFS('Project Management'!C45:C46,"Major",'Project Management'!J45:J46,"No")</f>
        <v>0</v>
      </c>
      <c r="N17" s="108">
        <f>COUNTIFS('Project Management'!C45:C46,"Minor",'Project Management'!J45:J46,"No")</f>
        <v>0</v>
      </c>
      <c r="O17" s="112">
        <f>SUMIFS('Project Management'!D45:D46,'Project Management'!K45:K46,"&lt;&gt;NA")</f>
        <v>0</v>
      </c>
      <c r="P17" s="104">
        <f>COUNTIFS('Project Management'!C45:C46,"Critical",'Project Management'!K45:K46,"No")</f>
        <v>0</v>
      </c>
      <c r="Q17" s="105">
        <f>COUNTIFS('Project Management'!C45:C46,"Major",'Project Management'!K45:K46,"No")</f>
        <v>0</v>
      </c>
      <c r="R17" s="108">
        <f>COUNTIFS('Project Management'!C45:C46,"Minor",'Project Management'!K45:K46,"No")</f>
        <v>0</v>
      </c>
      <c r="S17" s="112">
        <f>SUMIFS('Project Management'!D45:D46,'Project Management'!L45:L46,"&lt;&gt;NA")</f>
        <v>0</v>
      </c>
      <c r="T17" s="104">
        <f>COUNTIFS('Project Management'!C45:C46,"Critical",'Project Management'!L45:L46,"No")</f>
        <v>0</v>
      </c>
      <c r="U17" s="105">
        <f>COUNTIFS('Project Management'!C45:C46,"Major",'Project Management'!L45:L46,"No")</f>
        <v>0</v>
      </c>
      <c r="V17" s="108">
        <f>COUNTIFS('Project Management'!C45:C46,"Minor",'Project Management'!L45:L46,"No")</f>
        <v>0</v>
      </c>
    </row>
    <row r="18" spans="1:22" x14ac:dyDescent="0.2">
      <c r="A18" s="115"/>
      <c r="B18" s="105" t="str">
        <f>'Project Management'!B47</f>
        <v>Change Management Plan</v>
      </c>
      <c r="C18" s="112">
        <f>SUMIFS('Project Management'!D48,'Project Management'!H48,"Yes")+SUMIFS('Project Management'!D48,'Project Management'!H48,"No")</f>
        <v>5</v>
      </c>
      <c r="D18" s="104">
        <f>COUNTIFS('Project Management'!C48,"Critical",'Project Management'!H48,"No")</f>
        <v>0</v>
      </c>
      <c r="E18" s="105">
        <f>COUNTIFS('Project Management'!C48,"Major",'Project Management'!H48,"No")</f>
        <v>0</v>
      </c>
      <c r="F18" s="108">
        <f>COUNTIFS('Project Management'!C48,"Minor",'Project Management'!H48,"No")</f>
        <v>0</v>
      </c>
      <c r="G18" s="112">
        <f>SUMIFS('Project Management'!D48,'Project Management'!I48,"&lt;&gt;NA")</f>
        <v>5</v>
      </c>
      <c r="H18" s="104">
        <f>COUNTIFS('Project Management'!C48,"Critical",'Project Management'!I48,"No")</f>
        <v>0</v>
      </c>
      <c r="I18" s="105">
        <f>COUNTIFS('Project Management'!C48,"Major",'Project Management'!I48,"No")</f>
        <v>0</v>
      </c>
      <c r="J18" s="108">
        <f>COUNTIFS('Project Management'!C48,"Minor",'Project Management'!I48,"No")</f>
        <v>0</v>
      </c>
      <c r="K18" s="112">
        <f>SUMIFS('Project Management'!D48,'Project Management'!J48,"&lt;&gt;NA")</f>
        <v>0</v>
      </c>
      <c r="L18" s="104">
        <f>COUNTIFS('Project Management'!C48,"Critical",'Project Management'!J48,"No")</f>
        <v>0</v>
      </c>
      <c r="M18" s="105">
        <f>COUNTIFS('Project Management'!C48,"Major",'Project Management'!J48,"No")</f>
        <v>0</v>
      </c>
      <c r="N18" s="108">
        <f>COUNTIFS('Project Management'!C48,"Minor",'Project Management'!J48,"No")</f>
        <v>0</v>
      </c>
      <c r="O18" s="112">
        <f>SUMIFS('Project Management'!D48,'Project Management'!K48,"&lt;&gt;NA")</f>
        <v>0</v>
      </c>
      <c r="P18" s="104">
        <f>COUNTIFS('Project Management'!C48,"Critical",'Project Management'!K48,"No")</f>
        <v>0</v>
      </c>
      <c r="Q18" s="105">
        <f>COUNTIFS('Project Management'!C48,"Major",'Project Management'!K48,"No")</f>
        <v>0</v>
      </c>
      <c r="R18" s="108">
        <f>COUNTIFS('Project Management'!C48,"Minor",'Project Management'!K48,"No")</f>
        <v>0</v>
      </c>
      <c r="S18" s="112">
        <f>SUMIFS('Project Management'!D48,'Project Management'!L48,"&lt;&gt;NA")</f>
        <v>0</v>
      </c>
      <c r="T18" s="104">
        <f>COUNTIFS('Project Management'!C48,"Critical",'Project Management'!L48,"No")</f>
        <v>0</v>
      </c>
      <c r="U18" s="105">
        <f>COUNTIFS('Project Management'!C48,"Major",'Project Management'!L48,"No")</f>
        <v>0</v>
      </c>
      <c r="V18" s="108">
        <f>COUNTIFS('Project Management'!C48,"Minor",'Project Management'!L48,"No")</f>
        <v>0</v>
      </c>
    </row>
    <row r="19" spans="1:22" x14ac:dyDescent="0.2">
      <c r="A19" s="115"/>
      <c r="B19" s="105" t="str">
        <f>'Project Management'!B49</f>
        <v>Metrics Plan</v>
      </c>
      <c r="C19" s="112">
        <f>SUMIFS('Project Management'!D50:D52,'Project Management'!H50:H52,"Yes")+SUMIFS('Project Management'!D50:D52,'Project Management'!H50:H52,"No")</f>
        <v>11</v>
      </c>
      <c r="D19" s="104">
        <f>COUNTIFS('Project Management'!C50:C52,"Critical",'Project Management'!H50:H52,"No")</f>
        <v>1</v>
      </c>
      <c r="E19" s="105">
        <f>COUNTIFS('Project Management'!C50:C52,"Major",'Project Management'!H50:H52,"No")</f>
        <v>2</v>
      </c>
      <c r="F19" s="108">
        <f>COUNTIFS('Project Management'!C50:C52,"Minor",'Project Management'!H50:H52,"No")</f>
        <v>0</v>
      </c>
      <c r="G19" s="112">
        <f>SUMIFS('Project Management'!D50:D52,'Project Management'!I50:I52,"&lt;&gt;NA")</f>
        <v>11</v>
      </c>
      <c r="H19" s="104">
        <f>COUNTIFS('Project Management'!C50:C52,"Critical",'Project Management'!I50:I52,"No")</f>
        <v>0</v>
      </c>
      <c r="I19" s="105">
        <f>COUNTIFS('Project Management'!C50:C52,"Major",'Project Management'!I50:I52,"No")</f>
        <v>0</v>
      </c>
      <c r="J19" s="108">
        <f>COUNTIFS('Project Management'!C50:C52,"Minor",'Project Management'!I50:I52,"No")</f>
        <v>0</v>
      </c>
      <c r="K19" s="112">
        <f>SUMIFS('Project Management'!D50:D52,'Project Management'!J50:J52,"&lt;&gt;NA")</f>
        <v>0</v>
      </c>
      <c r="L19" s="104">
        <f>COUNTIFS('Project Management'!C50:C52,"Critical",'Project Management'!J50:J52,"No")</f>
        <v>0</v>
      </c>
      <c r="M19" s="105">
        <f>COUNTIFS('Project Management'!C50:C52,"Major",'Project Management'!J50:J52,"No")</f>
        <v>0</v>
      </c>
      <c r="N19" s="108">
        <f>COUNTIFS('Project Management'!C50:C52,"Minor",'Project Management'!J50:J52,"No")</f>
        <v>0</v>
      </c>
      <c r="O19" s="112">
        <f>SUMIFS('Project Management'!D50:D52,'Project Management'!K50:K52,"&lt;&gt;NA")</f>
        <v>0</v>
      </c>
      <c r="P19" s="104">
        <f>COUNTIFS('Project Management'!C50:C52,"Critical",'Project Management'!K50:K52,"No")</f>
        <v>0</v>
      </c>
      <c r="Q19" s="105">
        <f>COUNTIFS('Project Management'!C50:C52,"Major",'Project Management'!K50:K52,"No")</f>
        <v>0</v>
      </c>
      <c r="R19" s="108">
        <f>COUNTIFS('Project Management'!C50:C52,"Minor",'Project Management'!K50:K52,"No")</f>
        <v>0</v>
      </c>
      <c r="S19" s="112">
        <f>SUMIFS('Project Management'!D50:D52,'Project Management'!L50:L52,"&lt;&gt;NA")</f>
        <v>0</v>
      </c>
      <c r="T19" s="104">
        <f>COUNTIFS('Project Management'!C50:C52,"Critical",'Project Management'!L50:L52,"No")</f>
        <v>0</v>
      </c>
      <c r="U19" s="105">
        <f>COUNTIFS('Project Management'!C50:C52,"Major",'Project Management'!L50:L52,"No")</f>
        <v>0</v>
      </c>
      <c r="V19" s="108">
        <f>COUNTIFS('Project Management'!C50:C52,"Minor",'Project Management'!L50:L52,"No")</f>
        <v>0</v>
      </c>
    </row>
    <row r="20" spans="1:22" x14ac:dyDescent="0.2">
      <c r="A20" s="115"/>
      <c r="B20" s="105" t="str">
        <f>'Project Management'!B53</f>
        <v>Work Product Review &amp; Audit Plan</v>
      </c>
      <c r="C20" s="112">
        <f>SUMIFS('Project Management'!D54:D56,'Project Management'!H54:H56,"Yes")+SUMIFS('Project Management'!D54:D56,'Project Management'!H54:H56,"No")</f>
        <v>15</v>
      </c>
      <c r="D20" s="104">
        <f>COUNTIFS('Project Management'!C54:C56,"Critical",'Project Management'!H54:H56,"No")</f>
        <v>0</v>
      </c>
      <c r="E20" s="105">
        <f>COUNTIFS('Project Management'!C54:C56,"Major",'Project Management'!H54:H56,"No")</f>
        <v>0</v>
      </c>
      <c r="F20" s="108">
        <f>COUNTIFS('Project Management'!C54:C56,"Minor",'Project Management'!H54:H56,"No")</f>
        <v>0</v>
      </c>
      <c r="G20" s="112">
        <f>SUMIFS('Project Management'!D54:D56,'Project Management'!I54:I56,"&lt;&gt;NA")</f>
        <v>15</v>
      </c>
      <c r="H20" s="104">
        <f>COUNTIFS('Project Management'!C54:C56,"Critical",'Project Management'!I54:I56,"No")</f>
        <v>0</v>
      </c>
      <c r="I20" s="105">
        <f>COUNTIFS('Project Management'!C54:C56,"Major",'Project Management'!I54:I56,"No")</f>
        <v>0</v>
      </c>
      <c r="J20" s="108">
        <f>COUNTIFS('Project Management'!C54:C56,"Minor",'Project Management'!I54:I56,"No")</f>
        <v>0</v>
      </c>
      <c r="K20" s="112">
        <f>SUMIFS('Project Management'!D54:D56,'Project Management'!J54:J56,"&lt;&gt;NA")</f>
        <v>0</v>
      </c>
      <c r="L20" s="104">
        <f>COUNTIFS('Project Management'!C54:C56,"Critical",'Project Management'!J54:J56,"No")</f>
        <v>0</v>
      </c>
      <c r="M20" s="105">
        <f>COUNTIFS('Project Management'!C54:C56,"Major",'Project Management'!J54:J56,"No")</f>
        <v>0</v>
      </c>
      <c r="N20" s="108">
        <f>COUNTIFS('Project Management'!C54:C56,"Minor",'Project Management'!J54:J56,"No")</f>
        <v>0</v>
      </c>
      <c r="O20" s="112">
        <f>SUMIFS('Project Management'!D54:D56,'Project Management'!K54:K56,"&lt;&gt;NA")</f>
        <v>0</v>
      </c>
      <c r="P20" s="104">
        <f>COUNTIFS('Project Management'!C54:C56,"Critical",'Project Management'!K54:K56,"No")</f>
        <v>0</v>
      </c>
      <c r="Q20" s="105">
        <f>COUNTIFS('Project Management'!C54:C56,"Major",'Project Management'!K54:K56,"No")</f>
        <v>0</v>
      </c>
      <c r="R20" s="108">
        <f>COUNTIFS('Project Management'!C54:C56,"Minor",'Project Management'!K54:K56,"No")</f>
        <v>0</v>
      </c>
      <c r="S20" s="112">
        <f>SUMIFS('Project Management'!D54:D56,'Project Management'!L54:L56,"&lt;&gt;NA")</f>
        <v>0</v>
      </c>
      <c r="T20" s="104">
        <f>COUNTIFS('Project Management'!C54:C56,"Critical",'Project Management'!L54:L56,"No")</f>
        <v>0</v>
      </c>
      <c r="U20" s="105">
        <f>COUNTIFS('Project Management'!C54:C56,"Major",'Project Management'!L54:L56,"No")</f>
        <v>0</v>
      </c>
      <c r="V20" s="108">
        <f>COUNTIFS('Project Management'!C54:C56,"Minor",'Project Management'!L54:L56,"No")</f>
        <v>0</v>
      </c>
    </row>
    <row r="21" spans="1:22" x14ac:dyDescent="0.2">
      <c r="A21" s="115"/>
      <c r="B21" s="105" t="str">
        <f>'Project Management'!B57</f>
        <v>Risk Management Plan</v>
      </c>
      <c r="C21" s="112">
        <f>SUMIFS('Project Management'!D58:D60,'Project Management'!H58:H60,"Yes")+SUMIFS('Project Management'!D58:D60,'Project Management'!H58:H60,"No")</f>
        <v>9</v>
      </c>
      <c r="D21" s="104">
        <f>COUNTIFS('Project Management'!C58:C60,"Critical",'Project Management'!H58:H60,"No")</f>
        <v>0</v>
      </c>
      <c r="E21" s="105">
        <f>COUNTIFS('Project Management'!C58:C60,"Major",'Project Management'!H58:H60,"No")</f>
        <v>1</v>
      </c>
      <c r="F21" s="108">
        <f>COUNTIFS('Project Management'!C58:C60,"Minor",'Project Management'!H58:H60,"No")</f>
        <v>0</v>
      </c>
      <c r="G21" s="112">
        <f>SUMIFS('Project Management'!D58:D60,'Project Management'!I58:I60,"&lt;&gt;NA")</f>
        <v>9</v>
      </c>
      <c r="H21" s="104">
        <f>COUNTIFS('Project Management'!C58:C60,"Critical",'Project Management'!I58:I60,"No")</f>
        <v>0</v>
      </c>
      <c r="I21" s="105">
        <f>COUNTIFS('Project Management'!C58:C60,"Major",'Project Management'!I58:I60,"No")</f>
        <v>0</v>
      </c>
      <c r="J21" s="108">
        <f>COUNTIFS('Project Management'!C58:C60,"Minor",'Project Management'!I58:I60,"No")</f>
        <v>0</v>
      </c>
      <c r="K21" s="112">
        <f>SUMIFS('Project Management'!D58:D60,'Project Management'!J58:J60,"&lt;&gt;NA")</f>
        <v>0</v>
      </c>
      <c r="L21" s="104">
        <f>COUNTIFS('Project Management'!C58:C60,"Critical",'Project Management'!J58:J60,"No")</f>
        <v>0</v>
      </c>
      <c r="M21" s="105">
        <f>COUNTIFS('Project Management'!C58:C60,"Major",'Project Management'!J58:J60,"No")</f>
        <v>0</v>
      </c>
      <c r="N21" s="108">
        <f>COUNTIFS('Project Management'!C58:C60,"Minor",'Project Management'!J58:J60,"No")</f>
        <v>0</v>
      </c>
      <c r="O21" s="112">
        <f>SUMIFS('Project Management'!D58:D60,'Project Management'!K58:K60,"&lt;&gt;NA")</f>
        <v>0</v>
      </c>
      <c r="P21" s="104">
        <f>COUNTIFS('Project Management'!C58:C60,"Critical",'Project Management'!K58:K60,"No")</f>
        <v>0</v>
      </c>
      <c r="Q21" s="105">
        <f>COUNTIFS('Project Management'!C58:C60,"Major",'Project Management'!K58:K60,"No")</f>
        <v>0</v>
      </c>
      <c r="R21" s="108">
        <f>COUNTIFS('Project Management'!C58:C60,"Minor",'Project Management'!K58:K60,"No")</f>
        <v>0</v>
      </c>
      <c r="S21" s="112">
        <f>SUMIFS('Project Management'!D58:D60,'Project Management'!L58:L60,"&lt;&gt;NA")</f>
        <v>0</v>
      </c>
      <c r="T21" s="104">
        <f>COUNTIFS('Project Management'!C58:C60,"Critical",'Project Management'!L58:L60,"No")</f>
        <v>0</v>
      </c>
      <c r="U21" s="105">
        <f>COUNTIFS('Project Management'!C58:C60,"Major",'Project Management'!L58:L60,"No")</f>
        <v>0</v>
      </c>
      <c r="V21" s="108">
        <f>COUNTIFS('Project Management'!C58:C60,"Minor",'Project Management'!L58:L60,"No")</f>
        <v>0</v>
      </c>
    </row>
    <row r="22" spans="1:22" x14ac:dyDescent="0.2">
      <c r="A22" s="115"/>
      <c r="B22" s="105" t="str">
        <f>'Project Management'!B61</f>
        <v>Stakeholder Commitment Plan</v>
      </c>
      <c r="C22" s="112">
        <f>SUMIFS('Project Management'!D62,'Project Management'!H62,"Yes")+SUMIFS('Project Management'!D62,'Project Management'!H62,"No")</f>
        <v>3</v>
      </c>
      <c r="D22" s="104">
        <f>COUNTIFS('Project Management'!C62,"Critical",'Project Management'!H62,"No")</f>
        <v>0</v>
      </c>
      <c r="E22" s="105">
        <f>COUNTIFS('Project Management'!C62,"Major",'Project Management'!H62,"No")</f>
        <v>0</v>
      </c>
      <c r="F22" s="108">
        <f>COUNTIFS('Project Management'!C62,"Minor",'Project Management'!H62,"No")</f>
        <v>0</v>
      </c>
      <c r="G22" s="112">
        <f>SUMIFS('Project Management'!D62,'Project Management'!I62,"&lt;&gt;NA")</f>
        <v>3</v>
      </c>
      <c r="H22" s="104">
        <f>COUNTIFS('Project Management'!C62,"Critical",'Project Management'!I62,"No")</f>
        <v>0</v>
      </c>
      <c r="I22" s="105">
        <f>COUNTIFS('Project Management'!C62,"Major",'Project Management'!I62,"No")</f>
        <v>0</v>
      </c>
      <c r="J22" s="108">
        <f>COUNTIFS('Project Management'!C62,"Minor",'Project Management'!I62,"No")</f>
        <v>0</v>
      </c>
      <c r="K22" s="112">
        <f>SUMIFS('Project Management'!D62,'Project Management'!J62,"&lt;&gt;NA")</f>
        <v>0</v>
      </c>
      <c r="L22" s="104">
        <f>COUNTIFS('Project Management'!C62,"Critical",'Project Management'!J62,"No")</f>
        <v>0</v>
      </c>
      <c r="M22" s="105">
        <f>COUNTIFS('Project Management'!C62,"Major",'Project Management'!J62,"No")</f>
        <v>0</v>
      </c>
      <c r="N22" s="108">
        <f>COUNTIFS('Project Management'!C62,"Minor",'Project Management'!J62,"No")</f>
        <v>0</v>
      </c>
      <c r="O22" s="112">
        <f>SUMIFS('Project Management'!D62,'Project Management'!K62,"&lt;&gt;NA")</f>
        <v>0</v>
      </c>
      <c r="P22" s="104">
        <f>COUNTIFS('Project Management'!C62,"Critical",'Project Management'!K62,"No")</f>
        <v>0</v>
      </c>
      <c r="Q22" s="105">
        <f>COUNTIFS('Project Management'!C62,"Major",'Project Management'!K62,"No")</f>
        <v>0</v>
      </c>
      <c r="R22" s="108">
        <f>COUNTIFS('Project Management'!C62,"Minor",'Project Management'!K62,"No")</f>
        <v>0</v>
      </c>
      <c r="S22" s="112">
        <f>SUMIFS('Project Management'!D62,'Project Management'!L62,"&lt;&gt;NA")</f>
        <v>0</v>
      </c>
      <c r="T22" s="104">
        <f>COUNTIFS('Project Management'!C62,"Critical",'Project Management'!L62,"No")</f>
        <v>0</v>
      </c>
      <c r="U22" s="105">
        <f>COUNTIFS('Project Management'!C62,"Major",'Project Management'!L62,"No")</f>
        <v>0</v>
      </c>
      <c r="V22" s="108">
        <f>COUNTIFS('Project Management'!C62,"Minor",'Project Management'!L62,"No")</f>
        <v>0</v>
      </c>
    </row>
    <row r="23" spans="1:22" x14ac:dyDescent="0.2">
      <c r="A23" s="115"/>
      <c r="B23" s="105" t="str">
        <f>'Project Management'!B63</f>
        <v>Status Review Plan</v>
      </c>
      <c r="C23" s="112">
        <f>SUMIFS('Project Management'!D64,'Project Management'!H64,"Yes")+SUMIFS('Project Management'!D64,'Project Management'!H64,"No")</f>
        <v>5</v>
      </c>
      <c r="D23" s="104">
        <f>COUNTIFS('Project Management'!C64,"Critical",'Project Management'!H64,"No")</f>
        <v>1</v>
      </c>
      <c r="E23" s="105">
        <f>COUNTIFS('Project Management'!C64,"Major",'Project Management'!H64,"No")</f>
        <v>0</v>
      </c>
      <c r="F23" s="108">
        <f>COUNTIFS('Project Management'!C64,"Minor",'Project Management'!H64,"No")</f>
        <v>0</v>
      </c>
      <c r="G23" s="112">
        <f>SUMIFS('Project Management'!D64,'Project Management'!I64,"&lt;&gt;NA")</f>
        <v>5</v>
      </c>
      <c r="H23" s="104">
        <f>COUNTIFS('Project Management'!C64,"Critical",'Project Management'!I64,"No")</f>
        <v>0</v>
      </c>
      <c r="I23" s="105">
        <f>COUNTIFS('Project Management'!C64,"Major",'Project Management'!I64,"No")</f>
        <v>0</v>
      </c>
      <c r="J23" s="108">
        <f>COUNTIFS('Project Management'!C64,"Minor",'Project Management'!I64,"No")</f>
        <v>0</v>
      </c>
      <c r="K23" s="112">
        <f>SUMIFS('Project Management'!D64,'Project Management'!J64,"&lt;&gt;NA")</f>
        <v>0</v>
      </c>
      <c r="L23" s="104">
        <f>COUNTIFS('Project Management'!C64,"Critical",'Project Management'!J64,"No")</f>
        <v>0</v>
      </c>
      <c r="M23" s="105">
        <f>COUNTIFS('Project Management'!C64,"Major",'Project Management'!J64,"No")</f>
        <v>0</v>
      </c>
      <c r="N23" s="108">
        <f>COUNTIFS('Project Management'!C64,"Minor",'Project Management'!J64,"No")</f>
        <v>0</v>
      </c>
      <c r="O23" s="112">
        <f>SUMIFS('Project Management'!D64,'Project Management'!K64,"&lt;&gt;NA")</f>
        <v>0</v>
      </c>
      <c r="P23" s="104">
        <f>COUNTIFS('Project Management'!C64,"Critical",'Project Management'!K64,"No")</f>
        <v>0</v>
      </c>
      <c r="Q23" s="105">
        <f>COUNTIFS('Project Management'!C64,"Major",'Project Management'!K64,"No")</f>
        <v>0</v>
      </c>
      <c r="R23" s="108">
        <f>COUNTIFS('Project Management'!C64,"Minor",'Project Management'!K64,"No")</f>
        <v>0</v>
      </c>
      <c r="S23" s="112">
        <f>SUMIFS('Project Management'!D64,'Project Management'!L64,"&lt;&gt;NA")</f>
        <v>0</v>
      </c>
      <c r="T23" s="104">
        <f>COUNTIFS('Project Management'!C64,"Critical",'Project Management'!L64,"No")</f>
        <v>0</v>
      </c>
      <c r="U23" s="105">
        <f>COUNTIFS('Project Management'!C64,"Major",'Project Management'!L64,"No")</f>
        <v>0</v>
      </c>
      <c r="V23" s="108">
        <f>COUNTIFS('Project Management'!C64,"Minor",'Project Management'!L64,"No")</f>
        <v>0</v>
      </c>
    </row>
    <row r="24" spans="1:22" x14ac:dyDescent="0.2">
      <c r="A24" s="115"/>
      <c r="B24" s="105" t="str">
        <f>'Project Management'!B65</f>
        <v>DAR Plan</v>
      </c>
      <c r="C24" s="112">
        <f>SUMIFS('Project Management'!D66:D67,'Project Management'!H66:H67,"Yes")+SUMIFS('Project Management'!D66:D67,'Project Management'!H66:H67,"No")</f>
        <v>8</v>
      </c>
      <c r="D24" s="104">
        <f>COUNTIFS('Project Management'!C66:C67,"Critical",'Project Management'!H66:H67,"No")</f>
        <v>0</v>
      </c>
      <c r="E24" s="105">
        <f>COUNTIFS('Project Management'!C66:C67,"Major",'Project Management'!H66:H67,"No")</f>
        <v>0</v>
      </c>
      <c r="F24" s="108">
        <f>COUNTIFS('Project Management'!C66:C67,"Minor",'Project Management'!H66:H67,"No")</f>
        <v>0</v>
      </c>
      <c r="G24" s="112">
        <f>SUMIFS('Project Management'!D66:D67,'Project Management'!I66:I67,"&lt;&gt;NA")</f>
        <v>8</v>
      </c>
      <c r="H24" s="104">
        <f>COUNTIFS('Project Management'!C66:C67,"Critical",'Project Management'!I66:I67,"No")</f>
        <v>0</v>
      </c>
      <c r="I24" s="105">
        <f>COUNTIFS('Project Management'!C66:C67,"Major",'Project Management'!I66:I67,"No")</f>
        <v>0</v>
      </c>
      <c r="J24" s="108">
        <f>COUNTIFS('Project Management'!C66:C67,"Minor",'Project Management'!I66:I67,"No")</f>
        <v>0</v>
      </c>
      <c r="K24" s="112">
        <f>SUMIFS('Project Management'!D66:D67,'Project Management'!J66:J67,"&lt;&gt;NA")</f>
        <v>0</v>
      </c>
      <c r="L24" s="104">
        <f>COUNTIFS('Project Management'!C66:C67,"Critical",'Project Management'!J66:J67,"No")</f>
        <v>0</v>
      </c>
      <c r="M24" s="105">
        <f>COUNTIFS('Project Management'!C66:C67,"Major",'Project Management'!J66:J67,"No")</f>
        <v>0</v>
      </c>
      <c r="N24" s="108">
        <f>COUNTIFS('Project Management'!C66:C67,"Minor",'Project Management'!J66:J67,"No")</f>
        <v>0</v>
      </c>
      <c r="O24" s="112">
        <f>SUMIFS('Project Management'!D66:D67,'Project Management'!K66:K67,"&lt;&gt;NA")</f>
        <v>0</v>
      </c>
      <c r="P24" s="104">
        <f>COUNTIFS('Project Management'!C66:C67,"Critical",'Project Management'!K66:K67,"No")</f>
        <v>0</v>
      </c>
      <c r="Q24" s="105">
        <f>COUNTIFS('Project Management'!C66:C67,"Major",'Project Management'!K66:K67,"No")</f>
        <v>0</v>
      </c>
      <c r="R24" s="108">
        <f>COUNTIFS('Project Management'!C66:C67,"Minor",'Project Management'!K66:K67,"No")</f>
        <v>0</v>
      </c>
      <c r="S24" s="112">
        <f>SUMIFS('Project Management'!D66:D67,'Project Management'!L66:L67,"&lt;&gt;NA")</f>
        <v>0</v>
      </c>
      <c r="T24" s="104">
        <f>COUNTIFS('Project Management'!C66:C67,"Critical",'Project Management'!L66:L67,"No")</f>
        <v>0</v>
      </c>
      <c r="U24" s="105">
        <f>COUNTIFS('Project Management'!C66:C67,"Major",'Project Management'!L66:L67,"No")</f>
        <v>0</v>
      </c>
      <c r="V24" s="108">
        <f>COUNTIFS('Project Management'!C66:C67,"Minor",'Project Management'!L66:L67,"No")</f>
        <v>0</v>
      </c>
    </row>
    <row r="25" spans="1:22" x14ac:dyDescent="0.2">
      <c r="A25" s="115"/>
      <c r="B25" s="105" t="str">
        <f>'Project Management'!B68</f>
        <v>Escalation Mechanism</v>
      </c>
      <c r="C25" s="112">
        <f>SUMIFS('Project Management'!D69,'Project Management'!H69,"Yes")+SUMIFS('Project Management'!D69,'Project Management'!H69,"No")</f>
        <v>3</v>
      </c>
      <c r="D25" s="104">
        <f>COUNTIFS('Project Management'!C69,"Critical",'Project Management'!H69,"No")</f>
        <v>0</v>
      </c>
      <c r="E25" s="105">
        <f>COUNTIFS('Project Management'!C69,"Major",'Project Management'!H69,"No")</f>
        <v>0</v>
      </c>
      <c r="F25" s="108">
        <f>COUNTIFS('Project Management'!C69,"Minor",'Project Management'!H69,"No")</f>
        <v>0</v>
      </c>
      <c r="G25" s="112">
        <f>SUMIFS('Project Management'!D69,'Project Management'!I69,"&lt;&gt;NA")</f>
        <v>3</v>
      </c>
      <c r="H25" s="104">
        <f>COUNTIFS('Project Management'!C69,"Critical",'Project Management'!I69,"No")</f>
        <v>0</v>
      </c>
      <c r="I25" s="105">
        <f>COUNTIFS('Project Management'!C69,"Major",'Project Management'!I69,"No")</f>
        <v>0</v>
      </c>
      <c r="J25" s="108">
        <f>COUNTIFS('Project Management'!C69,"Minor",'Project Management'!I69,"No")</f>
        <v>0</v>
      </c>
      <c r="K25" s="112">
        <f>SUMIFS('Project Management'!D69,'Project Management'!J69,"&lt;&gt;NA")</f>
        <v>0</v>
      </c>
      <c r="L25" s="104">
        <f>COUNTIFS('Project Management'!C69,"Critical",'Project Management'!J69,"No")</f>
        <v>0</v>
      </c>
      <c r="M25" s="105">
        <f>COUNTIFS('Project Management'!C69,"Major",'Project Management'!J69,"No")</f>
        <v>0</v>
      </c>
      <c r="N25" s="108">
        <f>COUNTIFS('Project Management'!C69,"Minor",'Project Management'!J69,"No")</f>
        <v>0</v>
      </c>
      <c r="O25" s="112">
        <f>SUMIFS('Project Management'!D69,'Project Management'!K69,"&lt;&gt;NA")</f>
        <v>0</v>
      </c>
      <c r="P25" s="104">
        <f>COUNTIFS('Project Management'!C69,"Critical",'Project Management'!K69,"No")</f>
        <v>0</v>
      </c>
      <c r="Q25" s="105">
        <f>COUNTIFS('Project Management'!C69,"Major",'Project Management'!K69,"No")</f>
        <v>0</v>
      </c>
      <c r="R25" s="108">
        <f>COUNTIFS('Project Management'!C69,"Minor",'Project Management'!K69,"No")</f>
        <v>0</v>
      </c>
      <c r="S25" s="112">
        <f>SUMIFS('Project Management'!D69,'Project Management'!L69,"&lt;&gt;NA")</f>
        <v>0</v>
      </c>
      <c r="T25" s="104">
        <f>COUNTIFS('Project Management'!C69,"Critical",'Project Management'!L69,"No")</f>
        <v>0</v>
      </c>
      <c r="U25" s="105">
        <f>COUNTIFS('Project Management'!C69,"Major",'Project Management'!L69,"No")</f>
        <v>0</v>
      </c>
      <c r="V25" s="108">
        <f>COUNTIFS('Project Management'!C69,"Minor",'Project Management'!L69,"No")</f>
        <v>0</v>
      </c>
    </row>
    <row r="26" spans="1:22" x14ac:dyDescent="0.2">
      <c r="A26" s="115"/>
      <c r="B26" s="105" t="str">
        <f>'Project Management'!B70</f>
        <v>Reusable Components</v>
      </c>
      <c r="C26" s="112">
        <f>SUMIFS('Project Management'!D71:D72,'Project Management'!H71:H72,"Yes")+SUMIFS('Project Management'!D71:D72,'Project Management'!H71:H72,"No")</f>
        <v>6</v>
      </c>
      <c r="D26" s="104">
        <f>COUNTIFS('Project Management'!C71:C72,"Critical",'Project Management'!H71:H72,"No")</f>
        <v>0</v>
      </c>
      <c r="E26" s="105">
        <f>COUNTIFS('Project Management'!C71:C72,"Major",'Project Management'!H71:H72,"No")</f>
        <v>0</v>
      </c>
      <c r="F26" s="108">
        <f>COUNTIFS('Project Management'!C71:C72,"Minor",'Project Management'!H71:H72,"No")</f>
        <v>0</v>
      </c>
      <c r="G26" s="112">
        <f>SUMIFS('Project Management'!D71:D72,'Project Management'!I71:I72,"&lt;&gt;NA")</f>
        <v>6</v>
      </c>
      <c r="H26" s="104">
        <f>COUNTIFS('Project Management'!C71:C72,"Critical",'Project Management'!I71:I72,"No")</f>
        <v>0</v>
      </c>
      <c r="I26" s="105">
        <f>COUNTIFS('Project Management'!C71:C72,"Major",'Project Management'!I71:I72,"No")</f>
        <v>0</v>
      </c>
      <c r="J26" s="108">
        <f>COUNTIFS('Project Management'!C71:C72,"Minor",'Project Management'!I71:I72,"No")</f>
        <v>0</v>
      </c>
      <c r="K26" s="112">
        <f>SUMIFS('Project Management'!D71:D72,'Project Management'!J71:J72,"&lt;&gt;NA")</f>
        <v>0</v>
      </c>
      <c r="L26" s="104">
        <f>COUNTIFS('Project Management'!C71:C72,"Critical",'Project Management'!J71:J72,"No")</f>
        <v>0</v>
      </c>
      <c r="M26" s="105">
        <f>COUNTIFS('Project Management'!C71:C72,"Major",'Project Management'!J71:J72,"No")</f>
        <v>0</v>
      </c>
      <c r="N26" s="108">
        <f>COUNTIFS('Project Management'!C71:C72,"Minor",'Project Management'!J71:J72,"No")</f>
        <v>0</v>
      </c>
      <c r="O26" s="112">
        <f>SUMIFS('Project Management'!D71:D72,'Project Management'!K71:K72,"&lt;&gt;NA")</f>
        <v>0</v>
      </c>
      <c r="P26" s="104">
        <f>COUNTIFS('Project Management'!C71:C72,"Critical",'Project Management'!K71:K72,"No")</f>
        <v>0</v>
      </c>
      <c r="Q26" s="105">
        <f>COUNTIFS('Project Management'!C71:C72,"Major",'Project Management'!K71:K72,"No")</f>
        <v>0</v>
      </c>
      <c r="R26" s="108">
        <f>COUNTIFS('Project Management'!C71:C72,"Minor",'Project Management'!K71:K72,"No")</f>
        <v>0</v>
      </c>
      <c r="S26" s="112">
        <f>SUMIFS('Project Management'!D71:D72,'Project Management'!L71:L72,"&lt;&gt;NA")</f>
        <v>0</v>
      </c>
      <c r="T26" s="104">
        <f>COUNTIFS('Project Management'!C71:C72,"Critical",'Project Management'!L71:L72,"No")</f>
        <v>0</v>
      </c>
      <c r="U26" s="105">
        <f>COUNTIFS('Project Management'!C71:C72,"Major",'Project Management'!L71:L72,"No")</f>
        <v>0</v>
      </c>
      <c r="V26" s="108">
        <f>COUNTIFS('Project Management'!C71:C72,"Minor",'Project Management'!L71:L72,"No")</f>
        <v>0</v>
      </c>
    </row>
    <row r="27" spans="1:22" x14ac:dyDescent="0.2">
      <c r="A27" s="115"/>
      <c r="B27" s="105" t="str">
        <f>'Project Management'!B73</f>
        <v>Project Closure Plan</v>
      </c>
      <c r="C27" s="112">
        <f>SUMIFS('Project Management'!D74,'Project Management'!H74,"Yes")+SUMIFS('Project Management'!D74,'Project Management'!H74,"No")</f>
        <v>1</v>
      </c>
      <c r="D27" s="104">
        <f>COUNTIFS('Project Management'!C74,"Critical",'Project Management'!H74,"No")</f>
        <v>0</v>
      </c>
      <c r="E27" s="105">
        <f>COUNTIFS('Project Management'!C74,"Major",'Project Management'!H74,"No")</f>
        <v>0</v>
      </c>
      <c r="F27" s="108">
        <f>COUNTIFS('Project Management'!C74,"Minor",'Project Management'!H74,"No")</f>
        <v>0</v>
      </c>
      <c r="G27" s="112">
        <f>SUMIFS('Project Management'!D74,'Project Management'!I74,"&lt;&gt;NA")</f>
        <v>1</v>
      </c>
      <c r="H27" s="104">
        <f>COUNTIFS('Project Management'!C74,"Critical",'Project Management'!I74,"No")</f>
        <v>0</v>
      </c>
      <c r="I27" s="105">
        <f>COUNTIFS('Project Management'!C74,"Major",'Project Management'!I74,"No")</f>
        <v>0</v>
      </c>
      <c r="J27" s="108">
        <f>COUNTIFS('Project Management'!C74,"Minor",'Project Management'!I74,"No")</f>
        <v>0</v>
      </c>
      <c r="K27" s="112">
        <f>SUMIFS('Project Management'!D74,'Project Management'!J74,"&lt;&gt;NA")</f>
        <v>0</v>
      </c>
      <c r="L27" s="104">
        <f>COUNTIFS('Project Management'!C74,"Critical",'Project Management'!J74,"No")</f>
        <v>0</v>
      </c>
      <c r="M27" s="105">
        <f>COUNTIFS('Project Management'!C74,"Major",'Project Management'!J74,"No")</f>
        <v>0</v>
      </c>
      <c r="N27" s="108">
        <f>COUNTIFS('Project Management'!C74,"Minor",'Project Management'!J74,"No")</f>
        <v>0</v>
      </c>
      <c r="O27" s="112">
        <f>SUMIFS('Project Management'!D74,'Project Management'!K74,"&lt;&gt;NA")</f>
        <v>0</v>
      </c>
      <c r="P27" s="104">
        <f>COUNTIFS('Project Management'!C74,"Critical",'Project Management'!K74,"No")</f>
        <v>0</v>
      </c>
      <c r="Q27" s="105">
        <f>COUNTIFS('Project Management'!C74,"Major",'Project Management'!K74,"No")</f>
        <v>0</v>
      </c>
      <c r="R27" s="108">
        <f>COUNTIFS('Project Management'!C74,"Minor",'Project Management'!K74,"No")</f>
        <v>0</v>
      </c>
      <c r="S27" s="112">
        <f>SUMIFS('Project Management'!D74,'Project Management'!L74,"&lt;&gt;NA")</f>
        <v>0</v>
      </c>
      <c r="T27" s="104">
        <f>COUNTIFS('Project Management'!C74,"Critical",'Project Management'!L74,"No")</f>
        <v>0</v>
      </c>
      <c r="U27" s="105">
        <f>COUNTIFS('Project Management'!C74,"Major",'Project Management'!L74,"No")</f>
        <v>0</v>
      </c>
      <c r="V27" s="108">
        <f>COUNTIFS('Project Management'!C74,"Minor",'Project Management'!L74,"No")</f>
        <v>0</v>
      </c>
    </row>
    <row r="28" spans="1:22" x14ac:dyDescent="0.2">
      <c r="A28" s="115"/>
      <c r="B28" s="105" t="str">
        <f>'Project Management'!B75</f>
        <v>Project Management Baseline</v>
      </c>
      <c r="C28" s="112">
        <f>SUMIFS('Project Management'!D76:D79,'Project Management'!H76:H79,"Yes")+SUMIFS('Project Management'!D76:D79,'Project Management'!H76:H79,"No")</f>
        <v>7</v>
      </c>
      <c r="D28" s="104">
        <f>COUNTIFS('Project Management'!C76:C79,"Critical",'Project Management'!H76:H79,"No")</f>
        <v>0</v>
      </c>
      <c r="E28" s="105">
        <f>COUNTIFS('Project Management'!C76:C79,"Major",'Project Management'!H76:H79,"No")</f>
        <v>2</v>
      </c>
      <c r="F28" s="108">
        <f>COUNTIFS('Project Management'!C76:C79,"Minor",'Project Management'!H76:H79,"No")</f>
        <v>1</v>
      </c>
      <c r="G28" s="112">
        <f>SUMIFS('Project Management'!D76:D79,'Project Management'!I76:I79,"&lt;&gt;NA")</f>
        <v>10</v>
      </c>
      <c r="H28" s="104">
        <f>COUNTIFS('Project Management'!C76:C79,"Critical",'Project Management'!I76:I79,"No")</f>
        <v>0</v>
      </c>
      <c r="I28" s="105">
        <f>COUNTIFS('Project Management'!C76:C79,"Major",'Project Management'!I76:I79,"No")</f>
        <v>0</v>
      </c>
      <c r="J28" s="108">
        <f>COUNTIFS('Project Management'!C76:C79,"Minor",'Project Management'!I76:I79,"No")</f>
        <v>0</v>
      </c>
      <c r="K28" s="112">
        <f>SUMIFS('Project Management'!D76:D79,'Project Management'!J76:J79,"&lt;&gt;NA")</f>
        <v>0</v>
      </c>
      <c r="L28" s="104">
        <f>COUNTIFS('Project Management'!C76:C79,"Critical",'Project Management'!J76:J79,"No")</f>
        <v>0</v>
      </c>
      <c r="M28" s="105">
        <f>COUNTIFS('Project Management'!C76:C79,"Major",'Project Management'!J76:J79,"No")</f>
        <v>0</v>
      </c>
      <c r="N28" s="108">
        <f>COUNTIFS('Project Management'!C76:C79,"Minor",'Project Management'!J76:J79,"No")</f>
        <v>0</v>
      </c>
      <c r="O28" s="112">
        <f>SUMIFS('Project Management'!D76:D79,'Project Management'!K76:K79,"&lt;&gt;NA")</f>
        <v>0</v>
      </c>
      <c r="P28" s="104">
        <f>COUNTIFS('Project Management'!C76:C79,"Critical",'Project Management'!K76:K79,"No")</f>
        <v>0</v>
      </c>
      <c r="Q28" s="105">
        <f>COUNTIFS('Project Management'!C76:C79,"Major",'Project Management'!K76:K79,"No")</f>
        <v>0</v>
      </c>
      <c r="R28" s="108">
        <f>COUNTIFS('Project Management'!C76:C79,"Minor",'Project Management'!K76:K79,"No")</f>
        <v>0</v>
      </c>
      <c r="S28" s="112">
        <f>SUMIFS('Project Management'!D76:D79,'Project Management'!L76:L79,"&lt;&gt;NA")</f>
        <v>0</v>
      </c>
      <c r="T28" s="104">
        <f>COUNTIFS('Project Management'!C76:C79,"Critical",'Project Management'!L76:L79,"No")</f>
        <v>0</v>
      </c>
      <c r="U28" s="105">
        <f>COUNTIFS('Project Management'!C76:C79,"Major",'Project Management'!L76:L79,"No")</f>
        <v>0</v>
      </c>
      <c r="V28" s="108">
        <f>COUNTIFS('Project Management'!C76:C79,"Minor",'Project Management'!L76:L79,"No")</f>
        <v>0</v>
      </c>
    </row>
    <row r="29" spans="1:22" x14ac:dyDescent="0.2">
      <c r="A29" s="115"/>
      <c r="B29" s="105"/>
      <c r="C29" s="112"/>
      <c r="D29" s="104"/>
      <c r="E29" s="105"/>
      <c r="F29" s="108"/>
      <c r="G29" s="112"/>
      <c r="H29" s="104"/>
      <c r="I29" s="105"/>
      <c r="J29" s="108"/>
      <c r="K29" s="112"/>
      <c r="L29" s="104"/>
      <c r="M29" s="105"/>
      <c r="N29" s="108"/>
      <c r="O29" s="112"/>
      <c r="P29" s="104"/>
      <c r="Q29" s="105"/>
      <c r="R29" s="108"/>
      <c r="S29" s="112"/>
      <c r="T29" s="104"/>
      <c r="U29" s="105"/>
      <c r="V29" s="108"/>
    </row>
    <row r="30" spans="1:22" x14ac:dyDescent="0.2">
      <c r="A30" s="116" t="s">
        <v>12</v>
      </c>
      <c r="B30" s="105" t="str">
        <f>'Monitoring &amp; Control'!B3</f>
        <v>Configuration Audits</v>
      </c>
      <c r="C30" s="112">
        <f>SUMIFS('Monitoring &amp; Control'!D4:D6,'Monitoring &amp; Control'!H4:H6,"Yes")+SUMIFS('Monitoring &amp; Control'!D4:D6,'Monitoring &amp; Control'!H4:H6,"No")</f>
        <v>7</v>
      </c>
      <c r="D30" s="104">
        <f>COUNTIFS('Monitoring &amp; Control'!C4:C6,"Critical",'Monitoring &amp; Control'!H4:H6,"No")</f>
        <v>1</v>
      </c>
      <c r="E30" s="105">
        <f>COUNTIFS('Monitoring &amp; Control'!C4:C6,"Major",'Monitoring &amp; Control'!H4:H6,"No")</f>
        <v>0</v>
      </c>
      <c r="F30" s="108">
        <f>COUNTIFS('Monitoring &amp; Control'!C4:C6,"Minor",'Monitoring &amp; Control'!H4:H6,"No")</f>
        <v>0</v>
      </c>
      <c r="G30" s="112">
        <f>SUMIFS('Monitoring &amp; Control'!D4:D6,'Monitoring &amp; Control'!I4:I6,"&lt;&gt;NA")</f>
        <v>7</v>
      </c>
      <c r="H30" s="104">
        <f>COUNTIFS('Monitoring &amp; Control'!C4:C6,"Critical",'Monitoring &amp; Control'!I4:I6,"No")</f>
        <v>0</v>
      </c>
      <c r="I30" s="105">
        <f>COUNTIFS('Monitoring &amp; Control'!C4:C6,"Major",'Monitoring &amp; Control'!I4:I6,"No")</f>
        <v>0</v>
      </c>
      <c r="J30" s="108">
        <f>COUNTIFS('Monitoring &amp; Control'!C4:C6,"Minor",'Monitoring &amp; Control'!I4:I6,"No")</f>
        <v>0</v>
      </c>
      <c r="K30" s="112">
        <f>SUMIFS('Monitoring &amp; Control'!D4:D6,'Monitoring &amp; Control'!J4:J6,"&lt;&gt;NA")</f>
        <v>7</v>
      </c>
      <c r="L30" s="104">
        <f>COUNTIFS('Monitoring &amp; Control'!C4:C6,"Critical",'Monitoring &amp; Control'!J4:J6,"No")</f>
        <v>0</v>
      </c>
      <c r="M30" s="105">
        <f>COUNTIFS('Monitoring &amp; Control'!C4:C6,"Major",'Monitoring &amp; Control'!J4:J6,"No")</f>
        <v>0</v>
      </c>
      <c r="N30" s="108">
        <f>COUNTIFS('Monitoring &amp; Control'!C4:C6,"Minor",'Monitoring &amp; Control'!J4:J6,"No")</f>
        <v>0</v>
      </c>
      <c r="O30" s="112">
        <f>SUMIFS('Monitoring &amp; Control'!D4:D6,'Monitoring &amp; Control'!K4:K6,"&lt;&gt;NA")</f>
        <v>7</v>
      </c>
      <c r="P30" s="104">
        <f>COUNTIFS('Monitoring &amp; Control'!C4:C6,"Critical",'Monitoring &amp; Control'!K4:K6,"No")</f>
        <v>0</v>
      </c>
      <c r="Q30" s="105">
        <f>COUNTIFS('Monitoring &amp; Control'!C4:C6,"Major",'Monitoring &amp; Control'!K4:K6,"No")</f>
        <v>0</v>
      </c>
      <c r="R30" s="108">
        <f>COUNTIFS('Monitoring &amp; Control'!C4:C6,"Minor",'Monitoring &amp; Control'!K4:K6,"No")</f>
        <v>0</v>
      </c>
      <c r="S30" s="112">
        <f>SUMIFS('Monitoring &amp; Control'!D4:D6,'Monitoring &amp; Control'!L4:L6,"&lt;&gt;NA")</f>
        <v>7</v>
      </c>
      <c r="T30" s="104">
        <f>COUNTIFS('Monitoring &amp; Control'!C4:C6,"Critical",'Monitoring &amp; Control'!L4:L6,"No")</f>
        <v>0</v>
      </c>
      <c r="U30" s="105">
        <f>COUNTIFS('Monitoring &amp; Control'!C4:C6,"Major",'Monitoring &amp; Control'!L4:L6,"No")</f>
        <v>0</v>
      </c>
      <c r="V30" s="108">
        <f>COUNTIFS('Monitoring &amp; Control'!C4:C6,"Minor",'Monitoring &amp; Control'!L4:L6,"No")</f>
        <v>0</v>
      </c>
    </row>
    <row r="31" spans="1:22" x14ac:dyDescent="0.2">
      <c r="A31" s="115"/>
      <c r="B31" s="105" t="str">
        <f>'Monitoring &amp; Control'!B7</f>
        <v>Access Permissions</v>
      </c>
      <c r="C31" s="112">
        <f>SUMIFS('Monitoring &amp; Control'!D8,'Monitoring &amp; Control'!H8,"Yes")+SUMIFS('Monitoring &amp; Control'!D8,'Monitoring &amp; Control'!H8,"No")</f>
        <v>3</v>
      </c>
      <c r="D31" s="104">
        <f>COUNTIFS('Monitoring &amp; Control'!C8,"Critical",'Monitoring &amp; Control'!H8,"No")</f>
        <v>0</v>
      </c>
      <c r="E31" s="105">
        <f>COUNTIFS('Monitoring &amp; Control'!C8,"Major",'Monitoring &amp; Control'!H8,"No")</f>
        <v>0</v>
      </c>
      <c r="F31" s="108">
        <f>COUNTIFS('Monitoring &amp; Control'!C8,"Minor",'Monitoring &amp; Control'!H8,"No")</f>
        <v>0</v>
      </c>
      <c r="G31" s="112">
        <f>SUMIFS('Monitoring &amp; Control'!D8,'Monitoring &amp; Control'!I8,"&lt;&gt;NA")</f>
        <v>3</v>
      </c>
      <c r="H31" s="104">
        <f>COUNTIFS('Monitoring &amp; Control'!C8,"Critical",'Monitoring &amp; Control'!I8,"No")</f>
        <v>0</v>
      </c>
      <c r="I31" s="105">
        <f>COUNTIFS('Monitoring &amp; Control'!C8,"Major",'Monitoring &amp; Control'!I8,"No")</f>
        <v>0</v>
      </c>
      <c r="J31" s="108">
        <f>COUNTIFS('Monitoring &amp; Control'!C8,"Minor",'Monitoring &amp; Control'!I8,"No")</f>
        <v>0</v>
      </c>
      <c r="K31" s="112">
        <f>SUMIFS('Monitoring &amp; Control'!D8,'Monitoring &amp; Control'!J8,"&lt;&gt;NA")</f>
        <v>3</v>
      </c>
      <c r="L31" s="104">
        <f>COUNTIFS('Monitoring &amp; Control'!C8,"Critical",'Monitoring &amp; Control'!J8,"No")</f>
        <v>0</v>
      </c>
      <c r="M31" s="105">
        <f>COUNTIFS('Monitoring &amp; Control'!C8,"Major",'Monitoring &amp; Control'!J8,"No")</f>
        <v>0</v>
      </c>
      <c r="N31" s="108">
        <f>COUNTIFS('Monitoring &amp; Control'!C8,"Minor",'Monitoring &amp; Control'!J8,"No")</f>
        <v>0</v>
      </c>
      <c r="O31" s="112">
        <f>SUMIFS('Monitoring &amp; Control'!D8,'Monitoring &amp; Control'!K8,"&lt;&gt;NA")</f>
        <v>3</v>
      </c>
      <c r="P31" s="104">
        <f>COUNTIFS('Monitoring &amp; Control'!C8,"Critical",'Monitoring &amp; Control'!K8,"No")</f>
        <v>0</v>
      </c>
      <c r="Q31" s="105">
        <f>COUNTIFS('Monitoring &amp; Control'!C8,"Major",'Monitoring &amp; Control'!K8,"No")</f>
        <v>0</v>
      </c>
      <c r="R31" s="108">
        <f>COUNTIFS('Monitoring &amp; Control'!C8,"Minor",'Monitoring &amp; Control'!K8,"No")</f>
        <v>0</v>
      </c>
      <c r="S31" s="112">
        <f>SUMIFS('Monitoring &amp; Control'!D8,'Monitoring &amp; Control'!L8,"&lt;&gt;NA")</f>
        <v>3</v>
      </c>
      <c r="T31" s="104">
        <f>COUNTIFS('Monitoring &amp; Control'!C8,"Critical",'Monitoring &amp; Control'!L8,"No")</f>
        <v>0</v>
      </c>
      <c r="U31" s="105">
        <f>COUNTIFS('Monitoring &amp; Control'!C8,"Major",'Monitoring &amp; Control'!L8,"No")</f>
        <v>0</v>
      </c>
      <c r="V31" s="108">
        <f>COUNTIFS('Monitoring &amp; Control'!C8,"Minor",'Monitoring &amp; Control'!L8,"No")</f>
        <v>0</v>
      </c>
    </row>
    <row r="32" spans="1:22" x14ac:dyDescent="0.2">
      <c r="A32" s="115"/>
      <c r="B32" s="105" t="str">
        <f>'Monitoring &amp; Control'!B9</f>
        <v>Backups</v>
      </c>
      <c r="C32" s="112">
        <f>SUMIFS('Monitoring &amp; Control'!D10:D12,'Monitoring &amp; Control'!H10:H12,"Yes")+SUMIFS('Monitoring &amp; Control'!D10:D12,'Monitoring &amp; Control'!H10:H12,"No")</f>
        <v>4</v>
      </c>
      <c r="D32" s="104">
        <f>COUNTIFS('Monitoring &amp; Control'!C10:C12,"Critical",'Monitoring &amp; Control'!H10:H12,"No")</f>
        <v>0</v>
      </c>
      <c r="E32" s="105">
        <f>COUNTIFS('Monitoring &amp; Control'!C10:C12,"Major",'Monitoring &amp; Control'!H10:H12,"No")</f>
        <v>1</v>
      </c>
      <c r="F32" s="108">
        <f>COUNTIFS('Monitoring &amp; Control'!C10:C12,"Minor",'Monitoring &amp; Control'!H10:H12,"No")</f>
        <v>1</v>
      </c>
      <c r="G32" s="112">
        <f>SUMIFS('Monitoring &amp; Control'!D10:D12,'Monitoring &amp; Control'!I10:I12,"&lt;&gt;NA")</f>
        <v>7</v>
      </c>
      <c r="H32" s="104">
        <f>COUNTIFS('Monitoring &amp; Control'!C10:C12,"Critical",'Monitoring &amp; Control'!I10:I12,"No")</f>
        <v>0</v>
      </c>
      <c r="I32" s="105">
        <f>COUNTIFS('Monitoring &amp; Control'!C10:C12,"Major",'Monitoring &amp; Control'!I10:I12,"No")</f>
        <v>0</v>
      </c>
      <c r="J32" s="108">
        <f>COUNTIFS('Monitoring &amp; Control'!C10:C12,"Minor",'Monitoring &amp; Control'!I10:I12,"No")</f>
        <v>0</v>
      </c>
      <c r="K32" s="112">
        <f>SUMIFS('Monitoring &amp; Control'!D10:D12,'Monitoring &amp; Control'!J10:J12,"&lt;&gt;NA")</f>
        <v>7</v>
      </c>
      <c r="L32" s="104">
        <f>COUNTIFS('Monitoring &amp; Control'!C10:C12,"Critical",'Monitoring &amp; Control'!J10:J12,"No")</f>
        <v>0</v>
      </c>
      <c r="M32" s="105">
        <f>COUNTIFS('Monitoring &amp; Control'!C10:C12,"Major",'Monitoring &amp; Control'!J10:J12,"No")</f>
        <v>0</v>
      </c>
      <c r="N32" s="108">
        <f>COUNTIFS('Monitoring &amp; Control'!C10:C12,"Minor",'Monitoring &amp; Control'!J10:J12,"No")</f>
        <v>0</v>
      </c>
      <c r="O32" s="112">
        <f>SUMIFS('Monitoring &amp; Control'!D10:D12,'Monitoring &amp; Control'!K10:K12,"&lt;&gt;NA")</f>
        <v>7</v>
      </c>
      <c r="P32" s="104">
        <f>COUNTIFS('Monitoring &amp; Control'!C10:C12,"Critical",'Monitoring &amp; Control'!K10:K12,"No")</f>
        <v>0</v>
      </c>
      <c r="Q32" s="105">
        <f>COUNTIFS('Monitoring &amp; Control'!C10:C12,"Major",'Monitoring &amp; Control'!K10:K12,"No")</f>
        <v>0</v>
      </c>
      <c r="R32" s="108">
        <f>COUNTIFS('Monitoring &amp; Control'!C10:C12,"Minor",'Monitoring &amp; Control'!K10:K12,"No")</f>
        <v>0</v>
      </c>
      <c r="S32" s="112">
        <f>SUMIFS('Monitoring &amp; Control'!D10:D12,'Monitoring &amp; Control'!L10:L12,"&lt;&gt;NA")</f>
        <v>7</v>
      </c>
      <c r="T32" s="104">
        <f>COUNTIFS('Monitoring &amp; Control'!C10:C12,"Critical",'Monitoring &amp; Control'!L10:L12,"No")</f>
        <v>0</v>
      </c>
      <c r="U32" s="105">
        <f>COUNTIFS('Monitoring &amp; Control'!C10:C12,"Major",'Monitoring &amp; Control'!L10:L12,"No")</f>
        <v>0</v>
      </c>
      <c r="V32" s="108">
        <f>COUNTIFS('Monitoring &amp; Control'!C10:C12,"Minor",'Monitoring &amp; Control'!L10:L12,"No")</f>
        <v>0</v>
      </c>
    </row>
    <row r="33" spans="1:22" x14ac:dyDescent="0.2">
      <c r="A33" s="115"/>
      <c r="B33" s="105" t="str">
        <f>'Monitoring &amp; Control'!B13</f>
        <v>Change Management</v>
      </c>
      <c r="C33" s="112">
        <f>SUMIFS('Monitoring &amp; Control'!D14:D21,'Monitoring &amp; Control'!H14:H21,"Yes")+SUMIFS('Monitoring &amp; Control'!D14:D21,'Monitoring &amp; Control'!H14:H21,"No")</f>
        <v>0</v>
      </c>
      <c r="D33" s="104">
        <f>COUNTIFS('Monitoring &amp; Control'!C14:C21,"Critical",'Monitoring &amp; Control'!H14:H21,"No")</f>
        <v>0</v>
      </c>
      <c r="E33" s="105">
        <f>COUNTIFS('Monitoring &amp; Control'!C14:C21,"Major",'Monitoring &amp; Control'!H14:H21,"No")</f>
        <v>0</v>
      </c>
      <c r="F33" s="108">
        <f>COUNTIFS('Monitoring &amp; Control'!C14:C21,"Minor",'Monitoring &amp; Control'!H14:H21,"No")</f>
        <v>0</v>
      </c>
      <c r="G33" s="112">
        <f>SUMIFS('Monitoring &amp; Control'!D14:D21,'Monitoring &amp; Control'!I14:I21,"&lt;&gt;NA")</f>
        <v>24</v>
      </c>
      <c r="H33" s="104">
        <f>COUNTIFS('Monitoring &amp; Control'!C14:C21,"Critical",'Monitoring &amp; Control'!I14:I21,"No")</f>
        <v>0</v>
      </c>
      <c r="I33" s="105">
        <f>COUNTIFS('Monitoring &amp; Control'!C14:C21,"Major",'Monitoring &amp; Control'!I14:I21,"No")</f>
        <v>0</v>
      </c>
      <c r="J33" s="108">
        <f>COUNTIFS('Monitoring &amp; Control'!C14:C21,"Minor",'Monitoring &amp; Control'!I14:I21,"No")</f>
        <v>0</v>
      </c>
      <c r="K33" s="112">
        <f>SUMIFS('Monitoring &amp; Control'!D14:D21,'Monitoring &amp; Control'!J14:J21,"&lt;&gt;NA")</f>
        <v>24</v>
      </c>
      <c r="L33" s="104">
        <f>COUNTIFS('Monitoring &amp; Control'!C14:C21,"Critical",'Monitoring &amp; Control'!J14:J21,"No")</f>
        <v>0</v>
      </c>
      <c r="M33" s="105">
        <f>COUNTIFS('Monitoring &amp; Control'!C14:C21,"Major",'Monitoring &amp; Control'!J14:J21,"No")</f>
        <v>0</v>
      </c>
      <c r="N33" s="108">
        <f>COUNTIFS('Monitoring &amp; Control'!C14:C21,"Minor",'Monitoring &amp; Control'!J14:J21,"No")</f>
        <v>0</v>
      </c>
      <c r="O33" s="112">
        <f>SUMIFS('Monitoring &amp; Control'!D14:D21,'Monitoring &amp; Control'!K14:K21,"&lt;&gt;NA")</f>
        <v>24</v>
      </c>
      <c r="P33" s="104">
        <f>COUNTIFS('Monitoring &amp; Control'!C14:C21,"Critical",'Monitoring &amp; Control'!K14:K21,"No")</f>
        <v>0</v>
      </c>
      <c r="Q33" s="105">
        <f>COUNTIFS('Monitoring &amp; Control'!C14:C21,"Major",'Monitoring &amp; Control'!K14:K21,"No")</f>
        <v>0</v>
      </c>
      <c r="R33" s="108">
        <f>COUNTIFS('Monitoring &amp; Control'!C14:C21,"Minor",'Monitoring &amp; Control'!K14:K21,"No")</f>
        <v>0</v>
      </c>
      <c r="S33" s="112">
        <f>SUMIFS('Monitoring &amp; Control'!D14:D21,'Monitoring &amp; Control'!L14:L21,"&lt;&gt;NA")</f>
        <v>24</v>
      </c>
      <c r="T33" s="104">
        <f>COUNTIFS('Monitoring &amp; Control'!C14:C21,"Critical",'Monitoring &amp; Control'!L14:L21,"No")</f>
        <v>0</v>
      </c>
      <c r="U33" s="105">
        <f>COUNTIFS('Monitoring &amp; Control'!C14:C21,"Major",'Monitoring &amp; Control'!L14:L21,"No")</f>
        <v>0</v>
      </c>
      <c r="V33" s="108">
        <f>COUNTIFS('Monitoring &amp; Control'!C14:C21,"Minor",'Monitoring &amp; Control'!L14:L21,"No")</f>
        <v>0</v>
      </c>
    </row>
    <row r="34" spans="1:22" x14ac:dyDescent="0.2">
      <c r="A34" s="115"/>
      <c r="B34" s="105" t="str">
        <f>'Monitoring &amp; Control'!B22</f>
        <v>Metrics</v>
      </c>
      <c r="C34" s="112">
        <f>SUMIFS('Monitoring &amp; Control'!D23:D26,'Monitoring &amp; Control'!H23:H26,"Yes")+SUMIFS('Monitoring &amp; Control'!D23:D26,'Monitoring &amp; Control'!H23:H26,"No")</f>
        <v>14</v>
      </c>
      <c r="D34" s="104">
        <f>COUNTIFS('Monitoring &amp; Control'!C23:C26,"Critical",'Monitoring &amp; Control'!H23:H26,"No")</f>
        <v>1</v>
      </c>
      <c r="E34" s="105">
        <f>COUNTIFS('Monitoring &amp; Control'!C23:C26,"Major",'Monitoring &amp; Control'!H23:H26,"No")</f>
        <v>3</v>
      </c>
      <c r="F34" s="108">
        <f>COUNTIFS('Monitoring &amp; Control'!C23:C26,"Minor",'Monitoring &amp; Control'!H23:H26,"No")</f>
        <v>0</v>
      </c>
      <c r="G34" s="112">
        <f>SUMIFS('Monitoring &amp; Control'!D23:D26,'Monitoring &amp; Control'!I23:I26,"&lt;&gt;NA")</f>
        <v>14</v>
      </c>
      <c r="H34" s="104">
        <f>COUNTIFS('Monitoring &amp; Control'!C23:C26,"Critical",'Monitoring &amp; Control'!I23:I26,"No")</f>
        <v>0</v>
      </c>
      <c r="I34" s="105">
        <f>COUNTIFS('Monitoring &amp; Control'!C23:C26,"Major",'Monitoring &amp; Control'!I23:I26,"No")</f>
        <v>0</v>
      </c>
      <c r="J34" s="108">
        <f>COUNTIFS('Monitoring &amp; Control'!C23:C26,"Minor",'Monitoring &amp; Control'!I23:I26,"No")</f>
        <v>0</v>
      </c>
      <c r="K34" s="112">
        <f>SUMIFS('Monitoring &amp; Control'!D23:D26,'Monitoring &amp; Control'!J23:J26,"&lt;&gt;NA")</f>
        <v>14</v>
      </c>
      <c r="L34" s="104">
        <f>COUNTIFS('Monitoring &amp; Control'!C23:C26,"Critical",'Monitoring &amp; Control'!J23:J26,"No")</f>
        <v>0</v>
      </c>
      <c r="M34" s="105">
        <f>COUNTIFS('Monitoring &amp; Control'!C23:C26,"Major",'Monitoring &amp; Control'!J23:J26,"No")</f>
        <v>0</v>
      </c>
      <c r="N34" s="108">
        <f>COUNTIFS('Monitoring &amp; Control'!C23:C26,"Minor",'Monitoring &amp; Control'!J23:J26,"No")</f>
        <v>0</v>
      </c>
      <c r="O34" s="112">
        <f>SUMIFS('Monitoring &amp; Control'!D23:D26,'Monitoring &amp; Control'!K23:K26,"&lt;&gt;NA")</f>
        <v>14</v>
      </c>
      <c r="P34" s="104">
        <f>COUNTIFS('Monitoring &amp; Control'!C23:C26,"Critical",'Monitoring &amp; Control'!K23:K26,"No")</f>
        <v>0</v>
      </c>
      <c r="Q34" s="105">
        <f>COUNTIFS('Monitoring &amp; Control'!C23:C26,"Major",'Monitoring &amp; Control'!K23:K26,"No")</f>
        <v>0</v>
      </c>
      <c r="R34" s="108">
        <f>COUNTIFS('Monitoring &amp; Control'!C23:C26,"Minor",'Monitoring &amp; Control'!K23:K26,"No")</f>
        <v>0</v>
      </c>
      <c r="S34" s="112">
        <f>SUMIFS('Monitoring &amp; Control'!D23:D26,'Monitoring &amp; Control'!L23:L26,"&lt;&gt;NA")</f>
        <v>14</v>
      </c>
      <c r="T34" s="104">
        <f>COUNTIFS('Monitoring &amp; Control'!C23:C26,"Critical",'Monitoring &amp; Control'!L23:L26,"No")</f>
        <v>0</v>
      </c>
      <c r="U34" s="105">
        <f>COUNTIFS('Monitoring &amp; Control'!C23:C26,"Major",'Monitoring &amp; Control'!L23:L26,"No")</f>
        <v>0</v>
      </c>
      <c r="V34" s="108">
        <f>COUNTIFS('Monitoring &amp; Control'!C23:C26,"Minor",'Monitoring &amp; Control'!L23:L26,"No")</f>
        <v>0</v>
      </c>
    </row>
    <row r="35" spans="1:22" x14ac:dyDescent="0.2">
      <c r="A35" s="115"/>
      <c r="B35" s="105" t="str">
        <f>'Monitoring &amp; Control'!B27</f>
        <v>Risk Management</v>
      </c>
      <c r="C35" s="112">
        <f>SUMIFS('Monitoring &amp; Control'!D28,'Monitoring &amp; Control'!H28,"Yes")+SUMIFS('Monitoring &amp; Control'!D28,'Monitoring &amp; Control'!H28,"No")</f>
        <v>5</v>
      </c>
      <c r="D35" s="104">
        <f>COUNTIFS('Monitoring &amp; Control'!C28,"Critical",'Monitoring &amp; Control'!H28,"No")</f>
        <v>1</v>
      </c>
      <c r="E35" s="105">
        <f>COUNTIFS('Monitoring &amp; Control'!C28,"Major",'Monitoring &amp; Control'!H28,"No")</f>
        <v>0</v>
      </c>
      <c r="F35" s="108">
        <f>COUNTIFS('Monitoring &amp; Control'!C28,"Minor",'Monitoring &amp; Control'!H28,"No")</f>
        <v>0</v>
      </c>
      <c r="G35" s="112">
        <f>SUMIFS('Monitoring &amp; Control'!D28,'Monitoring &amp; Control'!I28,"&lt;&gt;NA")</f>
        <v>5</v>
      </c>
      <c r="H35" s="104">
        <f>COUNTIFS('Monitoring &amp; Control'!C28,"Critical",'Monitoring &amp; Control'!I28,"No")</f>
        <v>0</v>
      </c>
      <c r="I35" s="105">
        <f>COUNTIFS('Monitoring &amp; Control'!C28,"Major",'Monitoring &amp; Control'!I28,"No")</f>
        <v>0</v>
      </c>
      <c r="J35" s="108">
        <f>COUNTIFS('Monitoring &amp; Control'!C28,"Minor",'Monitoring &amp; Control'!I28,"No")</f>
        <v>0</v>
      </c>
      <c r="K35" s="112">
        <f>SUMIFS('Monitoring &amp; Control'!D28,'Monitoring &amp; Control'!J28,"&lt;&gt;NA")</f>
        <v>5</v>
      </c>
      <c r="L35" s="104">
        <f>COUNTIFS('Monitoring &amp; Control'!C28,"Critical",'Monitoring &amp; Control'!J28,"No")</f>
        <v>0</v>
      </c>
      <c r="M35" s="105">
        <f>COUNTIFS('Monitoring &amp; Control'!C28,"Major",'Monitoring &amp; Control'!J28,"No")</f>
        <v>0</v>
      </c>
      <c r="N35" s="108">
        <f>COUNTIFS('Monitoring &amp; Control'!C28,"Minor",'Monitoring &amp; Control'!J28,"No")</f>
        <v>0</v>
      </c>
      <c r="O35" s="112">
        <f>SUMIFS('Monitoring &amp; Control'!D28,'Monitoring &amp; Control'!K28,"&lt;&gt;NA")</f>
        <v>5</v>
      </c>
      <c r="P35" s="104">
        <f>COUNTIFS('Monitoring &amp; Control'!C28,"Critical",'Monitoring &amp; Control'!K28,"No")</f>
        <v>0</v>
      </c>
      <c r="Q35" s="105">
        <f>COUNTIFS('Monitoring &amp; Control'!C28,"Major",'Monitoring &amp; Control'!K28,"No")</f>
        <v>0</v>
      </c>
      <c r="R35" s="108">
        <f>COUNTIFS('Monitoring &amp; Control'!C28,"Minor",'Monitoring &amp; Control'!K28,"No")</f>
        <v>0</v>
      </c>
      <c r="S35" s="112">
        <f>SUMIFS('Monitoring &amp; Control'!D28,'Monitoring &amp; Control'!L28,"&lt;&gt;NA")</f>
        <v>5</v>
      </c>
      <c r="T35" s="104">
        <f>COUNTIFS('Monitoring &amp; Control'!C28,"Critical",'Monitoring &amp; Control'!L28,"No")</f>
        <v>0</v>
      </c>
      <c r="U35" s="105">
        <f>COUNTIFS('Monitoring &amp; Control'!C28,"Major",'Monitoring &amp; Control'!L28,"No")</f>
        <v>0</v>
      </c>
      <c r="V35" s="108">
        <f>COUNTIFS('Monitoring &amp; Control'!C28,"Minor",'Monitoring &amp; Control'!L28,"No")</f>
        <v>0</v>
      </c>
    </row>
    <row r="36" spans="1:22" x14ac:dyDescent="0.2">
      <c r="A36" s="115"/>
      <c r="B36" s="105" t="str">
        <f>'Monitoring &amp; Control'!B29</f>
        <v>Issue Management</v>
      </c>
      <c r="C36" s="112">
        <f>SUMIFS('Monitoring &amp; Control'!D30,'Monitoring &amp; Control'!H30,"Yes")+SUMIFS('Monitoring &amp; Control'!D30,'Monitoring &amp; Control'!H30,"No")</f>
        <v>3</v>
      </c>
      <c r="D36" s="104">
        <f>COUNTIFS('Monitoring &amp; Control'!C30,"Critical",'Monitoring &amp; Control'!H30,"No")</f>
        <v>0</v>
      </c>
      <c r="E36" s="105">
        <f>COUNTIFS('Monitoring &amp; Control'!C30,"Major",'Monitoring &amp; Control'!H30,"No")</f>
        <v>1</v>
      </c>
      <c r="F36" s="108">
        <f>COUNTIFS('Monitoring &amp; Control'!C30,"Minor",'Monitoring &amp; Control'!H30,"No")</f>
        <v>0</v>
      </c>
      <c r="G36" s="112">
        <f>SUMIFS('Monitoring &amp; Control'!D30,'Monitoring &amp; Control'!I30,"&lt;&gt;NA")</f>
        <v>3</v>
      </c>
      <c r="H36" s="104">
        <f>COUNTIFS('Monitoring &amp; Control'!C30,"Critical",'Monitoring &amp; Control'!I30,"No")</f>
        <v>0</v>
      </c>
      <c r="I36" s="105">
        <f>COUNTIFS('Monitoring &amp; Control'!C30,"Major",'Monitoring &amp; Control'!I30,"No")</f>
        <v>0</v>
      </c>
      <c r="J36" s="108">
        <f>COUNTIFS('Monitoring &amp; Control'!C30,"Minor",'Monitoring &amp; Control'!I30,"No")</f>
        <v>0</v>
      </c>
      <c r="K36" s="112">
        <f>SUMIFS('Monitoring &amp; Control'!D30,'Monitoring &amp; Control'!J30,"&lt;&gt;NA")</f>
        <v>3</v>
      </c>
      <c r="L36" s="104">
        <f>COUNTIFS('Monitoring &amp; Control'!C30,"Critical",'Monitoring &amp; Control'!J30,"No")</f>
        <v>0</v>
      </c>
      <c r="M36" s="105">
        <f>COUNTIFS('Monitoring &amp; Control'!C30,"Major",'Monitoring &amp; Control'!J30,"No")</f>
        <v>0</v>
      </c>
      <c r="N36" s="108">
        <f>COUNTIFS('Monitoring &amp; Control'!C30,"Minor",'Monitoring &amp; Control'!J30,"No")</f>
        <v>0</v>
      </c>
      <c r="O36" s="112">
        <f>SUMIFS('Monitoring &amp; Control'!D30,'Monitoring &amp; Control'!K30,"&lt;&gt;NA")</f>
        <v>3</v>
      </c>
      <c r="P36" s="104">
        <f>COUNTIFS('Monitoring &amp; Control'!C30,"Critical",'Monitoring &amp; Control'!K30,"No")</f>
        <v>0</v>
      </c>
      <c r="Q36" s="105">
        <f>COUNTIFS('Monitoring &amp; Control'!C30,"Major",'Monitoring &amp; Control'!K30,"No")</f>
        <v>0</v>
      </c>
      <c r="R36" s="108">
        <f>COUNTIFS('Monitoring &amp; Control'!C30,"Minor",'Monitoring &amp; Control'!K30,"No")</f>
        <v>0</v>
      </c>
      <c r="S36" s="112">
        <f>SUMIFS('Monitoring &amp; Control'!D30,'Monitoring &amp; Control'!L30,"&lt;&gt;NA")</f>
        <v>3</v>
      </c>
      <c r="T36" s="104">
        <f>COUNTIFS('Monitoring &amp; Control'!C30,"Critical",'Monitoring &amp; Control'!L30,"No")</f>
        <v>0</v>
      </c>
      <c r="U36" s="105">
        <f>COUNTIFS('Monitoring &amp; Control'!C30,"Major",'Monitoring &amp; Control'!L30,"No")</f>
        <v>0</v>
      </c>
      <c r="V36" s="108">
        <f>COUNTIFS('Monitoring &amp; Control'!C30,"Minor",'Monitoring &amp; Control'!L30,"No")</f>
        <v>0</v>
      </c>
    </row>
    <row r="37" spans="1:22" x14ac:dyDescent="0.2">
      <c r="A37" s="115"/>
      <c r="B37" s="105" t="str">
        <f>'Monitoring &amp; Control'!B31</f>
        <v>Actiion Item Tracking</v>
      </c>
      <c r="C37" s="112">
        <f>SUMIFS('Monitoring &amp; Control'!D32,'Monitoring &amp; Control'!H32,"Yes")+SUMIFS('Monitoring &amp; Control'!D32,'Monitoring &amp; Control'!H32,"No")</f>
        <v>0</v>
      </c>
      <c r="D37" s="104">
        <f>COUNTIFS('Monitoring &amp; Control'!C32,"Critical",'Monitoring &amp; Control'!H32,"No")</f>
        <v>0</v>
      </c>
      <c r="E37" s="105">
        <f>COUNTIFS('Monitoring &amp; Control'!C32,"Major",'Monitoring &amp; Control'!H32,"No")</f>
        <v>0</v>
      </c>
      <c r="F37" s="108">
        <f>COUNTIFS('Monitoring &amp; Control'!C32,"Minor",'Monitoring &amp; Control'!H32,"No")</f>
        <v>0</v>
      </c>
      <c r="G37" s="112">
        <f>SUMIFS('Monitoring &amp; Control'!D32,'Monitoring &amp; Control'!I32,"&lt;&gt;NA")</f>
        <v>1</v>
      </c>
      <c r="H37" s="104">
        <f>COUNTIFS('Monitoring &amp; Control'!C32,"Critical",'Monitoring &amp; Control'!I32,"No")</f>
        <v>0</v>
      </c>
      <c r="I37" s="105">
        <f>COUNTIFS('Monitoring &amp; Control'!C32,"Major",'Monitoring &amp; Control'!I32,"No")</f>
        <v>0</v>
      </c>
      <c r="J37" s="108">
        <f>COUNTIFS('Monitoring &amp; Control'!C32,"Minor",'Monitoring &amp; Control'!I32,"No")</f>
        <v>0</v>
      </c>
      <c r="K37" s="112">
        <f>SUMIFS('Monitoring &amp; Control'!D32,'Monitoring &amp; Control'!J32,"&lt;&gt;NA")</f>
        <v>1</v>
      </c>
      <c r="L37" s="104">
        <f>COUNTIFS('Monitoring &amp; Control'!C32,"Critical",'Monitoring &amp; Control'!J32,"No")</f>
        <v>0</v>
      </c>
      <c r="M37" s="105">
        <f>COUNTIFS('Monitoring &amp; Control'!C32,"Major",'Monitoring &amp; Control'!J32,"No")</f>
        <v>0</v>
      </c>
      <c r="N37" s="108">
        <f>COUNTIFS('Monitoring &amp; Control'!C32,"Minor",'Monitoring &amp; Control'!J32,"No")</f>
        <v>0</v>
      </c>
      <c r="O37" s="112">
        <f>SUMIFS('Monitoring &amp; Control'!D32,'Monitoring &amp; Control'!K32,"&lt;&gt;NA")</f>
        <v>1</v>
      </c>
      <c r="P37" s="104">
        <f>COUNTIFS('Monitoring &amp; Control'!C32,"Critical",'Monitoring &amp; Control'!K32,"No")</f>
        <v>0</v>
      </c>
      <c r="Q37" s="105">
        <f>COUNTIFS('Monitoring &amp; Control'!C32,"Major",'Monitoring &amp; Control'!K32,"No")</f>
        <v>0</v>
      </c>
      <c r="R37" s="108">
        <f>COUNTIFS('Monitoring &amp; Control'!C32,"Minor",'Monitoring &amp; Control'!K32,"No")</f>
        <v>0</v>
      </c>
      <c r="S37" s="112">
        <f>SUMIFS('Monitoring &amp; Control'!D32,'Monitoring &amp; Control'!L32,"&lt;&gt;NA")</f>
        <v>1</v>
      </c>
      <c r="T37" s="104">
        <f>COUNTIFS('Monitoring &amp; Control'!C32,"Critical",'Monitoring &amp; Control'!L32,"No")</f>
        <v>0</v>
      </c>
      <c r="U37" s="105">
        <f>COUNTIFS('Monitoring &amp; Control'!C32,"Major",'Monitoring &amp; Control'!L32,"No")</f>
        <v>0</v>
      </c>
      <c r="V37" s="108">
        <f>COUNTIFS('Monitoring &amp; Control'!C32,"Minor",'Monitoring &amp; Control'!L32,"No")</f>
        <v>0</v>
      </c>
    </row>
    <row r="38" spans="1:22" x14ac:dyDescent="0.2">
      <c r="A38" s="115"/>
      <c r="B38" s="105" t="str">
        <f>'Monitoring &amp; Control'!B33</f>
        <v>Review Defect Tracking</v>
      </c>
      <c r="C38" s="112">
        <f>SUMIFS('Monitoring &amp; Control'!D34,'Monitoring &amp; Control'!H34,"Yes")+SUMIFS('Monitoring &amp; Control'!D34,'Monitoring &amp; Control'!H34,"No")</f>
        <v>1</v>
      </c>
      <c r="D38" s="104">
        <f>COUNTIFS('Monitoring &amp; Control'!C34,"Critical",'Monitoring &amp; Control'!H34,"No")</f>
        <v>0</v>
      </c>
      <c r="E38" s="105">
        <f>COUNTIFS('Monitoring &amp; Control'!C34,"Major",'Monitoring &amp; Control'!H34,"No")</f>
        <v>0</v>
      </c>
      <c r="F38" s="108">
        <f>COUNTIFS('Monitoring &amp; Control'!C34,"Minor",'Monitoring &amp; Control'!H34,"No")</f>
        <v>1</v>
      </c>
      <c r="G38" s="112">
        <f>SUMIFS('Monitoring &amp; Control'!D34,'Monitoring &amp; Control'!I34,"&lt;&gt;NA")</f>
        <v>1</v>
      </c>
      <c r="H38" s="104">
        <f>COUNTIFS('Monitoring &amp; Control'!C34,"Critical",'Monitoring &amp; Control'!I34,"No")</f>
        <v>0</v>
      </c>
      <c r="I38" s="105">
        <f>COUNTIFS('Monitoring &amp; Control'!C34,"Major",'Monitoring &amp; Control'!I34,"No")</f>
        <v>0</v>
      </c>
      <c r="J38" s="108">
        <f>COUNTIFS('Monitoring &amp; Control'!C34,"Minor",'Monitoring &amp; Control'!I34,"No")</f>
        <v>0</v>
      </c>
      <c r="K38" s="112">
        <f>SUMIFS('Monitoring &amp; Control'!D34,'Monitoring &amp; Control'!J34,"&lt;&gt;NA")</f>
        <v>1</v>
      </c>
      <c r="L38" s="104">
        <f>COUNTIFS('Monitoring &amp; Control'!C34,"Critical",'Monitoring &amp; Control'!J34,"No")</f>
        <v>0</v>
      </c>
      <c r="M38" s="105">
        <f>COUNTIFS('Monitoring &amp; Control'!C34,"Major",'Monitoring &amp; Control'!J34,"No")</f>
        <v>0</v>
      </c>
      <c r="N38" s="108">
        <f>COUNTIFS('Monitoring &amp; Control'!C34,"Minor",'Monitoring &amp; Control'!J34,"No")</f>
        <v>0</v>
      </c>
      <c r="O38" s="112">
        <f>SUMIFS('Monitoring &amp; Control'!D34,'Monitoring &amp; Control'!K34,"&lt;&gt;NA")</f>
        <v>1</v>
      </c>
      <c r="P38" s="104">
        <f>COUNTIFS('Monitoring &amp; Control'!C34,"Critical",'Monitoring &amp; Control'!K34,"No")</f>
        <v>0</v>
      </c>
      <c r="Q38" s="105">
        <f>COUNTIFS('Monitoring &amp; Control'!C34,"Major",'Monitoring &amp; Control'!K34,"No")</f>
        <v>0</v>
      </c>
      <c r="R38" s="108">
        <f>COUNTIFS('Monitoring &amp; Control'!C34,"Minor",'Monitoring &amp; Control'!K34,"No")</f>
        <v>0</v>
      </c>
      <c r="S38" s="112">
        <f>SUMIFS('Monitoring &amp; Control'!D34,'Monitoring &amp; Control'!L34,"&lt;&gt;NA")</f>
        <v>1</v>
      </c>
      <c r="T38" s="104">
        <f>COUNTIFS('Monitoring &amp; Control'!C34,"Critical",'Monitoring &amp; Control'!L34,"No")</f>
        <v>0</v>
      </c>
      <c r="U38" s="105">
        <f>COUNTIFS('Monitoring &amp; Control'!C34,"Major",'Monitoring &amp; Control'!L34,"No")</f>
        <v>0</v>
      </c>
      <c r="V38" s="108">
        <f>COUNTIFS('Monitoring &amp; Control'!C34,"Minor",'Monitoring &amp; Control'!L34,"No")</f>
        <v>0</v>
      </c>
    </row>
    <row r="39" spans="1:22" x14ac:dyDescent="0.2">
      <c r="A39" s="115"/>
      <c r="B39" s="105" t="str">
        <f>'Monitoring &amp; Control'!B35</f>
        <v>Test Defect Tracking</v>
      </c>
      <c r="C39" s="112">
        <f>SUMIFS('Monitoring &amp; Control'!D36,'Monitoring &amp; Control'!H36,"Yes")+SUMIFS('Monitoring &amp; Control'!D36,'Monitoring &amp; Control'!H36,"No")</f>
        <v>1</v>
      </c>
      <c r="D39" s="104">
        <f>COUNTIFS('Monitoring &amp; Control'!C36,"Critical",'Monitoring &amp; Control'!H36,"No")</f>
        <v>0</v>
      </c>
      <c r="E39" s="105">
        <f>COUNTIFS('Monitoring &amp; Control'!C36,"Major",'Monitoring &amp; Control'!H36,"No")</f>
        <v>0</v>
      </c>
      <c r="F39" s="108">
        <f>COUNTIFS('Monitoring &amp; Control'!C36,"Minor",'Monitoring &amp; Control'!H36,"No")</f>
        <v>0</v>
      </c>
      <c r="G39" s="112">
        <f>SUMIFS('Monitoring &amp; Control'!D36,'Monitoring &amp; Control'!I36,"&lt;&gt;NA")</f>
        <v>1</v>
      </c>
      <c r="H39" s="104">
        <f>COUNTIFS('Monitoring &amp; Control'!C36,"Critical",'Monitoring &amp; Control'!I36,"No")</f>
        <v>0</v>
      </c>
      <c r="I39" s="105">
        <f>COUNTIFS('Monitoring &amp; Control'!C36,"Major",'Monitoring &amp; Control'!I36,"No")</f>
        <v>0</v>
      </c>
      <c r="J39" s="108">
        <f>COUNTIFS('Monitoring &amp; Control'!C36,"Minor",'Monitoring &amp; Control'!I36,"No")</f>
        <v>0</v>
      </c>
      <c r="K39" s="112">
        <f>SUMIFS('Monitoring &amp; Control'!D36,'Monitoring &amp; Control'!J36,"&lt;&gt;NA")</f>
        <v>1</v>
      </c>
      <c r="L39" s="104">
        <f>COUNTIFS('Monitoring &amp; Control'!C36,"Critical",'Monitoring &amp; Control'!J36,"No")</f>
        <v>0</v>
      </c>
      <c r="M39" s="105">
        <f>COUNTIFS('Monitoring &amp; Control'!C36,"Major",'Monitoring &amp; Control'!J36,"No")</f>
        <v>0</v>
      </c>
      <c r="N39" s="108">
        <f>COUNTIFS('Monitoring &amp; Control'!C36,"Minor",'Monitoring &amp; Control'!J36,"No")</f>
        <v>0</v>
      </c>
      <c r="O39" s="112">
        <f>SUMIFS('Monitoring &amp; Control'!D36,'Monitoring &amp; Control'!K36,"&lt;&gt;NA")</f>
        <v>1</v>
      </c>
      <c r="P39" s="104">
        <f>COUNTIFS('Monitoring &amp; Control'!C36,"Critical",'Monitoring &amp; Control'!K36,"No")</f>
        <v>0</v>
      </c>
      <c r="Q39" s="105">
        <f>COUNTIFS('Monitoring &amp; Control'!C36,"Major",'Monitoring &amp; Control'!K36,"No")</f>
        <v>0</v>
      </c>
      <c r="R39" s="108">
        <f>COUNTIFS('Monitoring &amp; Control'!C36,"Minor",'Monitoring &amp; Control'!K36,"No")</f>
        <v>0</v>
      </c>
      <c r="S39" s="112">
        <f>SUMIFS('Monitoring &amp; Control'!D36,'Monitoring &amp; Control'!L36,"&lt;&gt;NA")</f>
        <v>1</v>
      </c>
      <c r="T39" s="104">
        <f>COUNTIFS('Monitoring &amp; Control'!C36,"Critical",'Monitoring &amp; Control'!L36,"No")</f>
        <v>0</v>
      </c>
      <c r="U39" s="105">
        <f>COUNTIFS('Monitoring &amp; Control'!C36,"Major",'Monitoring &amp; Control'!L36,"No")</f>
        <v>0</v>
      </c>
      <c r="V39" s="108">
        <f>COUNTIFS('Monitoring &amp; Control'!C36,"Minor",'Monitoring &amp; Control'!L36,"No")</f>
        <v>0</v>
      </c>
    </row>
    <row r="40" spans="1:22" x14ac:dyDescent="0.2">
      <c r="A40" s="115"/>
      <c r="B40" s="105" t="str">
        <f>'Monitoring &amp; Control'!B37</f>
        <v>Internal Audit Findings Tracking</v>
      </c>
      <c r="C40" s="112">
        <f>SUMIFS('Monitoring &amp; Control'!D38:D39,'Monitoring &amp; Control'!H38:H39,"Yes")+SUMIFS('Monitoring &amp; Control'!D38:D39,'Monitoring &amp; Control'!H38:H39,"No")</f>
        <v>1</v>
      </c>
      <c r="D40" s="104">
        <f>COUNTIFS('Monitoring &amp; Control'!C38:C39,"Critical",'Monitoring &amp; Control'!H38:H39,"No")</f>
        <v>0</v>
      </c>
      <c r="E40" s="105">
        <f>COUNTIFS('Monitoring &amp; Control'!C38:C39,"Major",'Monitoring &amp; Control'!H38:H39,"No")</f>
        <v>0</v>
      </c>
      <c r="F40" s="108">
        <f>COUNTIFS('Monitoring &amp; Control'!C38:C39,"Minor",'Monitoring &amp; Control'!H38:H39,"No")</f>
        <v>0</v>
      </c>
      <c r="G40" s="112">
        <f>SUMIFS('Monitoring &amp; Control'!D38:D39,'Monitoring &amp; Control'!I38:I39,"&lt;&gt;NA")</f>
        <v>4</v>
      </c>
      <c r="H40" s="104">
        <f>COUNTIFS('Monitoring &amp; Control'!C38:C39,"Critical",'Monitoring &amp; Control'!I38:I39,"No")</f>
        <v>0</v>
      </c>
      <c r="I40" s="105">
        <f>COUNTIFS('Monitoring &amp; Control'!C38:C39,"Major",'Monitoring &amp; Control'!I38:I39,"No")</f>
        <v>0</v>
      </c>
      <c r="J40" s="108">
        <f>COUNTIFS('Monitoring &amp; Control'!C38:C39,"Minor",'Monitoring &amp; Control'!I38:I39,"No")</f>
        <v>0</v>
      </c>
      <c r="K40" s="112">
        <f>SUMIFS('Monitoring &amp; Control'!D38:D39,'Monitoring &amp; Control'!J38:J39,"&lt;&gt;NA")</f>
        <v>4</v>
      </c>
      <c r="L40" s="104">
        <f>COUNTIFS('Monitoring &amp; Control'!C38:C39,"Critical",'Monitoring &amp; Control'!J38:J39,"No")</f>
        <v>0</v>
      </c>
      <c r="M40" s="105">
        <f>COUNTIFS('Monitoring &amp; Control'!C38:C39,"Major",'Monitoring &amp; Control'!J38:J39,"No")</f>
        <v>0</v>
      </c>
      <c r="N40" s="108">
        <f>COUNTIFS('Monitoring &amp; Control'!C38:C39,"Minor",'Monitoring &amp; Control'!J38:J39,"No")</f>
        <v>0</v>
      </c>
      <c r="O40" s="112">
        <f>SUMIFS('Monitoring &amp; Control'!D38:D39,'Monitoring &amp; Control'!K38:K39,"&lt;&gt;NA")</f>
        <v>4</v>
      </c>
      <c r="P40" s="104">
        <f>COUNTIFS('Monitoring &amp; Control'!C38:C39,"Critical",'Monitoring &amp; Control'!K38:K39,"No")</f>
        <v>0</v>
      </c>
      <c r="Q40" s="105">
        <f>COUNTIFS('Monitoring &amp; Control'!C38:C39,"Major",'Monitoring &amp; Control'!K38:K39,"No")</f>
        <v>0</v>
      </c>
      <c r="R40" s="108">
        <f>COUNTIFS('Monitoring &amp; Control'!C38:C39,"Minor",'Monitoring &amp; Control'!K38:K39,"No")</f>
        <v>0</v>
      </c>
      <c r="S40" s="112">
        <f>SUMIFS('Monitoring &amp; Control'!D38:D39,'Monitoring &amp; Control'!L38:L39,"&lt;&gt;NA")</f>
        <v>4</v>
      </c>
      <c r="T40" s="104">
        <f>COUNTIFS('Monitoring &amp; Control'!C38:C39,"Critical",'Monitoring &amp; Control'!L38:L39,"No")</f>
        <v>0</v>
      </c>
      <c r="U40" s="105">
        <f>COUNTIFS('Monitoring &amp; Control'!C38:C39,"Major",'Monitoring &amp; Control'!L38:L39,"No")</f>
        <v>0</v>
      </c>
      <c r="V40" s="108">
        <f>COUNTIFS('Monitoring &amp; Control'!C38:C39,"Minor",'Monitoring &amp; Control'!L38:L39,"No")</f>
        <v>0</v>
      </c>
    </row>
    <row r="41" spans="1:22" x14ac:dyDescent="0.2">
      <c r="A41" s="115"/>
      <c r="B41" s="105" t="str">
        <f>'Monitoring &amp; Control'!B40</f>
        <v>Trainings</v>
      </c>
      <c r="C41" s="112">
        <f>SUMIFS('Monitoring &amp; Control'!D41,'Monitoring &amp; Control'!H41,"Yes")+SUMIFS('Monitoring &amp; Control'!D41,'Monitoring &amp; Control'!H41,"No")</f>
        <v>3</v>
      </c>
      <c r="D41" s="104">
        <f>COUNTIFS('Monitoring &amp; Control'!C41,"Critical",'Monitoring &amp; Control'!H41,"No")</f>
        <v>0</v>
      </c>
      <c r="E41" s="105">
        <f>COUNTIFS('Monitoring &amp; Control'!C41,"Major",'Monitoring &amp; Control'!H41,"No")</f>
        <v>0</v>
      </c>
      <c r="F41" s="108">
        <f>COUNTIFS('Monitoring &amp; Control'!C41,"Minor",'Monitoring &amp; Control'!H41,"No")</f>
        <v>0</v>
      </c>
      <c r="G41" s="112">
        <f>SUMIFS('Monitoring &amp; Control'!D41,'Monitoring &amp; Control'!I41,"&lt;&gt;NA")</f>
        <v>3</v>
      </c>
      <c r="H41" s="104">
        <f>COUNTIFS('Monitoring &amp; Control'!C41,"Critical",'Monitoring &amp; Control'!I41,"No")</f>
        <v>0</v>
      </c>
      <c r="I41" s="105">
        <f>COUNTIFS('Monitoring &amp; Control'!C41,"Major",'Monitoring &amp; Control'!I41,"No")</f>
        <v>0</v>
      </c>
      <c r="J41" s="108">
        <f>COUNTIFS('Monitoring &amp; Control'!C41,"Minor",'Monitoring &amp; Control'!I41,"No")</f>
        <v>0</v>
      </c>
      <c r="K41" s="112">
        <f>SUMIFS('Monitoring &amp; Control'!D41,'Monitoring &amp; Control'!J41,"&lt;&gt;NA")</f>
        <v>3</v>
      </c>
      <c r="L41" s="104">
        <f>COUNTIFS('Monitoring &amp; Control'!C41,"Critical",'Monitoring &amp; Control'!J41,"No")</f>
        <v>0</v>
      </c>
      <c r="M41" s="105">
        <f>COUNTIFS('Monitoring &amp; Control'!C41,"Major",'Monitoring &amp; Control'!J41,"No")</f>
        <v>0</v>
      </c>
      <c r="N41" s="108">
        <f>COUNTIFS('Monitoring &amp; Control'!C41,"Minor",'Monitoring &amp; Control'!J41,"No")</f>
        <v>0</v>
      </c>
      <c r="O41" s="112">
        <f>SUMIFS('Monitoring &amp; Control'!D41,'Monitoring &amp; Control'!K41,"&lt;&gt;NA")</f>
        <v>3</v>
      </c>
      <c r="P41" s="104">
        <f>COUNTIFS('Monitoring &amp; Control'!C41,"Critical",'Monitoring &amp; Control'!K41,"No")</f>
        <v>0</v>
      </c>
      <c r="Q41" s="105">
        <f>COUNTIFS('Monitoring &amp; Control'!C41,"Major",'Monitoring &amp; Control'!K41,"No")</f>
        <v>0</v>
      </c>
      <c r="R41" s="108">
        <f>COUNTIFS('Monitoring &amp; Control'!C41,"Minor",'Monitoring &amp; Control'!K41,"No")</f>
        <v>0</v>
      </c>
      <c r="S41" s="112">
        <f>SUMIFS('Monitoring &amp; Control'!D41,'Monitoring &amp; Control'!L41,"&lt;&gt;NA")</f>
        <v>3</v>
      </c>
      <c r="T41" s="104">
        <f>COUNTIFS('Monitoring &amp; Control'!C41,"Critical",'Monitoring &amp; Control'!L41,"No")</f>
        <v>0</v>
      </c>
      <c r="U41" s="105">
        <f>COUNTIFS('Monitoring &amp; Control'!C41,"Major",'Monitoring &amp; Control'!L41,"No")</f>
        <v>0</v>
      </c>
      <c r="V41" s="108">
        <f>COUNTIFS('Monitoring &amp; Control'!C41,"Minor",'Monitoring &amp; Control'!L41,"No")</f>
        <v>0</v>
      </c>
    </row>
    <row r="42" spans="1:22" x14ac:dyDescent="0.2">
      <c r="A42" s="115"/>
      <c r="B42" s="105" t="str">
        <f>'Monitoring &amp; Control'!B42</f>
        <v>Status Reviews</v>
      </c>
      <c r="C42" s="112">
        <f>SUMIFS('Monitoring &amp; Control'!D43:D47,'Monitoring &amp; Control'!H43:H47,"Yes")+SUMIFS('Monitoring &amp; Control'!D43:D47,'Monitoring &amp; Control'!H43:H47,"No")</f>
        <v>18</v>
      </c>
      <c r="D42" s="104">
        <f>COUNTIFS('Monitoring &amp; Control'!C43:C47,"Critical",'Monitoring &amp; Control'!H43:H47,"No")</f>
        <v>3</v>
      </c>
      <c r="E42" s="105">
        <f>COUNTIFS('Monitoring &amp; Control'!C43:C47,"Major",'Monitoring &amp; Control'!H43:H47,"No")</f>
        <v>1</v>
      </c>
      <c r="F42" s="108">
        <f>COUNTIFS('Monitoring &amp; Control'!C43:C47,"Minor",'Monitoring &amp; Control'!H43:H47,"No")</f>
        <v>0</v>
      </c>
      <c r="G42" s="112">
        <f>SUMIFS('Monitoring &amp; Control'!D43:D47,'Monitoring &amp; Control'!I43:I47,"&lt;&gt;NA")</f>
        <v>21</v>
      </c>
      <c r="H42" s="104">
        <f>COUNTIFS('Monitoring &amp; Control'!C43:C47,"Critical",'Monitoring &amp; Control'!I43:I47,"No")</f>
        <v>0</v>
      </c>
      <c r="I42" s="105">
        <f>COUNTIFS('Monitoring &amp; Control'!C43:C47,"Major",'Monitoring &amp; Control'!I43:I47,"No")</f>
        <v>0</v>
      </c>
      <c r="J42" s="108">
        <f>COUNTIFS('Monitoring &amp; Control'!C43:C47,"Minor",'Monitoring &amp; Control'!I43:I47,"No")</f>
        <v>0</v>
      </c>
      <c r="K42" s="112">
        <f>SUMIFS('Monitoring &amp; Control'!D43:D47,'Monitoring &amp; Control'!J43:J47,"&lt;&gt;NA")</f>
        <v>21</v>
      </c>
      <c r="L42" s="104">
        <f>COUNTIFS('Monitoring &amp; Control'!C43:C47,"Critical",'Monitoring &amp; Control'!J43:J47,"No")</f>
        <v>0</v>
      </c>
      <c r="M42" s="105">
        <f>COUNTIFS('Monitoring &amp; Control'!C43:C47,"Major",'Monitoring &amp; Control'!J43:J47,"No")</f>
        <v>0</v>
      </c>
      <c r="N42" s="108">
        <f>COUNTIFS('Monitoring &amp; Control'!C43:C47,"Minor",'Monitoring &amp; Control'!J43:J47,"No")</f>
        <v>0</v>
      </c>
      <c r="O42" s="112">
        <f>SUMIFS('Monitoring &amp; Control'!D43:D47,'Monitoring &amp; Control'!K43:K47,"&lt;&gt;NA")</f>
        <v>21</v>
      </c>
      <c r="P42" s="104">
        <f>COUNTIFS('Monitoring &amp; Control'!C43:C47,"Critical",'Monitoring &amp; Control'!K43:K47,"No")</f>
        <v>0</v>
      </c>
      <c r="Q42" s="105">
        <f>COUNTIFS('Monitoring &amp; Control'!C43:C47,"Major",'Monitoring &amp; Control'!K43:K47,"No")</f>
        <v>0</v>
      </c>
      <c r="R42" s="108">
        <f>COUNTIFS('Monitoring &amp; Control'!C43:C47,"Minor",'Monitoring &amp; Control'!K43:K47,"No")</f>
        <v>0</v>
      </c>
      <c r="S42" s="112">
        <f>SUMIFS('Monitoring &amp; Control'!D43:D47,'Monitoring &amp; Control'!L43:L47,"&lt;&gt;NA")</f>
        <v>21</v>
      </c>
      <c r="T42" s="104">
        <f>COUNTIFS('Monitoring &amp; Control'!C43:C47,"Critical",'Monitoring &amp; Control'!L43:L47,"No")</f>
        <v>0</v>
      </c>
      <c r="U42" s="105">
        <f>COUNTIFS('Monitoring &amp; Control'!C43:C47,"Major",'Monitoring &amp; Control'!L43:L47,"No")</f>
        <v>0</v>
      </c>
      <c r="V42" s="108">
        <f>COUNTIFS('Monitoring &amp; Control'!C43:C47,"Minor",'Monitoring &amp; Control'!L43:L47,"No")</f>
        <v>0</v>
      </c>
    </row>
    <row r="43" spans="1:22" x14ac:dyDescent="0.2">
      <c r="A43" s="115"/>
      <c r="B43" s="105"/>
      <c r="C43" s="112"/>
      <c r="D43" s="104"/>
      <c r="E43" s="105"/>
      <c r="F43" s="108"/>
      <c r="G43" s="112"/>
      <c r="H43" s="104"/>
      <c r="I43" s="105"/>
      <c r="J43" s="108"/>
      <c r="K43" s="112"/>
      <c r="L43" s="104"/>
      <c r="M43" s="105"/>
      <c r="N43" s="108"/>
      <c r="O43" s="112"/>
      <c r="P43" s="104"/>
      <c r="Q43" s="105"/>
      <c r="R43" s="108"/>
      <c r="S43" s="112"/>
      <c r="T43" s="104"/>
      <c r="U43" s="105"/>
      <c r="V43" s="108"/>
    </row>
    <row r="44" spans="1:22" x14ac:dyDescent="0.2">
      <c r="A44" s="116" t="s">
        <v>579</v>
      </c>
      <c r="B44" s="105" t="str">
        <f>Requirements!B3</f>
        <v>Requirements Development</v>
      </c>
      <c r="C44" s="112">
        <f>SUMIFS(Requirements!D4:D7,Requirements!H4:H7,"Yes")+SUMIFS(Requirements!D4:D7,Requirements!H4:H7,"No")</f>
        <v>14</v>
      </c>
      <c r="D44" s="104">
        <f>COUNTIFS(Requirements!C4:C7,"Critical",Requirements!H4:H7,"No")</f>
        <v>0</v>
      </c>
      <c r="E44" s="105">
        <f>COUNTIFS(Requirements!C4:C7,"Major",Requirements!H4:H7,"No")</f>
        <v>0</v>
      </c>
      <c r="F44" s="108">
        <f>COUNTIFS(Requirements!C4:C7,"Minor",Requirements!H4:H7,"No")</f>
        <v>0</v>
      </c>
      <c r="G44" s="112">
        <f>SUMIFS(Requirements!D4:D7,Requirements!I4:I7,"&lt;&gt;NA")</f>
        <v>14</v>
      </c>
      <c r="H44" s="104">
        <f>COUNTIFS(Requirements!C4:C7,"Critical",Requirements!I4:I7,"No")</f>
        <v>0</v>
      </c>
      <c r="I44" s="105">
        <f>COUNTIFS(Requirements!C4:C7,"Major",Requirements!I4:I7,"No")</f>
        <v>0</v>
      </c>
      <c r="J44" s="108">
        <f>COUNTIFS(Requirements!C4:C7,"Minor",Requirements!I4:I7,"No")</f>
        <v>0</v>
      </c>
      <c r="K44" s="112">
        <f>SUMIFS(Requirements!D4:D7,Requirements!J4:J7,"&lt;&gt;NA")</f>
        <v>0</v>
      </c>
      <c r="L44" s="104">
        <f>COUNTIFS(Requirements!C4:C7,"Critical",Requirements!J4:J7,"No")</f>
        <v>0</v>
      </c>
      <c r="M44" s="105">
        <f>COUNTIFS(Requirements!C4:C7,"Major",Requirements!J4:J7,"No")</f>
        <v>0</v>
      </c>
      <c r="N44" s="108">
        <f>COUNTIFS(Requirements!C4:C7,"Minor",Requirements!J4:J7,"No")</f>
        <v>0</v>
      </c>
      <c r="O44" s="112">
        <f>SUMIFS(Requirements!D4:D7,Requirements!K4:K7,"&lt;&gt;NA")</f>
        <v>0</v>
      </c>
      <c r="P44" s="104">
        <f>COUNTIFS(Requirements!C4:C7,"Critical",Requirements!K4:K7,"No")</f>
        <v>0</v>
      </c>
      <c r="Q44" s="105">
        <f>COUNTIFS(Requirements!C4:C7,"Major",Requirements!K4:K7,"No")</f>
        <v>0</v>
      </c>
      <c r="R44" s="108">
        <f>COUNTIFS(Requirements!C4:C7,"Minor",Requirements!K4:K7,"No")</f>
        <v>0</v>
      </c>
      <c r="S44" s="112">
        <f>SUMIFS(Requirements!D4:D7,Requirements!L4:L7,"&lt;&gt;NA")</f>
        <v>0</v>
      </c>
      <c r="T44" s="104">
        <f>COUNTIFS(Requirements!C4:C7,"Critical",Requirements!L4:L7,"No")</f>
        <v>0</v>
      </c>
      <c r="U44" s="105">
        <f>COUNTIFS(Requirements!C4:C7,"Major",Requirements!L4:L7,"No")</f>
        <v>0</v>
      </c>
      <c r="V44" s="108">
        <f>COUNTIFS(Requirements!C4:C7,"Minor",Requirements!L4:L7,"No")</f>
        <v>0</v>
      </c>
    </row>
    <row r="45" spans="1:22" x14ac:dyDescent="0.2">
      <c r="A45" s="115"/>
      <c r="B45" s="105" t="str">
        <f>Requirements!B8</f>
        <v>Requirements Analysis and Validation</v>
      </c>
      <c r="C45" s="112">
        <f>SUMIFS(Requirements!D9:D15,Requirements!H9:H15,"Yes")+SUMIFS(Requirements!D9:D15,Requirements!H9:H15,"No")</f>
        <v>5</v>
      </c>
      <c r="D45" s="104">
        <f>COUNTIFS(Requirements!C9:C15,"Critical",Requirements!H9:H15,"No")</f>
        <v>0</v>
      </c>
      <c r="E45" s="105">
        <f>COUNTIFS(Requirements!C9:C15,"Major",Requirements!H9:H15,"No")</f>
        <v>0</v>
      </c>
      <c r="F45" s="108">
        <f>COUNTIFS(Requirements!C9:C15,"Minor",Requirements!H9:H15,"No")</f>
        <v>0</v>
      </c>
      <c r="G45" s="112">
        <f>SUMIFS(Requirements!D9:D15,Requirements!I9:I15,"&lt;&gt;NA")</f>
        <v>19</v>
      </c>
      <c r="H45" s="104">
        <f>COUNTIFS(Requirements!C9:C15,"Critical",Requirements!I9:I15,"No")</f>
        <v>0</v>
      </c>
      <c r="I45" s="105">
        <f>COUNTIFS(Requirements!C9:C15,"Major",Requirements!I9:I15,"No")</f>
        <v>0</v>
      </c>
      <c r="J45" s="108">
        <f>COUNTIFS(Requirements!C9:C15,"Minor",Requirements!I9:I15,"No")</f>
        <v>0</v>
      </c>
      <c r="K45" s="112">
        <f>SUMIFS(Requirements!D9:D15,Requirements!J9:J15,"&lt;&gt;NA")</f>
        <v>0</v>
      </c>
      <c r="L45" s="104">
        <f>COUNTIFS(Requirements!C9:C15,"Critical",Requirements!J9:J15,"No")</f>
        <v>0</v>
      </c>
      <c r="M45" s="105">
        <f>COUNTIFS(Requirements!C9:C15,"Major",Requirements!J9:J15,"No")</f>
        <v>0</v>
      </c>
      <c r="N45" s="108">
        <f>COUNTIFS(Requirements!C9:C15,"Minor",Requirements!J9:J15,"No")</f>
        <v>0</v>
      </c>
      <c r="O45" s="112">
        <f>SUMIFS(Requirements!D9:D15,Requirements!K9:K15,"&lt;&gt;NA")</f>
        <v>0</v>
      </c>
      <c r="P45" s="104">
        <f>COUNTIFS(Requirements!C9:C15,"Critical",Requirements!K9:K15,"No")</f>
        <v>0</v>
      </c>
      <c r="Q45" s="105">
        <f>COUNTIFS(Requirements!C9:C15,"Major",Requirements!K9:K15,"No")</f>
        <v>0</v>
      </c>
      <c r="R45" s="108">
        <f>COUNTIFS(Requirements!C9:C15,"Minor",Requirements!K9:K15,"No")</f>
        <v>0</v>
      </c>
      <c r="S45" s="112">
        <f>SUMIFS(Requirements!D9:D15,Requirements!L9:L15,"&lt;&gt;NA")</f>
        <v>0</v>
      </c>
      <c r="T45" s="104">
        <f>COUNTIFS(Requirements!C9:C15,"Critical",Requirements!L9:L15,"No")</f>
        <v>0</v>
      </c>
      <c r="U45" s="105">
        <f>COUNTIFS(Requirements!C9:C15,"Major",Requirements!L9:L15,"No")</f>
        <v>0</v>
      </c>
      <c r="V45" s="108">
        <f>COUNTIFS(Requirements!C9:C15,"Minor",Requirements!L9:L15,"No")</f>
        <v>0</v>
      </c>
    </row>
    <row r="46" spans="1:22" x14ac:dyDescent="0.2">
      <c r="A46" s="115"/>
      <c r="B46" s="105" t="str">
        <f>Requirements!B16</f>
        <v>Requirements Traceability</v>
      </c>
      <c r="C46" s="112">
        <f>SUMIFS(Requirements!D17,Requirements!H17,"Yes")+SUMIFS(Requirements!D17,Requirements!H17,"No")</f>
        <v>5</v>
      </c>
      <c r="D46" s="104">
        <f>COUNTIFS(Requirements!C17,"Critical",Requirements!H17,"No")</f>
        <v>0</v>
      </c>
      <c r="E46" s="105">
        <f>COUNTIFS(Requirements!C17,"Major",Requirements!H17,"No")</f>
        <v>0</v>
      </c>
      <c r="F46" s="108">
        <f>COUNTIFS(Requirements!C17,"Minor",Requirements!H17,"No")</f>
        <v>0</v>
      </c>
      <c r="G46" s="112">
        <f>SUMIFS(Requirements!D17,Requirements!I17,"&lt;&gt;NA")</f>
        <v>5</v>
      </c>
      <c r="H46" s="104">
        <f>COUNTIFS(Requirements!C17,"Critical",Requirements!I17,"No")</f>
        <v>0</v>
      </c>
      <c r="I46" s="105">
        <f>COUNTIFS(Requirements!C17,"Major",Requirements!I17,"No")</f>
        <v>0</v>
      </c>
      <c r="J46" s="108">
        <f>COUNTIFS(Requirements!C17,"Minor",Requirements!I17,"No")</f>
        <v>0</v>
      </c>
      <c r="K46" s="112">
        <f>SUMIFS(Requirements!D17,Requirements!J17,"&lt;&gt;NA")</f>
        <v>0</v>
      </c>
      <c r="L46" s="104">
        <f>COUNTIFS(Requirements!C17,"Critical",Requirements!J17,"No")</f>
        <v>0</v>
      </c>
      <c r="M46" s="105">
        <f>COUNTIFS(Requirements!C17,"Major",Requirements!J17,"No")</f>
        <v>0</v>
      </c>
      <c r="N46" s="108">
        <f>COUNTIFS(Requirements!C17,"Minor",Requirements!J17,"No")</f>
        <v>0</v>
      </c>
      <c r="O46" s="112">
        <f>SUMIFS(Requirements!D17,Requirements!K17,"&lt;&gt;NA")</f>
        <v>0</v>
      </c>
      <c r="P46" s="104">
        <f>COUNTIFS(Requirements!C17,"Critical",Requirements!K17,"No")</f>
        <v>0</v>
      </c>
      <c r="Q46" s="105">
        <f>COUNTIFS(Requirements!C17,"Major",Requirements!K17,"No")</f>
        <v>0</v>
      </c>
      <c r="R46" s="108">
        <f>COUNTIFS(Requirements!C17,"Minor",Requirements!K17,"No")</f>
        <v>0</v>
      </c>
      <c r="S46" s="112">
        <f>SUMIFS(Requirements!D17,Requirements!L17,"&lt;&gt;NA")</f>
        <v>0</v>
      </c>
      <c r="T46" s="104">
        <f>COUNTIFS(Requirements!C17,"Critical",Requirements!L17,"No")</f>
        <v>0</v>
      </c>
      <c r="U46" s="105">
        <f>COUNTIFS(Requirements!C17,"Major",Requirements!L17,"No")</f>
        <v>0</v>
      </c>
      <c r="V46" s="108">
        <f>COUNTIFS(Requirements!C17,"Minor",Requirements!L17,"No")</f>
        <v>0</v>
      </c>
    </row>
    <row r="47" spans="1:22" x14ac:dyDescent="0.2">
      <c r="A47" s="115"/>
      <c r="B47" s="105"/>
      <c r="C47" s="112"/>
      <c r="D47" s="104"/>
      <c r="E47" s="105"/>
      <c r="F47" s="108"/>
      <c r="G47" s="112"/>
      <c r="H47" s="104"/>
      <c r="I47" s="105"/>
      <c r="J47" s="108"/>
      <c r="K47" s="112"/>
      <c r="L47" s="104"/>
      <c r="M47" s="105"/>
      <c r="N47" s="108"/>
      <c r="O47" s="112"/>
      <c r="P47" s="104"/>
      <c r="Q47" s="105"/>
      <c r="R47" s="108"/>
      <c r="S47" s="112"/>
      <c r="T47" s="104"/>
      <c r="U47" s="105"/>
      <c r="V47" s="108"/>
    </row>
    <row r="48" spans="1:22" x14ac:dyDescent="0.2">
      <c r="A48" s="116" t="s">
        <v>580</v>
      </c>
      <c r="B48" s="105" t="str">
        <f>Design!B3</f>
        <v>DAR</v>
      </c>
      <c r="C48" s="112">
        <f>SUMIFS(Design!D4:D6,Design!H4:H6,"Yes")+SUMIFS(Design!D4:D6,Design!H4:H6,"No")</f>
        <v>0</v>
      </c>
      <c r="D48" s="104">
        <f>COUNTIFS(Design!C4:C6,"Critical",Design!H4:H6,"No")</f>
        <v>0</v>
      </c>
      <c r="E48" s="105">
        <f>COUNTIFS(Design!C4:C6,"Major",Design!H4:H6,"No")</f>
        <v>0</v>
      </c>
      <c r="F48" s="108">
        <f>COUNTIFS(Design!C4:C6,"Minor",Design!H4:H6,"No")</f>
        <v>0</v>
      </c>
      <c r="G48" s="112">
        <f>SUMIFS(Design!D4:D6,Design!I4:I6,"&lt;&gt;NA")</f>
        <v>9</v>
      </c>
      <c r="H48" s="104">
        <f>COUNTIFS(Design!C4:C6,"Critical",Design!I4:I6,"No")</f>
        <v>0</v>
      </c>
      <c r="I48" s="105">
        <f>COUNTIFS(Design!C4:C6,"Major",Design!I4:I6,"No")</f>
        <v>0</v>
      </c>
      <c r="J48" s="108">
        <f>COUNTIFS(Design!C4:C6,"Minor",Design!I4:I6,"No")</f>
        <v>0</v>
      </c>
      <c r="K48" s="112">
        <f>SUMIFS(Design!D4:D6,Design!J4:J6,"&lt;&gt;NA")</f>
        <v>9</v>
      </c>
      <c r="L48" s="104">
        <f>COUNTIFS(Design!C4:C6,"Critical",Design!J4:J6,"No")</f>
        <v>0</v>
      </c>
      <c r="M48" s="105">
        <f>COUNTIFS(Design!C4:C6,"Major",Design!J4:J6,"No")</f>
        <v>0</v>
      </c>
      <c r="N48" s="108">
        <f>COUNTIFS(Design!C4:C6,"Minor",Design!J4:J6,"No")</f>
        <v>0</v>
      </c>
      <c r="O48" s="112">
        <f>SUMIFS(Design!D4:D6,Design!K4:K6,"&lt;&gt;NA")</f>
        <v>9</v>
      </c>
      <c r="P48" s="104">
        <f>COUNTIFS(Design!C4:C6,"Critical",Design!K4:K6,"No")</f>
        <v>0</v>
      </c>
      <c r="Q48" s="105">
        <f>COUNTIFS(Design!C4:C6,"Major",Design!K4:K6,"No")</f>
        <v>0</v>
      </c>
      <c r="R48" s="108">
        <f>COUNTIFS(Design!C4:C6,"Minor",Design!K4:K6,"No")</f>
        <v>0</v>
      </c>
      <c r="S48" s="112">
        <f>SUMIFS(Design!D4:D6,Design!L4:L6,"&lt;&gt;NA")</f>
        <v>9</v>
      </c>
      <c r="T48" s="104">
        <f>COUNTIFS(Design!C4:C6,"Critical",Design!L4:L6,"No")</f>
        <v>0</v>
      </c>
      <c r="U48" s="105">
        <f>COUNTIFS(Design!C4:C6,"Major",Design!L4:L6,"No")</f>
        <v>0</v>
      </c>
      <c r="V48" s="108">
        <f>COUNTIFS(Design!C4:C6,"Minor",Design!L4:L6,"No")</f>
        <v>0</v>
      </c>
    </row>
    <row r="49" spans="1:22" x14ac:dyDescent="0.2">
      <c r="A49" s="115"/>
      <c r="B49" s="105" t="str">
        <f>Design!B7</f>
        <v>Product Integration Plan</v>
      </c>
      <c r="C49" s="112">
        <f>SUMIFS(Design!D8:D12,Design!H8:H12,"Yes")+SUMIFS(Design!D8:D12,Design!H8:H12,"No")</f>
        <v>0</v>
      </c>
      <c r="D49" s="104">
        <f>COUNTIFS(Design!C8:C12,"Critical",Design!H8:H12,"No")</f>
        <v>0</v>
      </c>
      <c r="E49" s="105">
        <f>COUNTIFS(Design!C8:C12,"Major",Design!H8:H12,"No")</f>
        <v>0</v>
      </c>
      <c r="F49" s="108">
        <f>COUNTIFS(Design!C8:C12,"Minor",Design!H8:H12,"No")</f>
        <v>0</v>
      </c>
      <c r="G49" s="112">
        <f>SUMIFS(Design!D8:D12,Design!I8:I12,"&lt;&gt;NA")</f>
        <v>13</v>
      </c>
      <c r="H49" s="104">
        <f>COUNTIFS(Design!C8:C12,"Critical",Design!I8:I12,"No")</f>
        <v>0</v>
      </c>
      <c r="I49" s="105">
        <f>COUNTIFS(Design!C8:C12,"Major",Design!I8:I12,"No")</f>
        <v>0</v>
      </c>
      <c r="J49" s="108">
        <f>COUNTIFS(Design!C8:C12,"Minor",Design!I8:I12,"No")</f>
        <v>0</v>
      </c>
      <c r="K49" s="112">
        <f>SUMIFS(Design!D8:D12,Design!J8:J12,"&lt;&gt;NA")</f>
        <v>13</v>
      </c>
      <c r="L49" s="104">
        <f>COUNTIFS(Design!C8:C12,"Critical",Design!J8:J12,"No")</f>
        <v>0</v>
      </c>
      <c r="M49" s="105">
        <f>COUNTIFS(Design!C8:C12,"Major",Design!J8:J12,"No")</f>
        <v>0</v>
      </c>
      <c r="N49" s="108">
        <f>COUNTIFS(Design!C8:C12,"Minor",Design!J8:J12,"No")</f>
        <v>0</v>
      </c>
      <c r="O49" s="112">
        <f>SUMIFS(Design!D8:D12,Design!K8:K12,"&lt;&gt;NA")</f>
        <v>13</v>
      </c>
      <c r="P49" s="104">
        <f>COUNTIFS(Design!C8:C12,"Critical",Design!K8:K12,"No")</f>
        <v>0</v>
      </c>
      <c r="Q49" s="105">
        <f>COUNTIFS(Design!C8:C12,"Major",Design!K8:K12,"No")</f>
        <v>0</v>
      </c>
      <c r="R49" s="108">
        <f>COUNTIFS(Design!C8:C12,"Minor",Design!K8:K12,"No")</f>
        <v>0</v>
      </c>
      <c r="S49" s="112">
        <f>SUMIFS(Design!D8:D12,Design!L8:L12,"&lt;&gt;NA")</f>
        <v>13</v>
      </c>
      <c r="T49" s="104">
        <f>COUNTIFS(Design!C8:C12,"Critical",Design!L8:L12,"No")</f>
        <v>0</v>
      </c>
      <c r="U49" s="105">
        <f>COUNTIFS(Design!C8:C12,"Major",Design!L8:L12,"No")</f>
        <v>0</v>
      </c>
      <c r="V49" s="108">
        <f>COUNTIFS(Design!C8:C12,"Minor",Design!L8:L12,"No")</f>
        <v>0</v>
      </c>
    </row>
    <row r="50" spans="1:22" x14ac:dyDescent="0.2">
      <c r="A50" s="115"/>
      <c r="B50" s="105" t="str">
        <f>Design!B13</f>
        <v>Test Plan</v>
      </c>
      <c r="C50" s="112">
        <f>SUMIFS(Design!D14:D19,Design!H14:H19,"Yes")+SUMIFS(Design!D14:D19,Design!H14:H19,"No")</f>
        <v>9</v>
      </c>
      <c r="D50" s="104">
        <f>COUNTIFS(Design!C14:C19,"Critical",Design!H14:H19,"No")</f>
        <v>0</v>
      </c>
      <c r="E50" s="105">
        <f>COUNTIFS(Design!C14:C19,"Major",Design!H14:H19,"No")</f>
        <v>1</v>
      </c>
      <c r="F50" s="108">
        <f>COUNTIFS(Design!C14:C19,"Minor",Design!H14:H19,"No")</f>
        <v>1</v>
      </c>
      <c r="G50" s="112">
        <f>SUMIFS(Design!D14:D19,Design!I14:I19,"&lt;&gt;NA")</f>
        <v>18</v>
      </c>
      <c r="H50" s="104">
        <f>COUNTIFS(Design!C14:C19,"Critical",Design!I14:I19,"No")</f>
        <v>0</v>
      </c>
      <c r="I50" s="105">
        <f>COUNTIFS(Design!C14:C19,"Major",Design!I14:I19,"No")</f>
        <v>0</v>
      </c>
      <c r="J50" s="108">
        <f>COUNTIFS(Design!C14:C19,"Minor",Design!I14:I19,"No")</f>
        <v>0</v>
      </c>
      <c r="K50" s="112">
        <f>SUMIFS(Design!D14:D19,Design!J14:J19,"&lt;&gt;NA")</f>
        <v>18</v>
      </c>
      <c r="L50" s="104">
        <f>COUNTIFS(Design!C14:C19,"Critical",Design!J14:J19,"No")</f>
        <v>0</v>
      </c>
      <c r="M50" s="105">
        <f>COUNTIFS(Design!C14:C19,"Major",Design!J14:J19,"No")</f>
        <v>0</v>
      </c>
      <c r="N50" s="108">
        <f>COUNTIFS(Design!C14:C19,"Minor",Design!J14:J19,"No")</f>
        <v>0</v>
      </c>
      <c r="O50" s="112">
        <f>SUMIFS(Design!D14:D19,Design!K14:K19,"&lt;&gt;NA")</f>
        <v>18</v>
      </c>
      <c r="P50" s="104">
        <f>COUNTIFS(Design!C14:C19,"Critical",Design!K14:K19,"No")</f>
        <v>0</v>
      </c>
      <c r="Q50" s="105">
        <f>COUNTIFS(Design!C14:C19,"Major",Design!K14:K19,"No")</f>
        <v>0</v>
      </c>
      <c r="R50" s="108">
        <f>COUNTIFS(Design!C14:C19,"Minor",Design!K14:K19,"No")</f>
        <v>0</v>
      </c>
      <c r="S50" s="112">
        <f>SUMIFS(Design!D14:D19,Design!L14:L19,"&lt;&gt;NA")</f>
        <v>18</v>
      </c>
      <c r="T50" s="104">
        <f>COUNTIFS(Design!C14:C19,"Critical",Design!L14:L19,"No")</f>
        <v>0</v>
      </c>
      <c r="U50" s="105">
        <f>COUNTIFS(Design!C14:C19,"Major",Design!L14:L19,"No")</f>
        <v>0</v>
      </c>
      <c r="V50" s="108">
        <f>COUNTIFS(Design!C14:C19,"Minor",Design!L14:L19,"No")</f>
        <v>0</v>
      </c>
    </row>
    <row r="51" spans="1:22" x14ac:dyDescent="0.2">
      <c r="A51" s="115"/>
      <c r="B51" s="105" t="str">
        <f>Design!B20</f>
        <v>Unit Test Cases</v>
      </c>
      <c r="C51" s="112">
        <f>SUMIFS(Design!D21:D27,Design!H21:H27,"Yes")+SUMIFS(Design!D21:D27,Design!H21:H27,"No")</f>
        <v>0</v>
      </c>
      <c r="D51" s="104">
        <f>COUNTIFS(Design!C21:C27,"Critical",Design!H21:H27,"No")</f>
        <v>0</v>
      </c>
      <c r="E51" s="105">
        <f>COUNTIFS(Design!C21:C27,"Major",Design!H21:H27,"No")</f>
        <v>0</v>
      </c>
      <c r="F51" s="108">
        <f>COUNTIFS(Design!C21:C27,"Minor",Design!H21:H27,"No")</f>
        <v>0</v>
      </c>
      <c r="G51" s="112">
        <f>SUMIFS(Design!D21:D27,Design!I21:I27,"&lt;&gt;NA")</f>
        <v>17</v>
      </c>
      <c r="H51" s="104">
        <f>COUNTIFS(Design!C21:C27,"Critical",Design!I21:I27,"No")</f>
        <v>0</v>
      </c>
      <c r="I51" s="105">
        <f>COUNTIFS(Design!C21:C27,"Major",Design!I21:I27,"No")</f>
        <v>0</v>
      </c>
      <c r="J51" s="108">
        <f>COUNTIFS(Design!C21:C27,"Minor",Design!I21:I27,"No")</f>
        <v>0</v>
      </c>
      <c r="K51" s="112">
        <f>SUMIFS(Design!D21:D27,Design!J21:J27,"&lt;&gt;NA")</f>
        <v>17</v>
      </c>
      <c r="L51" s="104">
        <f>COUNTIFS(Design!C21:C27,"Critical",Design!J21:J27,"No")</f>
        <v>0</v>
      </c>
      <c r="M51" s="105">
        <f>COUNTIFS(Design!C21:C27,"Major",Design!J21:J27,"No")</f>
        <v>0</v>
      </c>
      <c r="N51" s="108">
        <f>COUNTIFS(Design!C21:C27,"Minor",Design!J21:J27,"No")</f>
        <v>0</v>
      </c>
      <c r="O51" s="112">
        <f>SUMIFS(Design!D21:D27,Design!K21:K27,"&lt;&gt;NA")</f>
        <v>17</v>
      </c>
      <c r="P51" s="104">
        <f>COUNTIFS(Design!C21:C27,"Critical",Design!K21:K27,"No")</f>
        <v>0</v>
      </c>
      <c r="Q51" s="105">
        <f>COUNTIFS(Design!C21:C27,"Major",Design!K21:K27,"No")</f>
        <v>0</v>
      </c>
      <c r="R51" s="108">
        <f>COUNTIFS(Design!C21:C27,"Minor",Design!K21:K27,"No")</f>
        <v>0</v>
      </c>
      <c r="S51" s="112">
        <f>SUMIFS(Design!D21:D27,Design!L21:L27,"&lt;&gt;NA")</f>
        <v>17</v>
      </c>
      <c r="T51" s="104">
        <f>COUNTIFS(Design!C21:C27,"Critical",Design!L21:L27,"No")</f>
        <v>0</v>
      </c>
      <c r="U51" s="105">
        <f>COUNTIFS(Design!C21:C27,"Major",Design!L21:L27,"No")</f>
        <v>0</v>
      </c>
      <c r="V51" s="108">
        <f>COUNTIFS(Design!C21:C27,"Minor",Design!L21:L27,"No")</f>
        <v>0</v>
      </c>
    </row>
    <row r="52" spans="1:22" x14ac:dyDescent="0.2">
      <c r="A52" s="115"/>
      <c r="B52" s="105" t="str">
        <f>Design!B28</f>
        <v>Integration Test Cases</v>
      </c>
      <c r="C52" s="112">
        <f>SUMIFS(Design!D29:D35,Design!H29:H35,"Yes")+SUMIFS(Design!D29:D35,Design!H29:H35,"No")</f>
        <v>0</v>
      </c>
      <c r="D52" s="104">
        <f>COUNTIFS(Design!C29:C35,"Critical",Design!H29:H35,"No")</f>
        <v>0</v>
      </c>
      <c r="E52" s="105">
        <f>COUNTIFS(Design!C29:C35,"Major",Design!H29:H35,"No")</f>
        <v>0</v>
      </c>
      <c r="F52" s="108">
        <f>COUNTIFS(Design!C29:C35,"Minor",Design!H29:H35,"No")</f>
        <v>0</v>
      </c>
      <c r="G52" s="112">
        <f>SUMIFS(Design!D29:D35,Design!I29:I35,"&lt;&gt;NA")</f>
        <v>19</v>
      </c>
      <c r="H52" s="104">
        <f>COUNTIFS(Design!C29:C35,"Critical",Design!I29:I35,"No")</f>
        <v>0</v>
      </c>
      <c r="I52" s="105">
        <f>COUNTIFS(Design!C29:C35,"Major",Design!I29:I35,"No")</f>
        <v>0</v>
      </c>
      <c r="J52" s="108">
        <f>COUNTIFS(Design!C29:C35,"Minor",Design!I29:I35,"No")</f>
        <v>0</v>
      </c>
      <c r="K52" s="112">
        <f>SUMIFS(Design!D29:D35,Design!J29:J35,"&lt;&gt;NA")</f>
        <v>19</v>
      </c>
      <c r="L52" s="104">
        <f>COUNTIFS(Design!C29:C35,"Critical",Design!J29:J35,"No")</f>
        <v>0</v>
      </c>
      <c r="M52" s="105">
        <f>COUNTIFS(Design!C29:C35,"Major",Design!J29:J35,"No")</f>
        <v>0</v>
      </c>
      <c r="N52" s="108">
        <f>COUNTIFS(Design!C29:C35,"Minor",Design!J29:J35,"No")</f>
        <v>0</v>
      </c>
      <c r="O52" s="112">
        <f>SUMIFS(Design!D29:D35,Design!K29:K35,"&lt;&gt;NA")</f>
        <v>19</v>
      </c>
      <c r="P52" s="104">
        <f>COUNTIFS(Design!C29:C35,"Critical",Design!K29:K35,"No")</f>
        <v>0</v>
      </c>
      <c r="Q52" s="105">
        <f>COUNTIFS(Design!C29:C35,"Major",Design!K29:K35,"No")</f>
        <v>0</v>
      </c>
      <c r="R52" s="108">
        <f>COUNTIFS(Design!C29:C35,"Minor",Design!K29:K35,"No")</f>
        <v>0</v>
      </c>
      <c r="S52" s="112">
        <f>SUMIFS(Design!D29:D35,Design!L29:L35,"&lt;&gt;NA")</f>
        <v>19</v>
      </c>
      <c r="T52" s="104">
        <f>COUNTIFS(Design!C29:C35,"Critical",Design!L29:L35,"No")</f>
        <v>0</v>
      </c>
      <c r="U52" s="105">
        <f>COUNTIFS(Design!C29:C35,"Major",Design!L29:L35,"No")</f>
        <v>0</v>
      </c>
      <c r="V52" s="108">
        <f>COUNTIFS(Design!C29:C35,"Minor",Design!L29:L35,"No")</f>
        <v>0</v>
      </c>
    </row>
    <row r="53" spans="1:22" x14ac:dyDescent="0.2">
      <c r="A53" s="115"/>
      <c r="B53" s="105" t="str">
        <f>Design!B36</f>
        <v>System Test Cases</v>
      </c>
      <c r="C53" s="112">
        <f>SUMIFS(Design!D37:D43,Design!H37:H43,"Yes")+SUMIFS(Design!D37:D43,Design!H37:H43,"No")</f>
        <v>5</v>
      </c>
      <c r="D53" s="104">
        <f>COUNTIFS(Design!C37:C43,"Critical",Design!H37:H43,"No")</f>
        <v>0</v>
      </c>
      <c r="E53" s="105">
        <f>COUNTIFS(Design!C37:C43,"Major",Design!H37:H43,"No")</f>
        <v>0</v>
      </c>
      <c r="F53" s="108">
        <f>COUNTIFS(Design!C37:C43,"Minor",Design!H37:H43,"No")</f>
        <v>0</v>
      </c>
      <c r="G53" s="112">
        <f>SUMIFS(Design!D37:D43,Design!I37:I43,"&lt;&gt;NA")</f>
        <v>19</v>
      </c>
      <c r="H53" s="104">
        <f>COUNTIFS(Design!C37:C43,"Critical",Design!I37:I43,"No")</f>
        <v>0</v>
      </c>
      <c r="I53" s="105">
        <f>COUNTIFS(Design!C37:C43,"Major",Design!I37:I43,"No")</f>
        <v>0</v>
      </c>
      <c r="J53" s="108">
        <f>COUNTIFS(Design!C37:C43,"Minor",Design!I37:I43,"No")</f>
        <v>0</v>
      </c>
      <c r="K53" s="112">
        <f>SUMIFS(Design!D37:D43,Design!J37:J43,"&lt;&gt;NA")</f>
        <v>19</v>
      </c>
      <c r="L53" s="104">
        <f>COUNTIFS(Design!C37:C43,"Critical",Design!J37:J43,"No")</f>
        <v>0</v>
      </c>
      <c r="M53" s="105">
        <f>COUNTIFS(Design!C37:C43,"Major",Design!J37:J43,"No")</f>
        <v>0</v>
      </c>
      <c r="N53" s="108">
        <f>COUNTIFS(Design!C37:C43,"Minor",Design!J37:J43,"No")</f>
        <v>0</v>
      </c>
      <c r="O53" s="112">
        <f>SUMIFS(Design!D37:D43,Design!K37:K43,"&lt;&gt;NA")</f>
        <v>19</v>
      </c>
      <c r="P53" s="104">
        <f>COUNTIFS(Design!C37:C43,"Critical",Design!K37:K43,"No")</f>
        <v>0</v>
      </c>
      <c r="Q53" s="105">
        <f>COUNTIFS(Design!C37:C43,"Major",Design!K37:K43,"No")</f>
        <v>0</v>
      </c>
      <c r="R53" s="108">
        <f>COUNTIFS(Design!C37:C43,"Minor",Design!K37:K43,"No")</f>
        <v>0</v>
      </c>
      <c r="S53" s="112">
        <f>SUMIFS(Design!D37:D43,Design!L37:L43,"&lt;&gt;NA")</f>
        <v>19</v>
      </c>
      <c r="T53" s="104">
        <f>COUNTIFS(Design!C37:C43,"Critical",Design!L37:L43,"No")</f>
        <v>0</v>
      </c>
      <c r="U53" s="105">
        <f>COUNTIFS(Design!C37:C43,"Major",Design!L37:L43,"No")</f>
        <v>0</v>
      </c>
      <c r="V53" s="108">
        <f>COUNTIFS(Design!C37:C43,"Minor",Design!L37:L43,"No")</f>
        <v>0</v>
      </c>
    </row>
    <row r="54" spans="1:22" x14ac:dyDescent="0.2">
      <c r="A54" s="115"/>
      <c r="B54" s="105" t="str">
        <f>Design!B44</f>
        <v>Regression Test Cases</v>
      </c>
      <c r="C54" s="112">
        <f>SUMIFS(Design!D45:D51,Design!H45:H51,"Yes")+SUMIFS(Design!D45:D51,Design!H45:H51,"No")</f>
        <v>0</v>
      </c>
      <c r="D54" s="104">
        <f>COUNTIFS(Design!C45:C51,"Critical",Design!H45:H51,"No")</f>
        <v>0</v>
      </c>
      <c r="E54" s="105">
        <f>COUNTIFS(Design!C45:C51,"Major",Design!H45:H51,"No")</f>
        <v>0</v>
      </c>
      <c r="F54" s="108">
        <f>COUNTIFS(Design!C45:C51,"Minor",Design!H45:H51,"No")</f>
        <v>0</v>
      </c>
      <c r="G54" s="112">
        <f>SUMIFS(Design!D45:D51,Design!I45:I51,"&lt;&gt;NA")</f>
        <v>19</v>
      </c>
      <c r="H54" s="104">
        <f>COUNTIFS(Design!C45:C51,"Critical",Design!I45:I51,"No")</f>
        <v>0</v>
      </c>
      <c r="I54" s="105">
        <f>COUNTIFS(Design!C45:C51,"Major",Design!I45:I51,"No")</f>
        <v>0</v>
      </c>
      <c r="J54" s="108">
        <f>COUNTIFS(Design!C45:C51,"Minor",Design!I45:I51,"No")</f>
        <v>0</v>
      </c>
      <c r="K54" s="112">
        <f>SUMIFS(Design!D45:D51,Design!J45:J51,"&lt;&gt;NA")</f>
        <v>19</v>
      </c>
      <c r="L54" s="104">
        <f>COUNTIFS(Design!C45:C51,"Critical",Design!J45:J51,"No")</f>
        <v>0</v>
      </c>
      <c r="M54" s="105">
        <f>COUNTIFS(Design!C45:C51,"Major",Design!J45:J51,"No")</f>
        <v>0</v>
      </c>
      <c r="N54" s="108">
        <f>COUNTIFS(Design!C45:C51,"Minor",Design!J45:J51,"No")</f>
        <v>0</v>
      </c>
      <c r="O54" s="112">
        <f>SUMIFS(Design!D45:D51,Design!K45:K51,"&lt;&gt;NA")</f>
        <v>19</v>
      </c>
      <c r="P54" s="104">
        <f>COUNTIFS(Design!C45:C51,"Critical",Design!K45:K51,"No")</f>
        <v>0</v>
      </c>
      <c r="Q54" s="105">
        <f>COUNTIFS(Design!C45:C51,"Major",Design!K45:K51,"No")</f>
        <v>0</v>
      </c>
      <c r="R54" s="108">
        <f>COUNTIFS(Design!C45:C51,"Minor",Design!K45:K51,"No")</f>
        <v>0</v>
      </c>
      <c r="S54" s="112">
        <f>SUMIFS(Design!D45:D51,Design!L45:L51,"&lt;&gt;NA")</f>
        <v>19</v>
      </c>
      <c r="T54" s="104">
        <f>COUNTIFS(Design!C45:C51,"Critical",Design!L45:L51,"No")</f>
        <v>0</v>
      </c>
      <c r="U54" s="105">
        <f>COUNTIFS(Design!C45:C51,"Major",Design!L45:L51,"No")</f>
        <v>0</v>
      </c>
      <c r="V54" s="108">
        <f>COUNTIFS(Design!C45:C51,"Minor",Design!L45:L51,"No")</f>
        <v>0</v>
      </c>
    </row>
    <row r="55" spans="1:22" x14ac:dyDescent="0.2">
      <c r="A55" s="116" t="s">
        <v>581</v>
      </c>
      <c r="B55" s="105" t="str">
        <f>Design!B52</f>
        <v>Load/Performance Test Scenarios</v>
      </c>
      <c r="C55" s="112">
        <f>SUMIFS(Design!D53:D59,Design!H53:H59,"Yes")+SUMIFS(Design!D53:D59,Design!H53:H59,"No")</f>
        <v>0</v>
      </c>
      <c r="D55" s="104">
        <f>COUNTIFS(Design!C53:C59,"Critical",Design!H53:H59,"No")</f>
        <v>0</v>
      </c>
      <c r="E55" s="105">
        <f>COUNTIFS(Design!C53:C59,"Major",Design!H53:H59,"No")</f>
        <v>0</v>
      </c>
      <c r="F55" s="108">
        <f>COUNTIFS(Design!C53:C59,"Minor",Design!H53:H59,"No")</f>
        <v>0</v>
      </c>
      <c r="G55" s="112">
        <f>SUMIFS(Design!D53:D59,Design!I53:I59,"&lt;&gt;NA")</f>
        <v>19</v>
      </c>
      <c r="H55" s="104">
        <f>COUNTIFS(Design!C53:C59,"Critical",Design!I53:I59,"No")</f>
        <v>0</v>
      </c>
      <c r="I55" s="105">
        <f>COUNTIFS(Design!C53:C59,"Major",Design!I53:I59,"No")</f>
        <v>0</v>
      </c>
      <c r="J55" s="108">
        <f>COUNTIFS(Design!C53:C59,"Minor",Design!I53:I59,"No")</f>
        <v>0</v>
      </c>
      <c r="K55" s="112">
        <f>SUMIFS(Design!D53:D59,Design!J53:J59,"&lt;&gt;NA")</f>
        <v>19</v>
      </c>
      <c r="L55" s="104">
        <f>COUNTIFS(Design!C53:C59,"Critical",Design!J53:J59,"No")</f>
        <v>0</v>
      </c>
      <c r="M55" s="105">
        <f>COUNTIFS(Design!C53:C59,"Major",Design!J53:J59,"No")</f>
        <v>0</v>
      </c>
      <c r="N55" s="108">
        <f>COUNTIFS(Design!C53:C59,"Minor",Design!J53:J59,"No")</f>
        <v>0</v>
      </c>
      <c r="O55" s="112">
        <f>SUMIFS(Design!D53:D59,Design!K53:K59,"&lt;&gt;NA")</f>
        <v>19</v>
      </c>
      <c r="P55" s="104">
        <f>COUNTIFS(Design!C53:C59,"Critical",Design!K53:K59,"No")</f>
        <v>0</v>
      </c>
      <c r="Q55" s="105">
        <f>COUNTIFS(Design!C53:C59,"Major",Design!K53:K59,"No")</f>
        <v>0</v>
      </c>
      <c r="R55" s="108">
        <f>COUNTIFS(Design!C53:C59,"Minor",Design!K53:K59,"No")</f>
        <v>0</v>
      </c>
      <c r="S55" s="112">
        <f>SUMIFS(Design!D53:D59,Design!L53:L59,"&lt;&gt;NA")</f>
        <v>19</v>
      </c>
      <c r="T55" s="104">
        <f>COUNTIFS(Design!C53:C59,"Critical",Design!L53:L59,"No")</f>
        <v>0</v>
      </c>
      <c r="U55" s="105">
        <f>COUNTIFS(Design!C53:C59,"Major",Design!L53:L59,"No")</f>
        <v>0</v>
      </c>
      <c r="V55" s="108">
        <f>COUNTIFS(Design!C53:C59,"Minor",Design!L53:L59,"No")</f>
        <v>0</v>
      </c>
    </row>
    <row r="56" spans="1:22" x14ac:dyDescent="0.2">
      <c r="A56" s="115"/>
      <c r="B56" s="105" t="str">
        <f>Design!B60</f>
        <v>Automation Framework</v>
      </c>
      <c r="C56" s="112">
        <f>SUMIFS(Design!D61:D63,Design!H61:H63,"Yes")+SUMIFS(Design!D61:D63,Design!H61:H63,"No")</f>
        <v>3</v>
      </c>
      <c r="D56" s="104">
        <f>COUNTIFS(Design!C61:C63,"Critical",Design!H61:H63,"No")</f>
        <v>0</v>
      </c>
      <c r="E56" s="105">
        <f>COUNTIFS(Design!C61:C63,"Major",Design!H61:H63,"No")</f>
        <v>0</v>
      </c>
      <c r="F56" s="108">
        <f>COUNTIFS(Design!C61:C63,"Minor",Design!H61:H63,"No")</f>
        <v>0</v>
      </c>
      <c r="G56" s="112">
        <f>SUMIFS(Design!D61:D63,Design!I61:I63,"&lt;&gt;NA")</f>
        <v>9</v>
      </c>
      <c r="H56" s="104">
        <f>COUNTIFS(Design!C61:C63,"Critical",Design!I61:I63,"No")</f>
        <v>0</v>
      </c>
      <c r="I56" s="105">
        <f>COUNTIFS(Design!C61:C63,"Major",Design!I61:I63,"No")</f>
        <v>0</v>
      </c>
      <c r="J56" s="108">
        <f>COUNTIFS(Design!C61:C63,"Minor",Design!I61:I63,"No")</f>
        <v>0</v>
      </c>
      <c r="K56" s="112">
        <f>SUMIFS(Design!D61:D63,Design!J61:J63,"&lt;&gt;NA")</f>
        <v>9</v>
      </c>
      <c r="L56" s="104">
        <f>COUNTIFS(Design!C61:C63,"Critical",Design!J61:J63,"No")</f>
        <v>0</v>
      </c>
      <c r="M56" s="105">
        <f>COUNTIFS(Design!C61:C63,"Major",Design!J61:J63,"No")</f>
        <v>0</v>
      </c>
      <c r="N56" s="108">
        <f>COUNTIFS(Design!C61:C63,"Minor",Design!J61:J63,"No")</f>
        <v>0</v>
      </c>
      <c r="O56" s="112">
        <f>SUMIFS(Design!D61:D63,Design!K61:K63,"&lt;&gt;NA")</f>
        <v>9</v>
      </c>
      <c r="P56" s="104">
        <f>COUNTIFS(Design!C61:C63,"Critical",Design!K61:K63,"No")</f>
        <v>0</v>
      </c>
      <c r="Q56" s="105">
        <f>COUNTIFS(Design!C61:C63,"Major",Design!K61:K63,"No")</f>
        <v>0</v>
      </c>
      <c r="R56" s="108">
        <f>COUNTIFS(Design!C61:C63,"Minor",Design!K61:K63,"No")</f>
        <v>0</v>
      </c>
      <c r="S56" s="112">
        <f>SUMIFS(Design!D61:D63,Design!L61:L63,"&lt;&gt;NA")</f>
        <v>9</v>
      </c>
      <c r="T56" s="104">
        <f>COUNTIFS(Design!C61:C63,"Critical",Design!L61:L63,"No")</f>
        <v>0</v>
      </c>
      <c r="U56" s="105">
        <f>COUNTIFS(Design!C61:C63,"Major",Design!L61:L63,"No")</f>
        <v>0</v>
      </c>
      <c r="V56" s="108">
        <f>COUNTIFS(Design!C61:C63,"Minor",Design!L61:L63,"No")</f>
        <v>0</v>
      </c>
    </row>
    <row r="57" spans="1:22" x14ac:dyDescent="0.2">
      <c r="A57" s="115"/>
      <c r="B57" s="105" t="str">
        <f>Design!B64</f>
        <v>User Documentation</v>
      </c>
      <c r="C57" s="112">
        <f>SUMIFS(Design!D65:D70,Design!H65:H70,"Yes")+SUMIFS(Design!D65:D70,Design!H65:H70,"No")</f>
        <v>0</v>
      </c>
      <c r="D57" s="104">
        <f>COUNTIFS(Design!C65:C70,"Critical",Design!H65:H70,"No")</f>
        <v>0</v>
      </c>
      <c r="E57" s="105">
        <f>COUNTIFS(Design!C65:C70,"Major",Design!H65:H70,"No")</f>
        <v>0</v>
      </c>
      <c r="F57" s="108">
        <f>COUNTIFS(Design!C65:C70,"Minor",Design!H65:H70,"No")</f>
        <v>0</v>
      </c>
      <c r="G57" s="112">
        <f>SUMIFS(Design!D65:D70,Design!I65:I70,"&lt;&gt;NA")</f>
        <v>14</v>
      </c>
      <c r="H57" s="104">
        <f>COUNTIFS(Design!C65:C70,"Critical",Design!I65:I70,"No")</f>
        <v>0</v>
      </c>
      <c r="I57" s="105">
        <f>COUNTIFS(Design!C65:C70,"Major",Design!I65:I70,"No")</f>
        <v>0</v>
      </c>
      <c r="J57" s="108">
        <f>COUNTIFS(Design!C65:C70,"Minor",Design!I65:I70,"No")</f>
        <v>0</v>
      </c>
      <c r="K57" s="112">
        <f>SUMIFS(Design!D65:D70,Design!J65:J70,"&lt;&gt;NA")</f>
        <v>14</v>
      </c>
      <c r="L57" s="104">
        <f>COUNTIFS(Design!C65:C70,"Critical",Design!J65:J70,"No")</f>
        <v>0</v>
      </c>
      <c r="M57" s="105">
        <f>COUNTIFS(Design!C65:C70,"Major",Design!J65:J70,"No")</f>
        <v>0</v>
      </c>
      <c r="N57" s="108">
        <f>COUNTIFS(Design!C65:C70,"Minor",Design!J65:J70,"No")</f>
        <v>0</v>
      </c>
      <c r="O57" s="112">
        <f>SUMIFS(Design!D65:D70,Design!K65:K70,"&lt;&gt;NA")</f>
        <v>14</v>
      </c>
      <c r="P57" s="104">
        <f>COUNTIFS(Design!C65:C70,"Critical",Design!K65:K70,"No")</f>
        <v>0</v>
      </c>
      <c r="Q57" s="105">
        <f>COUNTIFS(Design!C65:C70,"Major",Design!K65:K70,"No")</f>
        <v>0</v>
      </c>
      <c r="R57" s="108">
        <f>COUNTIFS(Design!C65:C70,"Minor",Design!K65:K70,"No")</f>
        <v>0</v>
      </c>
      <c r="S57" s="112">
        <f>SUMIFS(Design!D65:D70,Design!L65:L70,"&lt;&gt;NA")</f>
        <v>14</v>
      </c>
      <c r="T57" s="104">
        <f>COUNTIFS(Design!C65:C70,"Critical",Design!L65:L70,"No")</f>
        <v>0</v>
      </c>
      <c r="U57" s="105">
        <f>COUNTIFS(Design!C65:C70,"Major",Design!L65:L70,"No")</f>
        <v>0</v>
      </c>
      <c r="V57" s="108">
        <f>COUNTIFS(Design!C65:C70,"Minor",Design!L65:L70,"No")</f>
        <v>0</v>
      </c>
    </row>
    <row r="58" spans="1:22" x14ac:dyDescent="0.2">
      <c r="A58" s="115"/>
      <c r="B58" s="105"/>
      <c r="C58" s="112"/>
      <c r="D58" s="104"/>
      <c r="E58" s="105"/>
      <c r="F58" s="108"/>
      <c r="G58" s="112"/>
      <c r="H58" s="104"/>
      <c r="I58" s="105"/>
      <c r="J58" s="108"/>
      <c r="K58" s="112"/>
      <c r="L58" s="104"/>
      <c r="M58" s="105"/>
      <c r="N58" s="108"/>
      <c r="O58" s="112"/>
      <c r="P58" s="104"/>
      <c r="Q58" s="105"/>
      <c r="R58" s="108"/>
      <c r="S58" s="112"/>
      <c r="T58" s="104"/>
      <c r="U58" s="105"/>
      <c r="V58" s="108"/>
    </row>
    <row r="59" spans="1:22" x14ac:dyDescent="0.2">
      <c r="A59" s="116" t="s">
        <v>13</v>
      </c>
      <c r="B59" s="105" t="str">
        <f>Testing!B3</f>
        <v>Build for Integration Testing</v>
      </c>
      <c r="C59" s="112">
        <f>SUMIFS(Testing!D4:D6,Testing!H4:H6,"Yes")+SUMIFS(Testing!D4:D6,Testing!H4:H6,"No")</f>
        <v>0</v>
      </c>
      <c r="D59" s="104">
        <f>COUNTIFS(Testing!C4:C6,"Critical",Testing!H4:H6,"No")</f>
        <v>0</v>
      </c>
      <c r="E59" s="105">
        <f>COUNTIFS(Testing!C4:C6,"Major",Testing!H4:H6,"No")</f>
        <v>0</v>
      </c>
      <c r="F59" s="108">
        <f>COUNTIFS(Testing!C4:C6,"Minor",Testing!H4:H6,"No")</f>
        <v>0</v>
      </c>
      <c r="G59" s="112">
        <f>SUMIFS(Testing!D4:D6,Testing!I4:I6,"&lt;&gt;NA")</f>
        <v>7</v>
      </c>
      <c r="H59" s="104">
        <f>COUNTIFS(Testing!C4:C6,"Critical",Testing!I4:I6,"No")</f>
        <v>0</v>
      </c>
      <c r="I59" s="105">
        <f>COUNTIFS(Testing!C4:C6,"Major",Testing!I4:I6,"No")</f>
        <v>0</v>
      </c>
      <c r="J59" s="108">
        <f>COUNTIFS(Testing!C4:C6,"Minor",Testing!I4:I6,"No")</f>
        <v>0</v>
      </c>
      <c r="K59" s="112">
        <f>SUMIFS(Testing!D4:D6,Testing!J4:J6,"&lt;&gt;NA")</f>
        <v>7</v>
      </c>
      <c r="L59" s="104">
        <f>COUNTIFS(Testing!C4:C6,"Critical",Testing!J4:J6,"No")</f>
        <v>0</v>
      </c>
      <c r="M59" s="105">
        <f>COUNTIFS(Testing!C4:C6,"Major",Testing!J4:J6,"No")</f>
        <v>0</v>
      </c>
      <c r="N59" s="108">
        <f>COUNTIFS(Testing!C4:C6,"Minor",Testing!J4:J6,"No")</f>
        <v>0</v>
      </c>
      <c r="O59" s="112">
        <f>SUMIFS(Testing!D4:D6,Testing!K4:K6,"&lt;&gt;NA")</f>
        <v>7</v>
      </c>
      <c r="P59" s="104">
        <f>COUNTIFS(Testing!C4:C6,"Critical",Testing!K4:K6,"No")</f>
        <v>0</v>
      </c>
      <c r="Q59" s="105">
        <f>COUNTIFS(Testing!C4:C6,"Major",Testing!K4:K6,"No")</f>
        <v>0</v>
      </c>
      <c r="R59" s="108">
        <f>COUNTIFS(Testing!C4:C6,"Minor",Testing!K4:K6,"No")</f>
        <v>0</v>
      </c>
      <c r="S59" s="112">
        <f>SUMIFS(Testing!D4:D6,Testing!L4:L6,"&lt;&gt;NA")</f>
        <v>7</v>
      </c>
      <c r="T59" s="104">
        <f>COUNTIFS(Testing!C4:C6,"Critical",Testing!L4:L6,"No")</f>
        <v>0</v>
      </c>
      <c r="U59" s="105">
        <f>COUNTIFS(Testing!C4:C6,"Major",Testing!L4:L6,"No")</f>
        <v>0</v>
      </c>
      <c r="V59" s="108">
        <f>COUNTIFS(Testing!C4:C6,"Minor",Testing!L4:L6,"No")</f>
        <v>0</v>
      </c>
    </row>
    <row r="60" spans="1:22" x14ac:dyDescent="0.2">
      <c r="A60" s="115"/>
      <c r="B60" s="105" t="str">
        <f>Testing!B7</f>
        <v>Integration Testing</v>
      </c>
      <c r="C60" s="112">
        <f>SUMIFS(Testing!D8:D11,Testing!H8:H11,"Yes")+SUMIFS(Testing!D8:D11,Testing!H8:H11,"No")</f>
        <v>0</v>
      </c>
      <c r="D60" s="104">
        <f>COUNTIFS(Testing!C8:C11,"Critical",Testing!H8:H11,"No")</f>
        <v>0</v>
      </c>
      <c r="E60" s="105">
        <f>COUNTIFS(Testing!C8:C11,"Major",Testing!H8:H11,"No")</f>
        <v>0</v>
      </c>
      <c r="F60" s="108">
        <f>COUNTIFS(Testing!C8:C11,"Minor",Testing!H8:H11,"No")</f>
        <v>0</v>
      </c>
      <c r="G60" s="112">
        <f>SUMIFS(Testing!D8:D11,Testing!I8:I11,"&lt;&gt;NA")</f>
        <v>14</v>
      </c>
      <c r="H60" s="104">
        <f>COUNTIFS(Testing!C8:C11,"Critical",Testing!I8:I11,"No")</f>
        <v>0</v>
      </c>
      <c r="I60" s="105">
        <f>COUNTIFS(Testing!C8:C11,"Major",Testing!I8:I11,"No")</f>
        <v>0</v>
      </c>
      <c r="J60" s="108">
        <f>COUNTIFS(Testing!C8:C11,"Minor",Testing!I8:I11,"No")</f>
        <v>0</v>
      </c>
      <c r="K60" s="112">
        <f>SUMIFS(Testing!D8:D11,Testing!J8:J11,"&lt;&gt;NA")</f>
        <v>14</v>
      </c>
      <c r="L60" s="104">
        <f>COUNTIFS(Testing!C8:C11,"Critical",Testing!J8:J11,"No")</f>
        <v>0</v>
      </c>
      <c r="M60" s="105">
        <f>COUNTIFS(Testing!C8:C11,"Major",Testing!J8:J11,"No")</f>
        <v>0</v>
      </c>
      <c r="N60" s="108">
        <f>COUNTIFS(Testing!C8:C11,"Minor",Testing!J8:J11,"No")</f>
        <v>0</v>
      </c>
      <c r="O60" s="112">
        <f>SUMIFS(Testing!D8:D11,Testing!K8:K11,"&lt;&gt;NA")</f>
        <v>14</v>
      </c>
      <c r="P60" s="104">
        <f>COUNTIFS(Testing!C8:C11,"Critical",Testing!K8:K11,"No")</f>
        <v>0</v>
      </c>
      <c r="Q60" s="105">
        <f>COUNTIFS(Testing!C8:C11,"Major",Testing!K8:K11,"No")</f>
        <v>0</v>
      </c>
      <c r="R60" s="108">
        <f>COUNTIFS(Testing!C8:C11,"Minor",Testing!K8:K11,"No")</f>
        <v>0</v>
      </c>
      <c r="S60" s="112">
        <f>SUMIFS(Testing!D8:D11,Testing!L8:L11,"&lt;&gt;NA")</f>
        <v>14</v>
      </c>
      <c r="T60" s="104">
        <f>COUNTIFS(Testing!C8:C11,"Critical",Testing!L8:L11,"No")</f>
        <v>0</v>
      </c>
      <c r="U60" s="105">
        <f>COUNTIFS(Testing!C8:C11,"Major",Testing!L8:L11,"No")</f>
        <v>0</v>
      </c>
      <c r="V60" s="108">
        <f>COUNTIFS(Testing!C8:C11,"Minor",Testing!L8:L11,"No")</f>
        <v>0</v>
      </c>
    </row>
    <row r="61" spans="1:22" x14ac:dyDescent="0.2">
      <c r="A61" s="115"/>
      <c r="B61" s="105" t="str">
        <f>Testing!B12</f>
        <v>Build for System Testing</v>
      </c>
      <c r="C61" s="112">
        <f>SUMIFS(Testing!D13:D15,Testing!H13:H15,"Yes")+SUMIFS(Testing!D13:D15,Testing!H13:H15,"No")</f>
        <v>0</v>
      </c>
      <c r="D61" s="104">
        <f>COUNTIFS(Testing!C13:C15,"Critical",Testing!H13:H15,"No")</f>
        <v>0</v>
      </c>
      <c r="E61" s="105">
        <f>COUNTIFS(Testing!C13:C15,"Major",Testing!H13:H15,"No")</f>
        <v>0</v>
      </c>
      <c r="F61" s="108">
        <f>COUNTIFS(Testing!C13:C15,"Minor",Testing!H13:H15,"No")</f>
        <v>0</v>
      </c>
      <c r="G61" s="112">
        <f>SUMIFS(Testing!D13:D15,Testing!I13:I15,"&lt;&gt;NA")</f>
        <v>5</v>
      </c>
      <c r="H61" s="104">
        <f>COUNTIFS(Testing!C13:C15,"Critical",Testing!I13:I15,"No")</f>
        <v>0</v>
      </c>
      <c r="I61" s="105">
        <f>COUNTIFS(Testing!C13:C15,"Major",Testing!I13:I15,"No")</f>
        <v>0</v>
      </c>
      <c r="J61" s="108">
        <f>COUNTIFS(Testing!C13:C15,"Minor",Testing!I13:I15,"No")</f>
        <v>0</v>
      </c>
      <c r="K61" s="112">
        <f>SUMIFS(Testing!D13:D15,Testing!J13:J15,"&lt;&gt;NA")</f>
        <v>5</v>
      </c>
      <c r="L61" s="104">
        <f>COUNTIFS(Testing!C13:C15,"Critical",Testing!J13:J15,"No")</f>
        <v>0</v>
      </c>
      <c r="M61" s="105">
        <f>COUNTIFS(Testing!C13:C15,"Major",Testing!J13:J15,"No")</f>
        <v>0</v>
      </c>
      <c r="N61" s="108">
        <f>COUNTIFS(Testing!C13:C15,"Minor",Testing!J13:J15,"No")</f>
        <v>0</v>
      </c>
      <c r="O61" s="112">
        <f>SUMIFS(Testing!D13:D15,Testing!K13:K15,"&lt;&gt;NA")</f>
        <v>5</v>
      </c>
      <c r="P61" s="104">
        <f>COUNTIFS(Testing!C13:C15,"Critical",Testing!K13:K15,"No")</f>
        <v>0</v>
      </c>
      <c r="Q61" s="105">
        <f>COUNTIFS(Testing!C13:C15,"Major",Testing!K13:K15,"No")</f>
        <v>0</v>
      </c>
      <c r="R61" s="108">
        <f>COUNTIFS(Testing!C13:C15,"Minor",Testing!K13:K15,"No")</f>
        <v>0</v>
      </c>
      <c r="S61" s="112">
        <f>SUMIFS(Testing!D13:D15,Testing!L13:L15,"&lt;&gt;NA")</f>
        <v>5</v>
      </c>
      <c r="T61" s="104">
        <f>COUNTIFS(Testing!C13:C15,"Critical",Testing!L13:L15,"No")</f>
        <v>0</v>
      </c>
      <c r="U61" s="105">
        <f>COUNTIFS(Testing!C13:C15,"Major",Testing!L13:L15,"No")</f>
        <v>0</v>
      </c>
      <c r="V61" s="108">
        <f>COUNTIFS(Testing!C13:C15,"Minor",Testing!L13:L15,"No")</f>
        <v>0</v>
      </c>
    </row>
    <row r="62" spans="1:22" x14ac:dyDescent="0.2">
      <c r="A62" s="115"/>
      <c r="B62" s="105" t="str">
        <f>Testing!B16</f>
        <v>System Testing</v>
      </c>
      <c r="C62" s="112">
        <f>SUMIFS(Testing!D17:D20,Testing!H17:H20,"Yes")+SUMIFS(Testing!D17:D20,Testing!H17:H20,"No")</f>
        <v>5</v>
      </c>
      <c r="D62" s="104">
        <f>COUNTIFS(Testing!C17:C20,"Critical",Testing!H17:H20,"No")</f>
        <v>0</v>
      </c>
      <c r="E62" s="105">
        <f>COUNTIFS(Testing!C17:C20,"Major",Testing!H17:H20,"No")</f>
        <v>0</v>
      </c>
      <c r="F62" s="108">
        <f>COUNTIFS(Testing!C17:C20,"Minor",Testing!H17:H20,"No")</f>
        <v>0</v>
      </c>
      <c r="G62" s="112">
        <f>SUMIFS(Testing!D17:D20,Testing!I17:I20,"&lt;&gt;NA")</f>
        <v>14</v>
      </c>
      <c r="H62" s="104">
        <f>COUNTIFS(Testing!C17:C20,"Critical",Testing!I17:I20,"No")</f>
        <v>0</v>
      </c>
      <c r="I62" s="105">
        <f>COUNTIFS(Testing!C17:C20,"Major",Testing!I17:I20,"No")</f>
        <v>0</v>
      </c>
      <c r="J62" s="108">
        <f>COUNTIFS(Testing!C17:C20,"Minor",Testing!I17:I20,"No")</f>
        <v>0</v>
      </c>
      <c r="K62" s="112">
        <f>SUMIFS(Testing!D17:D20,Testing!J17:J20,"&lt;&gt;NA")</f>
        <v>14</v>
      </c>
      <c r="L62" s="104">
        <f>COUNTIFS(Testing!C17:C20,"Critical",Testing!J17:J20,"No")</f>
        <v>0</v>
      </c>
      <c r="M62" s="105">
        <f>COUNTIFS(Testing!C17:C20,"Major",Testing!J17:J20,"No")</f>
        <v>0</v>
      </c>
      <c r="N62" s="108">
        <f>COUNTIFS(Testing!C17:C20,"Minor",Testing!J17:J20,"No")</f>
        <v>0</v>
      </c>
      <c r="O62" s="112">
        <f>SUMIFS(Testing!D17:D20,Testing!K17:K20,"&lt;&gt;NA")</f>
        <v>14</v>
      </c>
      <c r="P62" s="104">
        <f>COUNTIFS(Testing!C17:C20,"Critical",Testing!K17:K20,"No")</f>
        <v>0</v>
      </c>
      <c r="Q62" s="105">
        <f>COUNTIFS(Testing!C17:C20,"Major",Testing!K17:K20,"No")</f>
        <v>0</v>
      </c>
      <c r="R62" s="108">
        <f>COUNTIFS(Testing!C17:C20,"Minor",Testing!K17:K20,"No")</f>
        <v>0</v>
      </c>
      <c r="S62" s="112">
        <f>SUMIFS(Testing!D17:D20,Testing!L17:L20,"&lt;&gt;NA")</f>
        <v>14</v>
      </c>
      <c r="T62" s="104">
        <f>COUNTIFS(Testing!C17:C20,"Critical",Testing!L17:L20,"No")</f>
        <v>0</v>
      </c>
      <c r="U62" s="105">
        <f>COUNTIFS(Testing!C17:C20,"Major",Testing!L17:L20,"No")</f>
        <v>0</v>
      </c>
      <c r="V62" s="108">
        <f>COUNTIFS(Testing!C17:C20,"Minor",Testing!L17:L20,"No")</f>
        <v>0</v>
      </c>
    </row>
    <row r="63" spans="1:22" x14ac:dyDescent="0.2">
      <c r="A63" s="115"/>
      <c r="B63" s="105" t="str">
        <f>Testing!B21</f>
        <v>Build for Regression Testing</v>
      </c>
      <c r="C63" s="112">
        <f>SUMIFS(Testing!D22:D24,Testing!H22:H24,"Yes")+SUMIFS(Testing!D22:D24,Testing!H22:H24,"No")</f>
        <v>0</v>
      </c>
      <c r="D63" s="104">
        <f>COUNTIFS(Testing!C22:C24,"Critical",Testing!H22:H24,"No")</f>
        <v>0</v>
      </c>
      <c r="E63" s="105">
        <f>COUNTIFS(Testing!C22:C24,"Major",Testing!H22:H24,"No")</f>
        <v>0</v>
      </c>
      <c r="F63" s="108">
        <f>COUNTIFS(Testing!C22:C24,"Minor",Testing!H22:H24,"No")</f>
        <v>0</v>
      </c>
      <c r="G63" s="112">
        <f>SUMIFS(Testing!D22:D24,Testing!I22:I24,"&lt;&gt;NA")</f>
        <v>7</v>
      </c>
      <c r="H63" s="104">
        <f>COUNTIFS(Testing!C22:C24,"Critical",Testing!I22:I24,"No")</f>
        <v>0</v>
      </c>
      <c r="I63" s="105">
        <f>COUNTIFS(Testing!C22:C24,"Major",Testing!I22:I24,"No")</f>
        <v>0</v>
      </c>
      <c r="J63" s="108">
        <f>COUNTIFS(Testing!C22:C24,"Minor",Testing!I22:I24,"No")</f>
        <v>0</v>
      </c>
      <c r="K63" s="112">
        <f>SUMIFS(Testing!D22:D24,Testing!J22:J24,"&lt;&gt;NA")</f>
        <v>7</v>
      </c>
      <c r="L63" s="104">
        <f>COUNTIFS(Testing!C22:C24,"Critical",Testing!J22:J24,"No")</f>
        <v>0</v>
      </c>
      <c r="M63" s="105">
        <f>COUNTIFS(Testing!C22:C24,"Major",Testing!J22:J24,"No")</f>
        <v>0</v>
      </c>
      <c r="N63" s="108">
        <f>COUNTIFS(Testing!C22:C24,"Minor",Testing!J22:J24,"No")</f>
        <v>0</v>
      </c>
      <c r="O63" s="112">
        <f>SUMIFS(Testing!D22:D24,Testing!K22:K24,"&lt;&gt;NA")</f>
        <v>7</v>
      </c>
      <c r="P63" s="104">
        <f>COUNTIFS(Testing!C22:C24,"Critical",Testing!K22:K24,"No")</f>
        <v>0</v>
      </c>
      <c r="Q63" s="105">
        <f>COUNTIFS(Testing!C22:C24,"Major",Testing!K22:K24,"No")</f>
        <v>0</v>
      </c>
      <c r="R63" s="108">
        <f>COUNTIFS(Testing!C22:C24,"Minor",Testing!K22:K24,"No")</f>
        <v>0</v>
      </c>
      <c r="S63" s="112">
        <f>SUMIFS(Testing!D22:D24,Testing!L22:L24,"&lt;&gt;NA")</f>
        <v>7</v>
      </c>
      <c r="T63" s="104">
        <f>COUNTIFS(Testing!C22:C24,"Critical",Testing!L22:L24,"No")</f>
        <v>0</v>
      </c>
      <c r="U63" s="105">
        <f>COUNTIFS(Testing!C22:C24,"Major",Testing!L22:L24,"No")</f>
        <v>0</v>
      </c>
      <c r="V63" s="108">
        <f>COUNTIFS(Testing!C22:C24,"Minor",Testing!L22:L24,"No")</f>
        <v>0</v>
      </c>
    </row>
    <row r="64" spans="1:22" x14ac:dyDescent="0.2">
      <c r="A64" s="115"/>
      <c r="B64" s="105" t="str">
        <f>Testing!B25</f>
        <v>Regression Testing</v>
      </c>
      <c r="C64" s="112">
        <f>SUMIFS(Testing!D26:D29,Testing!H26:H29,"Yes")+SUMIFS(Testing!D26:D29,Testing!H26:H29,"No")</f>
        <v>0</v>
      </c>
      <c r="D64" s="104">
        <f>COUNTIFS(Testing!C26:C29,"Critical",Testing!H26:H29,"No")</f>
        <v>0</v>
      </c>
      <c r="E64" s="105">
        <f>COUNTIFS(Testing!C26:C29,"Major",Testing!H26:H29,"No")</f>
        <v>0</v>
      </c>
      <c r="F64" s="108">
        <f>COUNTIFS(Testing!C26:C29,"Minor",Testing!H26:H29,"No")</f>
        <v>0</v>
      </c>
      <c r="G64" s="112">
        <f>SUMIFS(Testing!D26:D29,Testing!I26:I29,"&lt;&gt;NA")</f>
        <v>14</v>
      </c>
      <c r="H64" s="104">
        <f>COUNTIFS(Testing!C26:C29,"Critical",Testing!I26:I29,"No")</f>
        <v>0</v>
      </c>
      <c r="I64" s="105">
        <f>COUNTIFS(Testing!C26:C29,"Major",Testing!I26:I29,"No")</f>
        <v>0</v>
      </c>
      <c r="J64" s="108">
        <f>COUNTIFS(Testing!C26:C29,"Minor",Testing!I26:I29,"No")</f>
        <v>0</v>
      </c>
      <c r="K64" s="112">
        <f>SUMIFS(Testing!D26:D29,Testing!J26:J29,"&lt;&gt;NA")</f>
        <v>14</v>
      </c>
      <c r="L64" s="104">
        <f>COUNTIFS(Testing!C26:C29,"Critical",Testing!J26:J29,"No")</f>
        <v>0</v>
      </c>
      <c r="M64" s="105">
        <f>COUNTIFS(Testing!C26:C29,"Major",Testing!J26:J29,"No")</f>
        <v>0</v>
      </c>
      <c r="N64" s="108">
        <f>COUNTIFS(Testing!C26:C29,"Minor",Testing!J26:J29,"No")</f>
        <v>0</v>
      </c>
      <c r="O64" s="112">
        <f>SUMIFS(Testing!D26:D29,Testing!K26:K29,"&lt;&gt;NA")</f>
        <v>14</v>
      </c>
      <c r="P64" s="104">
        <f>COUNTIFS(Testing!C26:C29,"Critical",Testing!K26:K29,"No")</f>
        <v>0</v>
      </c>
      <c r="Q64" s="105">
        <f>COUNTIFS(Testing!C26:C29,"Major",Testing!K26:K29,"No")</f>
        <v>0</v>
      </c>
      <c r="R64" s="108">
        <f>COUNTIFS(Testing!C26:C29,"Minor",Testing!K26:K29,"No")</f>
        <v>0</v>
      </c>
      <c r="S64" s="112">
        <f>SUMIFS(Testing!D26:D29,Testing!L26:L29,"&lt;&gt;NA")</f>
        <v>14</v>
      </c>
      <c r="T64" s="104">
        <f>COUNTIFS(Testing!C26:C29,"Critical",Testing!L26:L29,"No")</f>
        <v>0</v>
      </c>
      <c r="U64" s="105">
        <f>COUNTIFS(Testing!C26:C29,"Major",Testing!L26:L29,"No")</f>
        <v>0</v>
      </c>
      <c r="V64" s="108">
        <f>COUNTIFS(Testing!C26:C29,"Minor",Testing!L26:L29,"No")</f>
        <v>0</v>
      </c>
    </row>
    <row r="65" spans="1:22" x14ac:dyDescent="0.2">
      <c r="A65" s="115"/>
      <c r="B65" s="105" t="str">
        <f>Testing!B30</f>
        <v>Build for Load/Performance Testing</v>
      </c>
      <c r="C65" s="112">
        <f>SUMIFS(Testing!D31:D33,Testing!H31:H33,"Yes")+SUMIFS(Testing!D31:D33,Testing!H31:H33,"No")</f>
        <v>0</v>
      </c>
      <c r="D65" s="104">
        <f>COUNTIFS(Testing!C31:C33,"Critical",Testing!H31:H33,"No")</f>
        <v>0</v>
      </c>
      <c r="E65" s="105">
        <f>COUNTIFS(Testing!C31:C33,"Major",Testing!H31:H33,"No")</f>
        <v>0</v>
      </c>
      <c r="F65" s="108">
        <f>COUNTIFS(Testing!C31:C33,"Minor",Testing!H31:H33,"No")</f>
        <v>0</v>
      </c>
      <c r="G65" s="112">
        <f>SUMIFS(Testing!D31:D33,Testing!I31:I33,"&lt;&gt;NA")</f>
        <v>5</v>
      </c>
      <c r="H65" s="104">
        <f>COUNTIFS(Testing!C31:C33,"Critical",Testing!I31:I33,"No")</f>
        <v>0</v>
      </c>
      <c r="I65" s="105">
        <f>COUNTIFS(Testing!C31:C33,"Major",Testing!I31:I33,"No")</f>
        <v>0</v>
      </c>
      <c r="J65" s="108">
        <f>COUNTIFS(Testing!C31:C33,"Minor",Testing!I31:I33,"No")</f>
        <v>0</v>
      </c>
      <c r="K65" s="112">
        <f>SUMIFS(Testing!D31:D33,Testing!J31:J33,"&lt;&gt;NA")</f>
        <v>5</v>
      </c>
      <c r="L65" s="104">
        <f>COUNTIFS(Testing!C31:C33,"Critical",Testing!J31:J33,"No")</f>
        <v>0</v>
      </c>
      <c r="M65" s="105">
        <f>COUNTIFS(Testing!C31:C33,"Major",Testing!J31:J33,"No")</f>
        <v>0</v>
      </c>
      <c r="N65" s="108">
        <f>COUNTIFS(Testing!C31:C33,"Minor",Testing!J31:J33,"No")</f>
        <v>0</v>
      </c>
      <c r="O65" s="112">
        <f>SUMIFS(Testing!D31:D33,Testing!K31:K33,"&lt;&gt;NA")</f>
        <v>5</v>
      </c>
      <c r="P65" s="104">
        <f>COUNTIFS(Testing!C31:C33,"Critical",Testing!K31:K33,"No")</f>
        <v>0</v>
      </c>
      <c r="Q65" s="105">
        <f>COUNTIFS(Testing!C31:C33,"Major",Testing!K31:K33,"No")</f>
        <v>0</v>
      </c>
      <c r="R65" s="108">
        <f>COUNTIFS(Testing!C31:C33,"Minor",Testing!K31:K33,"No")</f>
        <v>0</v>
      </c>
      <c r="S65" s="112">
        <f>SUMIFS(Testing!D31:D33,Testing!L31:L33,"&lt;&gt;NA")</f>
        <v>5</v>
      </c>
      <c r="T65" s="104">
        <f>COUNTIFS(Testing!C31:C33,"Critical",Testing!L31:L33,"No")</f>
        <v>0</v>
      </c>
      <c r="U65" s="105">
        <f>COUNTIFS(Testing!C31:C33,"Major",Testing!L31:L33,"No")</f>
        <v>0</v>
      </c>
      <c r="V65" s="108">
        <f>COUNTIFS(Testing!C31:C33,"Minor",Testing!L31:L33,"No")</f>
        <v>0</v>
      </c>
    </row>
    <row r="66" spans="1:22" x14ac:dyDescent="0.2">
      <c r="A66" s="115"/>
      <c r="B66" s="105" t="str">
        <f>Testing!B34</f>
        <v>Load/Performance Testing</v>
      </c>
      <c r="C66" s="112">
        <f>SUMIFS(Testing!D35:D38,Testing!H35:H38,"Yes")+SUMIFS(Testing!D35:D38,Testing!H35:H38,"No")</f>
        <v>0</v>
      </c>
      <c r="D66" s="104">
        <f>COUNTIFS(Testing!C35:C38,"Critical",Testing!H35:H38,"No")</f>
        <v>0</v>
      </c>
      <c r="E66" s="105">
        <f>COUNTIFS(Testing!C35:C38,"Major",Testing!H35:H38,"No")</f>
        <v>0</v>
      </c>
      <c r="F66" s="108">
        <f>COUNTIFS(Testing!C35:C38,"Minor",Testing!H35:H38,"No")</f>
        <v>0</v>
      </c>
      <c r="G66" s="112">
        <f>SUMIFS(Testing!D35:D38,Testing!I35:I38,"&lt;&gt;NA")</f>
        <v>14</v>
      </c>
      <c r="H66" s="104">
        <f>COUNTIFS(Testing!C35:C38,"Critical",Testing!I35:I38,"No")</f>
        <v>0</v>
      </c>
      <c r="I66" s="105">
        <f>COUNTIFS(Testing!C35:C38,"Major",Testing!I35:I38,"No")</f>
        <v>0</v>
      </c>
      <c r="J66" s="108">
        <f>COUNTIFS(Testing!C35:C38,"Minor",Testing!I35:I38,"No")</f>
        <v>0</v>
      </c>
      <c r="K66" s="112">
        <f>SUMIFS(Testing!D35:D38,Testing!J35:J38,"&lt;&gt;NA")</f>
        <v>14</v>
      </c>
      <c r="L66" s="104">
        <f>COUNTIFS(Testing!C35:C38,"Critical",Testing!J35:J38,"No")</f>
        <v>0</v>
      </c>
      <c r="M66" s="105">
        <f>COUNTIFS(Testing!C35:C38,"Major",Testing!J35:J38,"No")</f>
        <v>0</v>
      </c>
      <c r="N66" s="108">
        <f>COUNTIFS(Testing!C35:C38,"Minor",Testing!J35:J38,"No")</f>
        <v>0</v>
      </c>
      <c r="O66" s="112">
        <f>SUMIFS(Testing!D35:D38,Testing!K35:K38,"&lt;&gt;NA")</f>
        <v>14</v>
      </c>
      <c r="P66" s="104">
        <f>COUNTIFS(Testing!C35:C38,"Critical",Testing!K35:K38,"No")</f>
        <v>0</v>
      </c>
      <c r="Q66" s="105">
        <f>COUNTIFS(Testing!C35:C38,"Major",Testing!K35:K38,"No")</f>
        <v>0</v>
      </c>
      <c r="R66" s="108">
        <f>COUNTIFS(Testing!C35:C38,"Minor",Testing!K35:K38,"No")</f>
        <v>0</v>
      </c>
      <c r="S66" s="112">
        <f>SUMIFS(Testing!D35:D38,Testing!L35:L38,"&lt;&gt;NA")</f>
        <v>14</v>
      </c>
      <c r="T66" s="104">
        <f>COUNTIFS(Testing!C35:C38,"Critical",Testing!L35:L38,"No")</f>
        <v>0</v>
      </c>
      <c r="U66" s="105">
        <f>COUNTIFS(Testing!C35:C38,"Major",Testing!L35:L38,"No")</f>
        <v>0</v>
      </c>
      <c r="V66" s="108">
        <f>COUNTIFS(Testing!C35:C38,"Minor",Testing!L35:L38,"No")</f>
        <v>0</v>
      </c>
    </row>
    <row r="67" spans="1:22" x14ac:dyDescent="0.2">
      <c r="A67" s="115"/>
      <c r="B67" s="105"/>
      <c r="C67" s="112"/>
      <c r="D67" s="104"/>
      <c r="E67" s="105"/>
      <c r="F67" s="108"/>
      <c r="G67" s="112"/>
      <c r="H67" s="104"/>
      <c r="I67" s="105"/>
      <c r="J67" s="108"/>
      <c r="K67" s="112"/>
      <c r="L67" s="104"/>
      <c r="M67" s="105"/>
      <c r="N67" s="108"/>
      <c r="O67" s="112"/>
      <c r="P67" s="104"/>
      <c r="Q67" s="105"/>
      <c r="R67" s="108"/>
      <c r="S67" s="112"/>
      <c r="T67" s="104"/>
      <c r="U67" s="105"/>
      <c r="V67" s="108"/>
    </row>
    <row r="68" spans="1:22" x14ac:dyDescent="0.2">
      <c r="A68" s="116" t="s">
        <v>561</v>
      </c>
      <c r="B68" s="105" t="str">
        <f>Delivery!B3</f>
        <v>Acceptance</v>
      </c>
      <c r="C68" s="112">
        <f>SUMIFS(Delivery!D4:D4,Delivery!H4:H4,"Yes")+SUMIFS(Delivery!D4:D4,Delivery!H4:H4,"No")</f>
        <v>5</v>
      </c>
      <c r="D68" s="104">
        <f>COUNTIFS(Delivery!C4:C5,"Critical",Delivery!H4:H5,"No")</f>
        <v>0</v>
      </c>
      <c r="E68" s="105">
        <f>COUNTIFS(Delivery!C4:C5,"Major",Delivery!H4:H5,"No")</f>
        <v>0</v>
      </c>
      <c r="F68" s="108">
        <f>COUNTIFS(Delivery!C4:C5,"Minor",Delivery!H4:H5,"No")</f>
        <v>0</v>
      </c>
      <c r="G68" s="112">
        <f>SUMIFS(Delivery!D4:D4,Delivery!I4:I4,"&lt;&gt;NA")</f>
        <v>5</v>
      </c>
      <c r="H68" s="104">
        <f>COUNTIFS(Delivery!C4:C5,"Critical",Delivery!I4:I5,"No")</f>
        <v>0</v>
      </c>
      <c r="I68" s="105">
        <f>COUNTIFS(Delivery!C4:C5,"Major",Delivery!I4:I5,"No")</f>
        <v>0</v>
      </c>
      <c r="J68" s="108">
        <f>COUNTIFS(Delivery!C4:C5,"Minor",Delivery!I4:I5,"No")</f>
        <v>0</v>
      </c>
      <c r="K68" s="112">
        <f>SUMIFS(Delivery!D4:D4,Delivery!J4:J4,"&lt;&gt;NA")</f>
        <v>0</v>
      </c>
      <c r="L68" s="104">
        <f>COUNTIFS(Delivery!C4:C5,"Critical",Delivery!J4:J5,"No")</f>
        <v>0</v>
      </c>
      <c r="M68" s="105">
        <f>COUNTIFS(Delivery!C4:C5,"Major",Delivery!J4:J5,"No")</f>
        <v>0</v>
      </c>
      <c r="N68" s="108">
        <f>COUNTIFS(Delivery!C4:C5,"Minor",Delivery!J4:J5,"No")</f>
        <v>0</v>
      </c>
      <c r="O68" s="112">
        <f>SUMIFS(Delivery!D4:D4,Delivery!K4:K4,"&lt;&gt;NA")</f>
        <v>0</v>
      </c>
      <c r="P68" s="104">
        <f>COUNTIFS(Delivery!C4:C5,"Critical",Delivery!K4:K5,"No")</f>
        <v>0</v>
      </c>
      <c r="Q68" s="105">
        <f>COUNTIFS(Delivery!C4:C5,"Major",Delivery!K4:K5,"No")</f>
        <v>0</v>
      </c>
      <c r="R68" s="108">
        <f>COUNTIFS(Delivery!C4:C5,"Minor",Delivery!K4:K5,"No")</f>
        <v>0</v>
      </c>
      <c r="S68" s="112">
        <f>SUMIFS(Delivery!D4:D4,Delivery!L4:L4,"&lt;&gt;NA")</f>
        <v>0</v>
      </c>
      <c r="T68" s="104">
        <f>COUNTIFS(Delivery!C4:C5,"Critical",Delivery!L4:L5,"No")</f>
        <v>0</v>
      </c>
      <c r="U68" s="105">
        <f>COUNTIFS(Delivery!C4:C5,"Major",Delivery!L4:L5,"No")</f>
        <v>0</v>
      </c>
      <c r="V68" s="108">
        <f>COUNTIFS(Delivery!C4:C5,"Minor",Delivery!L4:L5,"No")</f>
        <v>0</v>
      </c>
    </row>
    <row r="69" spans="1:22" x14ac:dyDescent="0.2">
      <c r="A69" s="115"/>
      <c r="B69" s="105"/>
      <c r="C69" s="112"/>
      <c r="D69" s="104"/>
      <c r="E69" s="105"/>
      <c r="F69" s="108"/>
      <c r="G69" s="112"/>
      <c r="H69" s="104"/>
      <c r="I69" s="105"/>
      <c r="J69" s="108"/>
      <c r="K69" s="112"/>
      <c r="L69" s="104"/>
      <c r="M69" s="105"/>
      <c r="N69" s="108"/>
      <c r="O69" s="112"/>
      <c r="P69" s="104"/>
      <c r="Q69" s="105"/>
      <c r="R69" s="108"/>
      <c r="S69" s="112"/>
      <c r="T69" s="104"/>
      <c r="U69" s="105"/>
      <c r="V69" s="108"/>
    </row>
    <row r="70" spans="1:22" ht="13.5" thickBot="1" x14ac:dyDescent="0.25">
      <c r="A70" s="117" t="s">
        <v>29</v>
      </c>
      <c r="B70" s="173" t="s">
        <v>506</v>
      </c>
      <c r="C70" s="113">
        <f>SUMIFS('Project Closure'!D4:D18,'Project Closure'!H4:H18,"Yes")+SUMIFS('Project Closure'!D4:D18,'Project Closure'!H4:H18,"No")</f>
        <v>0</v>
      </c>
      <c r="D70" s="119">
        <f>COUNTIFS('Project Closure'!C4:C18,"Critical",'Project Closure'!H4:H18,"No")</f>
        <v>0</v>
      </c>
      <c r="E70" s="109">
        <f>COUNTIFS('Project Closure'!C4:C18,"Major",'Project Closure'!H4:H18,"No")</f>
        <v>0</v>
      </c>
      <c r="F70" s="110">
        <f>COUNTIFS('Project Closure'!C4:C18,"Minor",'Project Closure'!H4:H18,"No")</f>
        <v>0</v>
      </c>
      <c r="G70" s="113">
        <f>SUMIFS('Project Closure'!D4:D18,'Project Closure'!I4:I18,"&lt;&gt;NA")</f>
        <v>0</v>
      </c>
      <c r="H70" s="119">
        <f>COUNTIFS('Project Closure'!C4:C18,"Critical",'Project Closure'!I4:I18,"No")</f>
        <v>0</v>
      </c>
      <c r="I70" s="109">
        <f>COUNTIFS('Project Closure'!C4:C18,"Major",'Project Closure'!I4:I18,"No")</f>
        <v>0</v>
      </c>
      <c r="J70" s="110">
        <f>COUNTIFS('Project Closure'!C4:C18,"Minor",'Project Closure'!I4:I18,"No")</f>
        <v>0</v>
      </c>
      <c r="K70" s="113">
        <f>SUMIFS('Project Closure'!D4:D18,'Project Closure'!J4:J18,"&lt;&gt;NA")</f>
        <v>0</v>
      </c>
      <c r="L70" s="119">
        <f>COUNTIFS('Project Closure'!C4:C18,"Critical",'Project Closure'!J4:J18,"No")</f>
        <v>0</v>
      </c>
      <c r="M70" s="109">
        <f>COUNTIFS('Project Closure'!C4:C18,"Major",'Project Closure'!J4:J18,"No")</f>
        <v>0</v>
      </c>
      <c r="N70" s="110">
        <f>COUNTIFS('Project Closure'!C4:C18,"Minor",'Project Closure'!J4:J18,"No")</f>
        <v>0</v>
      </c>
      <c r="O70" s="113">
        <f>SUMIFS('Project Closure'!D4:D18,'Project Closure'!K4:K18,"&lt;&gt;NA")</f>
        <v>0</v>
      </c>
      <c r="P70" s="119">
        <f>COUNTIFS('Project Closure'!C4:C18,"Critical",'Project Closure'!K4:K18,"No")</f>
        <v>0</v>
      </c>
      <c r="Q70" s="109">
        <f>COUNTIFS('Project Closure'!C4:C18,"Major",'Project Closure'!K4:K18,"No")</f>
        <v>0</v>
      </c>
      <c r="R70" s="110">
        <f>COUNTIFS('Project Closure'!C4:C18,"Minor",'Project Closure'!K4:K18,"No")</f>
        <v>0</v>
      </c>
      <c r="S70" s="113">
        <f>SUMIFS('Project Closure'!D4:D18,'Project Closure'!L4:L18,"&lt;&gt;NA")</f>
        <v>0</v>
      </c>
      <c r="T70" s="119">
        <f>COUNTIFS('Project Closure'!C4:C18,"Critical",'Project Closure'!L4:L18,"No")</f>
        <v>0</v>
      </c>
      <c r="U70" s="109">
        <f>COUNTIFS('Project Closure'!C4:C18,"Major",'Project Closure'!L4:L18,"No")</f>
        <v>0</v>
      </c>
      <c r="V70" s="110">
        <f>COUNTIFS('Project Closure'!C4:C18,"Minor",'Project Closure'!L4:L18,"No")</f>
        <v>0</v>
      </c>
    </row>
    <row r="71" spans="1:22" x14ac:dyDescent="0.2">
      <c r="A71" s="150"/>
      <c r="B71" s="105"/>
      <c r="C71" s="144"/>
      <c r="D71" s="105"/>
      <c r="E71" s="105"/>
      <c r="F71" s="105"/>
      <c r="G71" s="144"/>
      <c r="H71" s="105"/>
      <c r="I71" s="105"/>
      <c r="J71" s="105"/>
      <c r="K71" s="144"/>
      <c r="L71" s="105"/>
      <c r="M71" s="105"/>
      <c r="N71" s="105"/>
      <c r="O71" s="144"/>
      <c r="P71" s="105"/>
      <c r="Q71" s="105"/>
      <c r="R71" s="105"/>
      <c r="S71" s="144"/>
      <c r="T71" s="105"/>
      <c r="U71" s="105"/>
      <c r="V71" s="105"/>
    </row>
    <row r="72" spans="1:22" x14ac:dyDescent="0.2">
      <c r="A72" s="150"/>
      <c r="B72" s="151" t="s">
        <v>489</v>
      </c>
      <c r="C72" s="152"/>
      <c r="D72" s="153"/>
      <c r="E72" s="105"/>
      <c r="F72" s="105"/>
      <c r="G72" s="144"/>
      <c r="H72" s="105"/>
      <c r="I72" s="105"/>
      <c r="J72" s="105"/>
      <c r="K72" s="144"/>
      <c r="L72" s="105"/>
      <c r="M72" s="105"/>
      <c r="N72" s="105"/>
      <c r="O72" s="144"/>
      <c r="P72" s="105"/>
      <c r="Q72" s="105"/>
      <c r="R72" s="105"/>
      <c r="S72" s="144"/>
      <c r="T72" s="105"/>
      <c r="U72" s="105"/>
      <c r="V72" s="105"/>
    </row>
    <row r="73" spans="1:22" ht="13.5" thickBot="1" x14ac:dyDescent="0.25"/>
    <row r="74" spans="1:22" ht="48" customHeight="1" thickBot="1" x14ac:dyDescent="0.25">
      <c r="B74" s="145" t="s">
        <v>486</v>
      </c>
      <c r="C74" s="163" t="s">
        <v>499</v>
      </c>
      <c r="D74" s="147" t="s">
        <v>243</v>
      </c>
      <c r="E74" s="146"/>
      <c r="F74" s="146"/>
      <c r="G74" s="163" t="s">
        <v>500</v>
      </c>
      <c r="H74" s="147" t="s">
        <v>244</v>
      </c>
      <c r="I74" s="146"/>
      <c r="J74" s="146"/>
      <c r="K74" s="163" t="s">
        <v>501</v>
      </c>
      <c r="L74" s="147" t="s">
        <v>251</v>
      </c>
      <c r="M74" s="146"/>
      <c r="N74" s="146"/>
      <c r="O74" s="163" t="s">
        <v>502</v>
      </c>
      <c r="P74" s="147" t="s">
        <v>252</v>
      </c>
      <c r="Q74" s="146"/>
      <c r="R74" s="146"/>
      <c r="S74" s="163" t="s">
        <v>503</v>
      </c>
      <c r="T74" s="148" t="s">
        <v>253</v>
      </c>
    </row>
    <row r="75" spans="1:22" ht="15.75" customHeight="1" x14ac:dyDescent="0.2">
      <c r="B75" s="157" t="s">
        <v>523</v>
      </c>
      <c r="C75" s="112">
        <f>SUM(SUMIFS('Project Initiation'!D4:D11,'Project Initiation'!E4:E11,"Preventive",'Project Initiation'!H4:H11,"&lt;&gt;NA"),SUMIFS('Project Management'!D4:D84,'Project Management'!E4:E84,"Preventive",'Project Management'!H4:H84,"&lt;&gt;NA"),SUMIFS('Monitoring &amp; Control'!D4:D47,'Monitoring &amp; Control'!E4:E47,"Preventive",'Monitoring &amp; Control'!H4:H47,"&lt;&gt;NA"),SUMIFS(Requirements!D4:D17,Requirements!E4:E17,"Preventive",Requirements!H4:H17,"&lt;&gt;NA"),SUMIFS(Design!D4:D70,Design!E4:E70,"Preventive",Design!H4:H70,"&lt;&gt;NA"),SUMIFS(Testing!D4:D39,Testing!E4:E39,"Preventive",Testing!H4:H39,"&lt;&gt;NA"),SUMIFS(Delivery!D3:D5,Delivery!E3:E5,"Preventive",Delivery!H3:H5,"&lt;&gt;NA"),SUMIFS('Project Closure'!D4:D18,'Project Closure'!E4:E18,"Preventive",'Project Closure'!H4:H18,"&lt;&gt;NA"))</f>
        <v>26</v>
      </c>
      <c r="D75" s="105">
        <f>SUM(SUMIFS('Project Initiation'!D4:D11,'Project Initiation'!E4:E11,"Preventive",'Project Initiation'!H4:H11,"No"),SUMIFS('Project Management'!D4:D84,'Project Management'!E4:E84,"Preventive",'Project Management'!H4:H84,"No"),SUMIFS('Monitoring &amp; Control'!D4:D47,'Monitoring &amp; Control'!E4:E47,"Preventive",'Monitoring &amp; Control'!H4:H47,"No"),SUMIFS(Requirements!D4:D17,Requirements!E4:E17,"Preventive",Requirements!H4:H17,"No"),SUMIFS(Design!D4:D70,Design!E4:E70,"Preventive",Design!H4:H70,"No"),SUMIFS(Testing!D4:D39,Testing!E4:E39,"Preventive",Testing!H4:H39,"No"),SUMIFS(Delivery!D3:D5,Delivery!E3:E5,"Preventive",Delivery!H3:H5,"No"),SUMIFS('Project Closure'!D4:D18,'Project Closure'!E4:E18,"Preventive",'Project Closure'!H4:H18,"No"))</f>
        <v>5</v>
      </c>
      <c r="E75" s="105"/>
      <c r="F75" s="105"/>
      <c r="G75" s="112">
        <f>SUM(SUMIFS('Project Initiation'!D4:D11,'Project Initiation'!E4:E11,"Preventive",'Project Initiation'!I4:I11,"&lt;&gt;NA"),SUMIFS('Project Management'!D4:D84,'Project Management'!E4:E84,"Preventive",'Project Management'!I4:I84,"&lt;&gt;NA"),SUMIFS('Monitoring &amp; Control'!D4:D47,'Monitoring &amp; Control'!E4:E47,"Preventive",'Monitoring &amp; Control'!I4:I47,"&lt;&gt;NA"),SUMIFS(Requirements!D4:D17,Requirements!E4:E17,"Preventive",Requirements!I4:I17,"&lt;&gt;NA"),SUMIFS(Design!D4:D70,Design!E4:E70,"Preventive",Design!I4:I70,"&lt;&gt;NA"),SUMIFS(Testing!D4:D39,Testing!E4:E39,"Preventive",Testing!I4:I39,"&lt;&gt;NA"),SUMIFS(Delivery!D3:D5,Delivery!E3:E5,"Preventive",Delivery!I3:I5,"&lt;&gt;NA"),SUMIFS('Project Closure'!D4:D18,'Project Closure'!E4:E18,"Preventive",'Project Closure'!I4:I18,"&lt;&gt;NA"))</f>
        <v>29</v>
      </c>
      <c r="H75" s="105">
        <f>SUM(SUMIFS('Project Initiation'!D4:D11,'Project Initiation'!E4:E11,"Preventive",'Project Initiation'!I4:I11,"No"),SUMIFS('Project Management'!D4:D84,'Project Management'!E4:E84,"Preventive",'Project Management'!I4:I84,"No"),SUMIFS('Monitoring &amp; Control'!D4:D47,'Monitoring &amp; Control'!E4:E47,"Preventive",'Monitoring &amp; Control'!I4:I47,"No"),SUMIFS(Requirements!D4:D17,Requirements!E4:E17,"Preventive",Requirements!I4:I17,"No"),SUMIFS(Design!D4:D70,Design!E4:E70,"Preventive",Design!I4:I70,"No"),SUMIFS(Testing!D4:D39,Testing!E4:E39,"Preventive",Testing!I4:I39,"No"),SUMIFS(Delivery!D3:D5,Delivery!E3:E5,"Preventive",Delivery!I3:I5,"No"),SUMIFS('Project Closure'!D4:D18,'Project Closure'!E4:E18,"Preventive",'Project Closure'!I4:I18,"No"))</f>
        <v>0</v>
      </c>
      <c r="I75" s="105"/>
      <c r="J75" s="105"/>
      <c r="K75" s="112">
        <f>SUM(SUMIFS('Project Initiation'!D4:D11,'Project Initiation'!E4:E11,"Preventive",'Project Initiation'!J4:J11,"&lt;&gt;NA"),SUMIFS('Project Management'!D4:D84,'Project Management'!E4:E84,"Preventive",'Project Management'!J4:J84,"&lt;&gt;NA"),SUMIFS('Monitoring &amp; Control'!D4:D47,'Monitoring &amp; Control'!E4:E47,"Preventive",'Monitoring &amp; Control'!J4:J47,"&lt;&gt;NA"),SUMIFS(Requirements!D4:D17,Requirements!E4:E17,"Preventive",Requirements!J4:J17,"&lt;&gt;NA"),SUMIFS(Design!D4:D70,Design!E4:E70,"Preventive",Design!J4:J70,"&lt;&gt;NA"),SUMIFS(Testing!D4:D39,Testing!E4:E39,"Preventive",Testing!J4:J39,"&lt;&gt;NA"),SUMIFS(Delivery!D3:D5,Delivery!E3:E5,"Preventive",Delivery!J3:J5,"&lt;&gt;NA"),SUMIFS('Project Closure'!D4:D18,'Project Closure'!E4:E18,"Preventive",'Project Closure'!J4:J18,"&lt;&gt;NA"))</f>
        <v>5</v>
      </c>
      <c r="L75" s="105">
        <f>SUM(SUMIFS('Project Initiation'!D4:D11,'Project Initiation'!E4:E11,"Preventive",'Project Initiation'!J4:J11,"No"),SUMIFS('Project Management'!D4:D84,'Project Management'!E4:E84,"Preventive",'Project Management'!J4:J84,"No"),SUMIFS('Monitoring &amp; Control'!D4:D47,'Monitoring &amp; Control'!E4:E47,"Preventive",'Monitoring &amp; Control'!J4:J47,"No"),SUMIFS(Requirements!D4:D17,Requirements!E4:E17,"Preventive",Requirements!J4:J17,"No"),SUMIFS(Design!D4:D70,Design!E4:E70,"Preventive",Design!J4:J70,"No"),SUMIFS(Testing!D4:D39,Testing!E4:E39,"Preventive",Testing!J4:J39,"No"),SUMIFS(Delivery!D3:D5,Delivery!E3:E5,"Preventive",Delivery!J3:J5,"No"),SUMIFS('Project Closure'!D4:D18,'Project Closure'!E4:E18,"Preventive",'Project Closure'!J4:J18,"No"))</f>
        <v>0</v>
      </c>
      <c r="M75" s="105"/>
      <c r="N75" s="105"/>
      <c r="O75" s="112">
        <f>SUM(SUMIFS('Project Initiation'!D4:D11,'Project Initiation'!E4:E11,"Preventive",'Project Initiation'!K4:K11,"&lt;&gt;NA"),SUMIFS('Project Management'!D4:D84,'Project Management'!E4:E84,"Preventive",'Project Management'!K4:K84,"&lt;&gt;NA"),SUMIFS('Monitoring &amp; Control'!D4:D47,'Monitoring &amp; Control'!E4:E47,"Preventive",'Monitoring &amp; Control'!K4:K47,"&lt;&gt;NA"),SUMIFS(Requirements!D4:D17,Requirements!E4:E17,"Preventive",Requirements!K4:K17,"&lt;&gt;NA"),SUMIFS(Design!D4:D70,Design!E4:E70,"Preventive",Design!K4:K70,"&lt;&gt;NA"),SUMIFS(Testing!D4:D39,Testing!E4:E39,"Preventive",Testing!K4:K39,"&lt;&gt;NA"),SUMIFS(Delivery!D3:D5,Delivery!E3:E5,"Preventive",Delivery!K3:K5,"&lt;&gt;NA"),SUMIFS('Project Closure'!D4:D18,'Project Closure'!E4:E18,"Preventive",'Project Closure'!K4:K18,"&lt;&gt;NA"))</f>
        <v>5</v>
      </c>
      <c r="P75" s="105">
        <f>SUM(SUMIFS('Project Initiation'!D4:D11,'Project Initiation'!E4:E11,"Preventive",'Project Initiation'!K4:K11,"No"),SUMIFS('Project Management'!D4:D84,'Project Management'!E4:E84,"Preventive",'Project Management'!K4:K84,"No"),SUMIFS('Monitoring &amp; Control'!D4:D47,'Monitoring &amp; Control'!E4:E47,"Preventive",'Monitoring &amp; Control'!K4:K47,"No"),SUMIFS(Requirements!D4:D17,Requirements!E4:E17,"Preventive",Requirements!K4:K17,"No"),SUMIFS(Design!D4:D70,Design!E4:E70,"Preventive",Design!K4:K70,"No"),SUMIFS(Testing!D4:D39,Testing!E4:E39,"Preventive",Testing!K4:K39,"No"),SUMIFS(Delivery!D3:D5,Delivery!E3:E5,"Preventive",Delivery!K3:K5,"No"),SUMIFS('Project Closure'!D4:D18,'Project Closure'!E4:E18,"Preventive",'Project Closure'!K4:K18,"No"))</f>
        <v>0</v>
      </c>
      <c r="Q75" s="105"/>
      <c r="R75" s="105"/>
      <c r="S75" s="112">
        <f>SUM(SUMIFS('Project Initiation'!D4:D11,'Project Initiation'!E4:E11,"Preventive",'Project Initiation'!L4:L11,"&lt;&gt;NA"),SUMIFS('Project Management'!D4:D84,'Project Management'!E4:E84,"Preventive",'Project Management'!L4:L84,"&lt;&gt;NA"),SUMIFS('Monitoring &amp; Control'!D4:D47,'Monitoring &amp; Control'!E4:E47,"Preventive",'Monitoring &amp; Control'!L4:L47,"&lt;&gt;NA"),SUMIFS(Requirements!D4:D17,Requirements!E4:E17,"Preventive",Requirements!L4:L17,"&lt;&gt;NA"),SUMIFS(Design!D4:D70,Design!E4:E70,"Preventive",Design!L4:L70,"&lt;&gt;NA"),SUMIFS(Testing!D4:D39,Testing!E4:E39,"Preventive",Testing!L4:L39,"&lt;&gt;NA"),SUMIFS(Delivery!D3:D5,Delivery!E3:E5,"Preventive",Delivery!L3:L5,"&lt;&gt;NA"),SUMIFS('Project Closure'!D4:D18,'Project Closure'!E4:E18,"Preventive",'Project Closure'!L4:L18,"&lt;&gt;NA"))</f>
        <v>5</v>
      </c>
      <c r="T75" s="115">
        <f>SUM(SUMIFS('Project Initiation'!D4:D11,'Project Initiation'!E4:E11,"Preventive",'Project Initiation'!L4:L11,"No"),SUMIFS('Project Management'!D4:D84,'Project Management'!E4:E84,"Preventive",'Project Management'!L4:L84,"No"),SUMIFS('Monitoring &amp; Control'!D4:D47,'Monitoring &amp; Control'!E4:E47,"Preventive",'Monitoring &amp; Control'!L4:L47,"No"),SUMIFS(Requirements!D4:D17,Requirements!E4:E17,"Preventive",Requirements!L4:L17,"No"),SUMIFS(Design!D4:D70,Design!E4:E70,"Preventive",Design!L4:L70,"No"),SUMIFS(Testing!D4:D39,Testing!E4:E39,"Preventive",Testing!L4:L39,"No"),SUMIFS(Delivery!D3:D5,Delivery!E3:E5,"Preventive",Delivery!L3:L5,"No"),SUMIFS('Project Closure'!D4:D18,'Project Closure'!E4:E18,"Preventive",'Project Closure'!L4:L18,"No"))</f>
        <v>0</v>
      </c>
    </row>
    <row r="76" spans="1:22" x14ac:dyDescent="0.2">
      <c r="B76" s="157" t="s">
        <v>524</v>
      </c>
      <c r="C76" s="112">
        <f>SUM(SUMIFS('Project Initiation'!D4:D11,'Project Initiation'!E4:E11,"Appraisal",'Project Initiation'!H4:H11,"&lt;&gt;NA"),SUMIFS('Project Management'!D4:D84,'Project Management'!E4:E84,"Appraisal",'Project Management'!H4:H84,"&lt;&gt;NA"),SUMIFS('Monitoring &amp; Control'!D4:D47,'Monitoring &amp; Control'!E4:E47,"Appraisal",'Monitoring &amp; Control'!H4:H47,"&lt;&gt;NA"),SUMIFS(Requirements!D4:D17,Requirements!E4:E17,"Appraisal",Requirements!H4:H17,"&lt;&gt;NA"),SUMIFS(Design!D4:D70,Design!E4:E70,"Appraisal",Design!H4:H70,"&lt;&gt;NA"),SUMIFS(Testing!D4:D39,Testing!E4:E39,"Appraisal",Testing!H4:H39,"&lt;&gt;NA"),SUMIFS(Delivery!D3:D5,Delivery!E3:E5,"Appraisal",Delivery!H3:H5,"&lt;&gt;NA"),SUMIFS('Project Closure'!D4:D18,'Project Closure'!E4:E18,"Appraisal",'Project Closure'!H4:H18,"&lt;&gt;NA"))</f>
        <v>16</v>
      </c>
      <c r="D76" s="105">
        <f>SUM(SUMIFS('Project Initiation'!D4:D11,'Project Initiation'!E4:E11,"Appraisal",'Project Initiation'!H4:H11,"No"),SUMIFS('Project Management'!D4:D84,'Project Management'!E4:E84,"Appraisal",'Project Management'!H4:H84,"No"),SUMIFS('Monitoring &amp; Control'!D4:D47,'Monitoring &amp; Control'!E4:E47,"Appraisal",'Monitoring &amp; Control'!H4:H47,"No"),SUMIFS(Requirements!D4:D17,Requirements!E4:E17,"Appraisal",Requirements!H4:H17,"No"),SUMIFS(Design!D4:D70,Design!E4:E70,"Appraisal",Design!H4:H70,"No"),SUMIFS(Testing!D4:D39,Testing!E4:E39,"Appraisal",Testing!H4:H39,"No"),SUMIFS(Delivery!D3:D5,Delivery!E3:E5,"Appraisal",Delivery!H3:H5,"No"),SUMIFS('Project Closure'!D4:D18,'Project Closure'!E4:E18,"Appraisal",'Project Closure'!H4:H18,"No"))</f>
        <v>3</v>
      </c>
      <c r="E76" s="105"/>
      <c r="F76" s="105"/>
      <c r="G76" s="112">
        <f>SUM(SUMIFS('Project Initiation'!D4:D11,'Project Initiation'!E4:E11,"Appraisal",'Project Initiation'!I4:I11,"&lt;&gt;NA"),SUMIFS('Project Management'!D4:D84,'Project Management'!E4:E84,"Appraisal",'Project Management'!I4:I84,"&lt;&gt;NA"),SUMIFS('Monitoring &amp; Control'!D4:D47,'Monitoring &amp; Control'!E4:E47,"Appraisal",'Monitoring &amp; Control'!I4:I47,"&lt;&gt;NA"),SUMIFS(Requirements!D4:D17,Requirements!E4:E17,"Appraisal",Requirements!I4:I17,"&lt;&gt;NA"),SUMIFS(Design!D4:D70,Design!E4:E70,"Appraisal",Design!I4:I70,"&lt;&gt;NA"),SUMIFS(Testing!D4:D39,Testing!E4:E39,"Appraisal",Testing!I4:I39,"&lt;&gt;NA"),SUMIFS(Delivery!D3:D5,Delivery!E3:E5,"Appraisal",Delivery!I3:I5,"&lt;&gt;NA"),SUMIFS('Project Closure'!D4:D18,'Project Closure'!E4:E18,"Appraisal",'Project Closure'!I4:I18,"&lt;&gt;NA"))</f>
        <v>124</v>
      </c>
      <c r="H76" s="105">
        <f>SUM(SUMIFS('Project Initiation'!D4:D11,'Project Initiation'!E4:E11,"Appraisal",'Project Initiation'!I4:I11,"No"),SUMIFS('Project Management'!D4:D84,'Project Management'!E4:E84,"Appraisal",'Project Management'!I4:I84,"No"),SUMIFS('Monitoring &amp; Control'!D4:D47,'Monitoring &amp; Control'!E4:E47,"Appraisal",'Monitoring &amp; Control'!I4:I47,"No"),SUMIFS(Requirements!D4:D17,Requirements!E4:E17,"Appraisal",Requirements!I4:I17,"No"),SUMIFS(Design!D4:D70,Design!E4:E70,"Appraisal",Design!I4:I70,"No"),SUMIFS(Testing!D4:D39,Testing!E4:E39,"Appraisal",Testing!I4:I39,"No"),SUMIFS(Delivery!D3:D5,Delivery!E3:E5,"Appraisal",Delivery!I3:I5,"No"),SUMIFS('Project Closure'!D4:D18,'Project Closure'!E4:E18,"Appraisal",'Project Closure'!I4:I18,"No"))</f>
        <v>0</v>
      </c>
      <c r="I76" s="105"/>
      <c r="J76" s="105"/>
      <c r="K76" s="112">
        <f>SUM(SUMIFS('Project Initiation'!D4:D11,'Project Initiation'!E4:E11,"Appraisal",'Project Initiation'!J4:J11,"&lt;&gt;NA"),SUMIFS('Project Management'!D4:D84,'Project Management'!E4:E84,"Appraisal",'Project Management'!J4:J84,"&lt;&gt;NA"),SUMIFS('Monitoring &amp; Control'!D4:D47,'Monitoring &amp; Control'!E4:E47,"Appraisal",'Monitoring &amp; Control'!J4:J47,"&lt;&gt;NA"),SUMIFS(Requirements!D4:D17,Requirements!E4:E17,"Appraisal",Requirements!J4:J17,"&lt;&gt;NA"),SUMIFS(Design!D4:D70,Design!E4:E70,"Appraisal",Design!J4:J70,"&lt;&gt;NA"),SUMIFS(Testing!D4:D39,Testing!E4:E39,"Appraisal",Testing!J4:J39,"&lt;&gt;NA"),SUMIFS(Delivery!D3:D5,Delivery!E3:E5,"Appraisal",Delivery!J3:J5,"&lt;&gt;NA"),SUMIFS('Project Closure'!D4:D18,'Project Closure'!E4:E18,"Appraisal",'Project Closure'!J4:J18,"&lt;&gt;NA"))</f>
        <v>110</v>
      </c>
      <c r="L76" s="105">
        <f>SUM(SUMIFS('Project Initiation'!D4:D11,'Project Initiation'!E4:E11,"Appraisal",'Project Initiation'!J4:J11,"No"),SUMIFS('Project Management'!D4:D84,'Project Management'!E4:E84,"Appraisal",'Project Management'!J4:J84,"No"),SUMIFS('Monitoring &amp; Control'!D4:D47,'Monitoring &amp; Control'!E4:E47,"Appraisal",'Monitoring &amp; Control'!J4:J47,"No"),SUMIFS(Requirements!D4:D17,Requirements!E4:E17,"Appraisal",Requirements!J4:J17,"No"),SUMIFS(Design!D4:D70,Design!E4:E70,"Appraisal",Design!J4:J70,"No"),SUMIFS(Testing!D4:D39,Testing!E4:E39,"Appraisal",Testing!J4:J39,"No"),SUMIFS(Delivery!D3:D5,Delivery!E3:E5,"Appraisal",Delivery!J3:J5,"No"),SUMIFS('Project Closure'!D4:D18,'Project Closure'!E4:E18,"Appraisal",'Project Closure'!J4:J18,"No"))</f>
        <v>0</v>
      </c>
      <c r="M76" s="105"/>
      <c r="N76" s="105"/>
      <c r="O76" s="112">
        <f>SUM(SUMIFS('Project Initiation'!D4:D11,'Project Initiation'!E4:E11,"Appraisal",'Project Initiation'!K4:K11,"&lt;&gt;NA"),SUMIFS('Project Management'!D4:D84,'Project Management'!E4:E84,"Appraisal",'Project Management'!K4:K84,"&lt;&gt;NA"),SUMIFS('Monitoring &amp; Control'!D4:D47,'Monitoring &amp; Control'!E4:E47,"Appraisal",'Monitoring &amp; Control'!K4:K47,"&lt;&gt;NA"),SUMIFS(Requirements!D4:D17,Requirements!E4:E17,"Appraisal",Requirements!K4:K17,"&lt;&gt;NA"),SUMIFS(Design!D4:D70,Design!E4:E70,"Appraisal",Design!K4:K70,"&lt;&gt;NA"),SUMIFS(Testing!D4:D39,Testing!E4:E39,"Appraisal",Testing!K4:K39,"&lt;&gt;NA"),SUMIFS(Delivery!D3:D5,Delivery!E3:E5,"Appraisal",Delivery!K3:K5,"&lt;&gt;NA"),SUMIFS('Project Closure'!D4:D18,'Project Closure'!E4:E18,"Appraisal",'Project Closure'!K4:K18,"&lt;&gt;NA"))</f>
        <v>110</v>
      </c>
      <c r="P76" s="105">
        <f>SUM(SUMIFS('Project Initiation'!D4:D11,'Project Initiation'!E4:E11,"Appraisal",'Project Initiation'!K4:K11,"No"),SUMIFS('Project Management'!D4:D84,'Project Management'!E4:E84,"Appraisal",'Project Management'!K4:K84,"No"),SUMIFS('Monitoring &amp; Control'!D4:D47,'Monitoring &amp; Control'!E4:E47,"Appraisal",'Monitoring &amp; Control'!K4:K47,"No"),SUMIFS(Requirements!D4:D17,Requirements!E4:E17,"Appraisal",Requirements!K4:K17,"No"),SUMIFS(Design!D4:D70,Design!E4:E70,"Appraisal",Design!K4:K70,"No"),SUMIFS(Testing!D4:D39,Testing!E4:E39,"Appraisal",Testing!K4:K39,"No"),SUMIFS(Delivery!D3:D5,Delivery!E3:E5,"Appraisal",Delivery!K3:K5,"No"),SUMIFS('Project Closure'!D4:D18,'Project Closure'!E4:E18,"Appraisal",'Project Closure'!K4:K18,"No"))</f>
        <v>0</v>
      </c>
      <c r="Q76" s="105"/>
      <c r="R76" s="105"/>
      <c r="S76" s="112">
        <f>SUM(SUMIFS('Project Initiation'!D4:D11,'Project Initiation'!E4:E11,"Appraisal",'Project Initiation'!L4:L11,"&lt;&gt;NA"),SUMIFS('Project Management'!D4:D84,'Project Management'!E4:E84,"Appraisal",'Project Management'!L4:L84,"&lt;&gt;NA"),SUMIFS('Monitoring &amp; Control'!D4:D47,'Monitoring &amp; Control'!E4:E47,"Appraisal",'Monitoring &amp; Control'!L4:L47,"&lt;&gt;NA"),SUMIFS(Requirements!D4:D17,Requirements!E4:E17,"Appraisal",Requirements!L4:L17,"&lt;&gt;NA"),SUMIFS(Design!D4:D70,Design!E4:E70,"Appraisal",Design!L4:L70,"&lt;&gt;NA"),SUMIFS(Testing!D4:D39,Testing!E4:E39,"Appraisal",Testing!L4:L39,"&lt;&gt;NA"),SUMIFS(Delivery!D3:D5,Delivery!E3:E5,"Appraisal",Delivery!L3:L5,"&lt;&gt;NA"),SUMIFS('Project Closure'!D4:D18,'Project Closure'!E4:E18,"Appraisal",'Project Closure'!L4:L18,"&lt;&gt;NA"))</f>
        <v>110</v>
      </c>
      <c r="T76" s="115">
        <f>SUM(SUMIFS('Project Initiation'!D4:D11,'Project Initiation'!E4:E11,"Appraisal",'Project Initiation'!L4:L11,"No"),SUMIFS('Project Management'!D4:D84,'Project Management'!E4:E84,"Appraisal",'Project Management'!L4:L84,"No"),SUMIFS('Monitoring &amp; Control'!D4:D47,'Monitoring &amp; Control'!E4:E47,"Appraisal",'Monitoring &amp; Control'!L4:L47,"No"),SUMIFS(Requirements!D4:D17,Requirements!E4:E17,"Appraisal",Requirements!L4:L17,"No"),SUMIFS(Design!D4:D70,Design!E4:E70,"Appraisal",Design!L4:L70,"No"),SUMIFS(Testing!D4:D39,Testing!E4:E39,"Appraisal",Testing!L4:L39,"No"),SUMIFS(Delivery!D3:D5,Delivery!E3:E5,"Appraisal",Delivery!L3:L5,"No"),SUMIFS('Project Closure'!D4:D18,'Project Closure'!E4:E18,"Appraisal",'Project Closure'!L4:L18,"No"))</f>
        <v>0</v>
      </c>
    </row>
    <row r="77" spans="1:22" x14ac:dyDescent="0.2">
      <c r="B77" s="104" t="s">
        <v>487</v>
      </c>
      <c r="C77" s="112">
        <f>SUM(SUMIFS('Project Initiation'!D4:D11,'Project Initiation'!E4:E11,"Internal Failure",'Project Initiation'!H4:H11,"&lt;&gt;NA"),SUMIFS('Project Management'!D4:D84,'Project Management'!E4:E84,"Internal Failure",'Project Management'!H4:H84,"&lt;&gt;NA"),SUMIFS('Monitoring &amp; Control'!D4:D47,'Monitoring &amp; Control'!E4:E47,"Internal Failure",'Monitoring &amp; Control'!H4:H47,"&lt;&gt;NA"),SUMIFS(Requirements!D4:D17,Requirements!E4:E17,"Internal Failure",Requirements!H4:H17,"&lt;&gt;NA"),SUMIFS(Design!D4:D70,Design!E4:E70,"Internal Failure",Design!H4:H70,"&lt;&gt;NA"),SUMIFS(Testing!D4:D39,Testing!E4:E39,"Internal Failure",Testing!H4:H39,"&lt;&gt;NA"),SUMIFS(Delivery!D3:D5,Delivery!E3:E5,"Internal Failure",Delivery!H3:H5,"&lt;&gt;NA"),SUMIFS('Project Closure'!D4:D18,'Project Closure'!E4:E18,"Internal Failure",'Project Closure'!H4:H18,"&lt;&gt;NA"))</f>
        <v>0</v>
      </c>
      <c r="D77" s="105">
        <f>SUM(SUMIFS('Project Initiation'!D4:D11,'Project Initiation'!E4:E11,"Internal Failure",'Project Initiation'!H4:H11,"No"),SUMIFS('Project Management'!D4:D84,'Project Management'!E4:E84,"Internal Failure",'Project Management'!H4:H84,"No"),SUMIFS('Monitoring &amp; Control'!D4:D47,'Monitoring &amp; Control'!E4:E47,"Internal Failure",'Monitoring &amp; Control'!H4:H47,"No"),SUMIFS(Requirements!D4:D17,Requirements!E4:E17,"Internal Failure",Requirements!H4:H17,"No"),SUMIFS(Design!D4:D70,Design!E4:E70,"Internal Failure",Design!H4:H70,"No"),SUMIFS(Testing!D4:D39,Testing!E4:E39,"Internal Failure",Testing!H4:H39,"No"),SUMIFS(Delivery!D3:D5,Delivery!E3:E5,"Internal Failure",Delivery!H3:H5,"No"),SUMIFS('Project Closure'!D4:D18,'Project Closure'!E4:E18,"Internal Failure",'Project Closure'!H4:H18,"No"))</f>
        <v>0</v>
      </c>
      <c r="E77" s="105"/>
      <c r="F77" s="105"/>
      <c r="G77" s="112">
        <f>SUM(SUMIFS('Project Initiation'!D4:D11,'Project Initiation'!E4:E11,"Internal Failure",'Project Initiation'!I4:I11,"&lt;&gt;NA"),SUMIFS('Project Management'!D4:D84,'Project Management'!E4:E84,"Internal Failure",'Project Management'!I4:I84,"&lt;&gt;NA"),SUMIFS('Monitoring &amp; Control'!D4:D47,'Monitoring &amp; Control'!E4:E47,"Internal Failure",'Monitoring &amp; Control'!I4:I47,"&lt;&gt;NA"),SUMIFS(Requirements!D4:D17,Requirements!E4:E17,"Internal Failure",Requirements!I4:I17,"&lt;&gt;NA"),SUMIFS(Design!D4:D70,Design!E4:E70,"Internal Failure",Design!I4:I70,"&lt;&gt;NA"),SUMIFS(Testing!D4:D39,Testing!E4:E39,"Internal Failure",Testing!I4:I39,"&lt;&gt;NA"),SUMIFS(Delivery!D3:D5,Delivery!E3:E5,"Internal Failure",Delivery!I3:I5,"&lt;&gt;NA"),SUMIFS('Project Closure'!D4:D18,'Project Closure'!E4:E18,"Internal Failure",'Project Closure'!I4:I18,"&lt;&gt;NA"))</f>
        <v>72</v>
      </c>
      <c r="H77" s="105">
        <f>SUM(SUMIFS('Project Initiation'!D4:D11,'Project Initiation'!E4:E11,"Internal Failure",'Project Initiation'!I4:I11,"No"),SUMIFS('Project Management'!D4:D84,'Project Management'!E4:E84,"Internal Failure",'Project Management'!I4:I84,"No"),SUMIFS('Monitoring &amp; Control'!D4:D47,'Monitoring &amp; Control'!E4:E47,"Internal Failure",'Monitoring &amp; Control'!I4:I47,"No"),SUMIFS(Requirements!D4:D17,Requirements!E4:E17,"Internal Failure",Requirements!I4:I17,"No"),SUMIFS(Design!D4:D70,Design!E4:E70,"Internal Failure",Design!I4:I70,"No"),SUMIFS(Testing!D4:D39,Testing!E4:E39,"Internal Failure",Testing!I4:I39,"No"),SUMIFS(Delivery!D3:D5,Delivery!E3:E5,"Internal Failure",Delivery!I3:I5,"No"),SUMIFS('Project Closure'!D4:D18,'Project Closure'!E4:E18,"Internal Failure",'Project Closure'!I4:I18,"No"))</f>
        <v>0</v>
      </c>
      <c r="I77" s="105"/>
      <c r="J77" s="105"/>
      <c r="K77" s="112">
        <f>SUM(SUMIFS('Project Initiation'!D4:D11,'Project Initiation'!E4:E11,"Internal Failure",'Project Initiation'!J4:J11,"&lt;&gt;NA"),SUMIFS('Project Management'!D4:D84,'Project Management'!E4:E84,"Internal Failure",'Project Management'!J4:J84,"&lt;&gt;NA"),SUMIFS('Monitoring &amp; Control'!D4:D47,'Monitoring &amp; Control'!E4:E47,"Internal Failure",'Monitoring &amp; Control'!J4:J47,"&lt;&gt;NA"),SUMIFS(Requirements!D4:D17,Requirements!E4:E17,"Internal Failure",Requirements!J4:J17,"&lt;&gt;NA"),SUMIFS(Design!D4:D70,Design!E4:E70,"Internal Failure",Design!J4:J70,"&lt;&gt;NA"),SUMIFS(Testing!D4:D39,Testing!E4:E39,"Internal Failure",Testing!J4:J39,"&lt;&gt;NA"),SUMIFS(Delivery!D3:D5,Delivery!E3:E5,"Internal Failure",Delivery!J3:J5,"&lt;&gt;NA"),SUMIFS('Project Closure'!D4:D18,'Project Closure'!E4:E18,"Internal Failure",'Project Closure'!J4:J18,"&lt;&gt;NA"))</f>
        <v>66</v>
      </c>
      <c r="L77" s="105">
        <f>SUM(SUMIFS('Project Initiation'!D4:D11,'Project Initiation'!E4:E11,"Internal Failure",'Project Initiation'!J4:J11,"No"),SUMIFS('Project Management'!D4:D84,'Project Management'!E4:E84,"Internal Failure",'Project Management'!J4:J84,"No"),SUMIFS('Monitoring &amp; Control'!D4:D47,'Monitoring &amp; Control'!E4:E47,"Internal Failure",'Monitoring &amp; Control'!J4:J47,"No"),SUMIFS(Requirements!D4:D17,Requirements!E4:E17,"Internal Failure",Requirements!J4:J17,"No"),SUMIFS(Design!D4:D70,Design!E4:E70,"Internal Failure",Design!J4:J70,"No"),SUMIFS(Testing!D4:D39,Testing!E4:E39,"Internal Failure",Testing!J4:J39,"No"),SUMIFS(Delivery!D3:D5,Delivery!E3:E5,"Internal Failure",Delivery!J3:J5,"No"),SUMIFS('Project Closure'!D4:D18,'Project Closure'!E4:E18,"Internal Failure",'Project Closure'!J4:J18,"No"))</f>
        <v>0</v>
      </c>
      <c r="M77" s="105"/>
      <c r="N77" s="105"/>
      <c r="O77" s="112">
        <f>SUM(SUMIFS('Project Initiation'!D4:D11,'Project Initiation'!E4:E11,"Internal Failure",'Project Initiation'!K4:K11,"&lt;&gt;NA"),SUMIFS('Project Management'!D4:D84,'Project Management'!E4:E84,"Internal Failure",'Project Management'!K4:K84,"&lt;&gt;NA"),SUMIFS('Monitoring &amp; Control'!D4:D47,'Monitoring &amp; Control'!E4:E47,"Internal Failure",'Monitoring &amp; Control'!K4:K47,"&lt;&gt;NA"),SUMIFS(Requirements!D4:D17,Requirements!E4:E17,"Internal Failure",Requirements!K4:K17,"&lt;&gt;NA"),SUMIFS(Design!D4:D70,Design!E4:E70,"Internal Failure",Design!K4:K70,"&lt;&gt;NA"),SUMIFS(Testing!D4:D39,Testing!E4:E39,"Internal Failure",Testing!K4:K39,"&lt;&gt;NA"),SUMIFS(Delivery!D3:D5,Delivery!E3:E5,"Internal Failure",Delivery!K3:K5,"&lt;&gt;NA"),SUMIFS('Project Closure'!D4:D18,'Project Closure'!E4:E18,"Internal Failure",'Project Closure'!K4:K18,"&lt;&gt;NA"))</f>
        <v>66</v>
      </c>
      <c r="P77" s="105">
        <f>SUM(SUMIFS('Project Initiation'!D4:D11,'Project Initiation'!E4:E11,"Internal Failure",'Project Initiation'!K4:K11,"No"),SUMIFS('Project Management'!D4:D84,'Project Management'!E4:E84,"Internal Failure",'Project Management'!K4:K84,"No"),SUMIFS('Monitoring &amp; Control'!D4:D47,'Monitoring &amp; Control'!E4:E47,"Internal Failure",'Monitoring &amp; Control'!K4:K47,"No"),SUMIFS(Requirements!D4:D17,Requirements!E4:E17,"Internal Failure",Requirements!K4:K17,"No"),SUMIFS(Design!D4:D70,Design!E4:E70,"Internal Failure",Design!K4:K70,"No"),SUMIFS(Testing!D4:D39,Testing!E4:E39,"Internal Failure",Testing!K4:K39,"No"),SUMIFS(Delivery!D3:D5,Delivery!E3:E5,"Internal Failure",Delivery!K3:K5,"No"),SUMIFS('Project Closure'!D4:D18,'Project Closure'!E4:E18,"Internal Failure",'Project Closure'!K4:K18,"No"))</f>
        <v>0</v>
      </c>
      <c r="Q77" s="105"/>
      <c r="R77" s="105"/>
      <c r="S77" s="112">
        <f>SUM(SUMIFS('Project Initiation'!D4:D11,'Project Initiation'!E4:E11,"Internal Failure",'Project Initiation'!L4:L11,"&lt;&gt;NA"),SUMIFS('Project Management'!D4:D84,'Project Management'!E4:E84,"Internal Failure",'Project Management'!L4:L84,"&lt;&gt;NA"),SUMIFS('Monitoring &amp; Control'!D4:D47,'Monitoring &amp; Control'!E4:E47,"Internal Failure",'Monitoring &amp; Control'!L4:L47,"&lt;&gt;NA"),SUMIFS(Requirements!D4:D17,Requirements!E4:E17,"Internal Failure",Requirements!L4:L17,"&lt;&gt;NA"),SUMIFS(Design!D4:D70,Design!E4:E70,"Internal Failure",Design!L4:L70,"&lt;&gt;NA"),SUMIFS(Testing!D4:D39,Testing!E4:E39,"Internal Failure",Testing!L4:L39,"&lt;&gt;NA"),SUMIFS(Delivery!D3:D5,Delivery!E3:E5,"Internal Failure",Delivery!L3:L5,"&lt;&gt;NA"),SUMIFS('Project Closure'!D4:D18,'Project Closure'!E4:E18,"Internal Failure",'Project Closure'!L4:L18,"&lt;&gt;NA"))</f>
        <v>66</v>
      </c>
      <c r="T77" s="115">
        <f>SUM(SUMIFS('Project Initiation'!D4:D11,'Project Initiation'!E4:E11,"Internal Failure",'Project Initiation'!L4:L11,"No"),SUMIFS('Project Management'!D4:D84,'Project Management'!E4:E84,"Internal Failure",'Project Management'!L4:L84,"No"),SUMIFS('Monitoring &amp; Control'!D4:D47,'Monitoring &amp; Control'!E4:E47,"Internal Failure",'Monitoring &amp; Control'!L4:L47,"No"),SUMIFS(Requirements!D4:D17,Requirements!E4:E17,"Internal Failure",Requirements!L4:L17,"No"),SUMIFS(Design!D4:D70,Design!E4:E70,"Internal Failure",Design!L4:L70,"No"),SUMIFS(Testing!D4:D39,Testing!E4:E39,"Internal Failure",Testing!L4:L39,"No"),SUMIFS(Delivery!D3:D5,Delivery!E3:E5,"Internal Failure",Delivery!L3:L5,"No"),SUMIFS('Project Closure'!D4:D18,'Project Closure'!E4:E18,"Internal Failure",'Project Closure'!L4:L18,"No"))</f>
        <v>0</v>
      </c>
    </row>
    <row r="78" spans="1:22" ht="13.5" thickBot="1" x14ac:dyDescent="0.25">
      <c r="B78" s="119" t="s">
        <v>488</v>
      </c>
      <c r="C78" s="113">
        <f>SUM(SUMIFS('Project Initiation'!D4:D11,'Project Initiation'!E4:E11,"External Failure",'Project Initiation'!H4:H11,"&lt;&gt;NA"),SUMIFS('Project Management'!D4:D84,'Project Management'!E4:E84,"External Failure",'Project Management'!H4:H84,"&lt;&gt;NA"),SUMIFS('Monitoring &amp; Control'!D4:D47,'Monitoring &amp; Control'!E4:E47,"External Failure",'Monitoring &amp; Control'!H4:H47,"&lt;&gt;NA"),SUMIFS(Requirements!D4:D17,Requirements!E4:E17,"External Failure",Requirements!H4:H17,"&lt;&gt;NA"),SUMIFS(Design!D4:D70,Design!E4:E70,"External Failure",Design!H4:H70,"&lt;&gt;NA"),SUMIFS(Testing!D4:D39,Testing!E4:E39,"External Failure",Testing!H4:H39,"&lt;&gt;NA"),SUMIFS(Delivery!D3:D5,Delivery!E3:E5,"External Failure",Delivery!H3:H5,"&lt;&gt;NA"),SUMIFS('Project Closure'!D4:D18,'Project Closure'!E4:E18,"External Failure",'Project Closure'!H4:H18,"&lt;&gt;NA"))</f>
        <v>0</v>
      </c>
      <c r="D78" s="109">
        <f>SUM(SUMIFS('Project Initiation'!D4:D11,'Project Initiation'!E4:E11,"External Failure",'Project Initiation'!H4:H11,"No"),SUMIFS('Project Management'!D4:D84,'Project Management'!E4:E84,"External Failure",'Project Management'!H4:H84,"No"),SUMIFS('Monitoring &amp; Control'!D4:D47,'Monitoring &amp; Control'!E4:E47,"External Failure",'Monitoring &amp; Control'!H4:H47,"No"),SUMIFS(Requirements!D4:D17,Requirements!E4:E17,"External Failure",Requirements!H4:H17,"No"),SUMIFS(Design!D4:D70,Design!E4:E70,"External Failure",Design!H4:H70,"No"),SUMIFS(Testing!D4:D39,Testing!E4:E39,"External Failure",Testing!H4:H39,"No"),SUMIFS(Delivery!D3:D5,Delivery!E3:E5,"External Failure",Delivery!H3:H5,"No"),SUMIFS('Project Closure'!D4:D18,'Project Closure'!E4:E18,"External Failure",'Project Closure'!H4:H18,"No"))</f>
        <v>0</v>
      </c>
      <c r="E78" s="109"/>
      <c r="F78" s="109"/>
      <c r="G78" s="113">
        <f>SUM(SUMIFS('Project Initiation'!D4:D11,'Project Initiation'!E4:E11,"External Failure",'Project Initiation'!I4:I11,"&lt;&gt;NA"),SUMIFS('Project Management'!D4:D84,'Project Management'!E4:E84,"External Failure",'Project Management'!I4:I84,"&lt;&gt;NA"),SUMIFS('Monitoring &amp; Control'!D4:D47,'Monitoring &amp; Control'!E4:E47,"External Failure",'Monitoring &amp; Control'!I4:I47,"&lt;&gt;NA"),SUMIFS(Requirements!D4:D17,Requirements!E4:E17,"External Failure",Requirements!I4:I17,"&lt;&gt;NA"),SUMIFS(Design!D4:D70,Design!E4:E70,"External Failure",Design!I4:I70,"&lt;&gt;NA"),SUMIFS(Testing!D4:D39,Testing!E4:E39,"External Failure",Testing!I4:I39,"&lt;&gt;NA"),SUMIFS(Delivery!D3:D5,Delivery!E3:E5,"External Failure",Delivery!I3:I5,"&lt;&gt;NA"),SUMIFS('Project Closure'!D4:D18,'Project Closure'!E4:E18,"External Failure",'Project Closure'!I4:I18,"&lt;&gt;NA"))</f>
        <v>0</v>
      </c>
      <c r="H78" s="109">
        <f>SUM(SUMIFS('Project Initiation'!D4:D11,'Project Initiation'!E4:E11,"External Failure",'Project Initiation'!I4:I11,"No"),SUMIFS('Project Management'!D4:D84,'Project Management'!E4:E84,"External Failure",'Project Management'!I4:I84,"No"),SUMIFS('Monitoring &amp; Control'!D4:D47,'Monitoring &amp; Control'!E4:E47,"External Failure",'Monitoring &amp; Control'!I4:I47,"No"),SUMIFS(Requirements!D4:D17,Requirements!E4:E17,"External Failure",Requirements!I4:I17,"No"),SUMIFS(Design!D4:D70,Design!E4:E70,"External Failure",Design!I4:I70,"No"),SUMIFS(Testing!D4:D39,Testing!E4:E39,"External Failure",Testing!I4:I39,"No"),SUMIFS(Delivery!D3:D5,Delivery!E3:E5,"External Failure",Delivery!I3:I5,"No"),SUMIFS('Project Closure'!D4:D18,'Project Closure'!E4:E18,"External Failure",'Project Closure'!I4:I18,"No"))</f>
        <v>0</v>
      </c>
      <c r="I78" s="109"/>
      <c r="J78" s="109"/>
      <c r="K78" s="113">
        <f>SUM(SUMIFS('Project Initiation'!D4:D11,'Project Initiation'!E4:E11,"External Failure",'Project Initiation'!J4:J11,"&lt;&gt;NA"),SUMIFS('Project Management'!D4:D84,'Project Management'!E4:E84,"External Failure",'Project Management'!J4:J84,"&lt;&gt;NA"),SUMIFS('Monitoring &amp; Control'!D4:D47,'Monitoring &amp; Control'!E4:E47,"External Failure",'Monitoring &amp; Control'!J4:J47,"&lt;&gt;NA"),SUMIFS(Requirements!D4:D17,Requirements!E4:E17,"External Failure",Requirements!J4:J17,"&lt;&gt;NA"),SUMIFS(Design!D4:D70,Design!E4:E70,"External Failure",Design!J4:J70,"&lt;&gt;NA"),SUMIFS(Testing!D4:D39,Testing!E4:E39,"External Failure",Testing!J4:J39,"&lt;&gt;NA"),SUMIFS(Delivery!D3:D5,Delivery!E3:E5,"External Failure",Delivery!J3:J5,"&lt;&gt;NA"),SUMIFS('Project Closure'!D4:D18,'Project Closure'!E4:E18,"External Failure",'Project Closure'!J4:J18,"&lt;&gt;NA"))</f>
        <v>0</v>
      </c>
      <c r="L78" s="109">
        <f>SUM(SUMIFS('Project Initiation'!D4:D11,'Project Initiation'!E4:E11,"External Failure",'Project Initiation'!J4:J11,"No"),SUMIFS('Project Management'!D4:D84,'Project Management'!E4:E84,"External Failure",'Project Management'!J4:J84,"No"),SUMIFS('Monitoring &amp; Control'!D4:D47,'Monitoring &amp; Control'!E4:E47,"External Failure",'Monitoring &amp; Control'!J4:J47,"No"),SUMIFS(Requirements!D4:D17,Requirements!E4:E17,"External Failure",Requirements!J4:J17,"No"),SUMIFS(Design!D4:D70,Design!E4:E70,"External Failure",Design!J4:J70,"No"),SUMIFS(Testing!D4:D39,Testing!E4:E39,"External Failure",Testing!J4:J39,"No"),SUMIFS(Delivery!D3:D5,Delivery!E3:E5,"External Failure",Delivery!J3:J5,"No"),SUMIFS('Project Closure'!D4:D18,'Project Closure'!E4:E18,"External Failure",'Project Closure'!J4:J18,"No"))</f>
        <v>0</v>
      </c>
      <c r="M78" s="109"/>
      <c r="N78" s="109"/>
      <c r="O78" s="113">
        <f>SUM(SUMIFS('Project Initiation'!D4:D11,'Project Initiation'!E4:E11,"External Failure",'Project Initiation'!K4:K11,"&lt;&gt;NA"),SUMIFS('Project Management'!D4:D84,'Project Management'!E4:E84,"External Failure",'Project Management'!K4:K84,"&lt;&gt;NA"),SUMIFS('Monitoring &amp; Control'!D4:D47,'Monitoring &amp; Control'!E4:E47,"External Failure",'Monitoring &amp; Control'!K4:K47,"&lt;&gt;NA"),SUMIFS(Requirements!D4:D17,Requirements!E4:E17,"External Failure",Requirements!K4:K17,"&lt;&gt;NA"),SUMIFS(Design!D4:D70,Design!E4:E70,"External Failure",Design!K4:K70,"&lt;&gt;NA"),SUMIFS(Testing!D4:D39,Testing!E4:E39,"External Failure",Testing!K4:K39,"&lt;&gt;NA"),SUMIFS(Delivery!D3:D5,Delivery!E3:E5,"External Failure",Delivery!K3:K5,"&lt;&gt;NA"),SUMIFS('Project Closure'!D4:D18,'Project Closure'!E4:E18,"External Failure",'Project Closure'!K4:K18,"&lt;&gt;NA"))</f>
        <v>0</v>
      </c>
      <c r="P78" s="109">
        <f>SUM(SUMIFS('Project Initiation'!D4:D11,'Project Initiation'!E4:E11,"External Failure",'Project Initiation'!K4:K11,"No"),SUMIFS('Project Management'!D4:D84,'Project Management'!E4:E84,"External Failure",'Project Management'!K4:K84,"No"),SUMIFS('Monitoring &amp; Control'!D4:D47,'Monitoring &amp; Control'!E4:E47,"External Failure",'Monitoring &amp; Control'!K4:K47,"No"),SUMIFS(Requirements!D4:D17,Requirements!E4:E17,"External Failure",Requirements!K4:K17,"No"),SUMIFS(Design!D4:D70,Design!E4:E70,"ExternalFailure",Design!K4:K70,"No"),SUMIFS(Testing!D4:D39,Testing!E4:E39,"External Failure",Testing!K4:K39,"No"),SUMIFS(Delivery!D3:D5,Delivery!E3:E5,"External Failure",Delivery!K3:K5,"No"),SUMIFS('Project Closure'!D4:D18,'Project Closure'!E4:E18,"External Failure",'Project Closure'!K4:K18,"No"))</f>
        <v>0</v>
      </c>
      <c r="Q78" s="109"/>
      <c r="R78" s="109"/>
      <c r="S78" s="113">
        <f>SUM(SUMIFS('Project Initiation'!D4:D11,'Project Initiation'!E4:E11,"External Failure",'Project Initiation'!L4:L11,"&lt;&gt;NA"),SUMIFS('Project Management'!D4:D84,'Project Management'!E4:E84,"External Failure",'Project Management'!L4:L84,"&lt;&gt;NA"),SUMIFS('Monitoring &amp; Control'!D4:D47,'Monitoring &amp; Control'!E4:E47,"External Failure",'Monitoring &amp; Control'!L4:L47,"&lt;&gt;NA"),SUMIFS(Requirements!D4:D17,Requirements!E4:E17,"External Failure",Requirements!L4:L17,"&lt;&gt;NA"),SUMIFS(Design!D4:D70,Design!E4:E70,"External Failure",Design!L4:L70,"&lt;&gt;NA"),SUMIFS(Testing!D4:D39,Testing!E4:E39,"External Failure",Testing!L4:L39,"&lt;&gt;NA"),SUMIFS(Delivery!D3:D5,Delivery!E3:E5,"External Failure",Delivery!L3:L5,"&lt;&gt;NA"),SUMIFS('Project Closure'!D4:D18,'Project Closure'!E4:E18,"External Failure",'Project Closure'!L4:L18,"&lt;&gt;NA"))</f>
        <v>0</v>
      </c>
      <c r="T78" s="149">
        <f>SUM(SUMIFS('Project Initiation'!D4:D11,'Project Initiation'!E4:E11,"External Failure",'Project Initiation'!L4:L11,"No"),SUMIFS('Project Management'!D4:D84,'Project Management'!E4:E84,"External Failure",'Project Management'!L4:L84,"No"),SUMIFS('Monitoring &amp; Control'!D4:D47,'Monitoring &amp; Control'!E4:E47,"External Failure",'Monitoring &amp; Control'!L4:L47,"No"),SUMIFS(Requirements!D4:D17,Requirements!E4:E17,"External Failure",Requirements!L4:L17,"No"),SUMIFS(Design!D4:D70,Design!E4:E70,"External Failure",Design!L4:L70,"No"),SUMIFS(Testing!D4:D39,Testing!E4:E39,"External Failure",Testing!L4:L39,"No"),SUMIFS(Delivery!D3:D5,Delivery!E3:E5,"External Failure",Delivery!L3:L5,"No"),SUMIFS('Project Closure'!D4:D18,'Project Closure'!E4:E18,"External Failure",'Project Closure'!L4:L18,"No"))</f>
        <v>0</v>
      </c>
    </row>
    <row r="80" spans="1:22" ht="13.5" thickBot="1" x14ac:dyDescent="0.25"/>
    <row r="81" spans="2:20" ht="39" thickBot="1" x14ac:dyDescent="0.25">
      <c r="B81" s="167" t="s">
        <v>146</v>
      </c>
      <c r="C81" s="163" t="s">
        <v>499</v>
      </c>
      <c r="D81" s="168" t="s">
        <v>243</v>
      </c>
      <c r="E81" s="169"/>
      <c r="F81" s="169"/>
      <c r="G81" s="163" t="s">
        <v>500</v>
      </c>
      <c r="H81" s="168" t="s">
        <v>244</v>
      </c>
      <c r="I81" s="169"/>
      <c r="J81" s="169"/>
      <c r="K81" s="163" t="s">
        <v>501</v>
      </c>
      <c r="L81" s="168" t="s">
        <v>251</v>
      </c>
      <c r="M81" s="169"/>
      <c r="N81" s="169"/>
      <c r="O81" s="163" t="s">
        <v>502</v>
      </c>
      <c r="P81" s="168" t="s">
        <v>252</v>
      </c>
      <c r="Q81" s="169"/>
      <c r="R81" s="169"/>
      <c r="S81" s="163" t="s">
        <v>503</v>
      </c>
      <c r="T81" s="170" t="s">
        <v>253</v>
      </c>
    </row>
    <row r="82" spans="2:20" x14ac:dyDescent="0.2">
      <c r="B82" s="164" t="s">
        <v>492</v>
      </c>
      <c r="C82" s="112">
        <f>SUM(SUMIFS('Project Initiation'!D4:D11,'Project Initiation'!F4:F11,"Plan",'Project Initiation'!H4:H11,"&lt;&gt;NA"),SUMIFS('Project Management'!D4:D84,'Project Management'!F4:F84,"Plan",'Project Management'!H4:H84,"&lt;&gt;NA"),SUMIFS('Monitoring &amp; Control'!D4:D47,'Monitoring &amp; Control'!F4:F47,"Plan",'Monitoring &amp; Control'!H4:H47,"&lt;&gt;NA"),SUMIFS(Requirements!D4:D17,Requirements!F4:F17,"Plan",Requirements!H4:H17,"&lt;&gt;NA"),SUMIFS(Design!D4:D70,Design!F4:F70,"Plan",Design!H4:H70,"&lt;&gt;NA"),SUMIFS(Testing!D4:D39,Testing!F4:F39,"Plan",Testing!H4:H39,"&lt;&gt;NA"),SUMIFS(Delivery!D3:D5,Delivery!F3:F5,"Plan",Delivery!H3:H5,"&lt;&gt;NA"),SUMIFS('Project Closure'!D4:D18,'Project Closure'!F4:F18,"Plan",'Project Closure'!H4:H18,"&lt;&gt;NA"))</f>
        <v>154</v>
      </c>
      <c r="D82" s="105">
        <f>SUM(SUMIFS('Project Initiation'!D4:D11,'Project Initiation'!F4:F11,"Plan",'Project Initiation'!H4:H11,"No"),SUMIFS('Project Management'!D4:D84,'Project Management'!F4:F84,"Plan",'Project Management'!H4:H84,"No"),SUMIFS('Monitoring &amp; Control'!D4:D47,'Monitoring &amp; Control'!F4:F47,"Plan",'Monitoring &amp; Control'!H4:H47,"No"),SUMIFS(Requirements!D4:D17,Requirements!F4:F17,"Plan",Requirements!H4:H17,"No"),SUMIFS(Design!D4:D70,Design!F4:F70,"Plan",Design!H4:H70,"No"),SUMIFS(Testing!D4:D39,Testing!F4:F39,"Plan",Testing!H4:H39,"No"),SUMIFS(Delivery!D3:D5,Delivery!F3:F5,"Plan",Delivery!H3:H5,"No"),SUMIFS('Project Closure'!D4:D18,'Project Closure'!F4:F18,"Plan",'Project Closure'!H4:H18,"No"))</f>
        <v>44</v>
      </c>
      <c r="E82" s="105"/>
      <c r="F82" s="105"/>
      <c r="G82" s="112">
        <f>SUM(SUMIFS('Project Initiation'!D4:D11,'Project Initiation'!F4:F11,"Plan",'Project Initiation'!I4:I11,"&lt;&gt;NA"),SUMIFS('Project Management'!D4:D84,'Project Management'!F4:F84,"Plan",'Project Management'!I4:I84,"&lt;&gt;NA"),SUMIFS('Monitoring &amp; Control'!D4:D47,'Monitoring &amp; Control'!F4:F47,"Plan",'Monitoring &amp; Control'!I4:I47,"&lt;&gt;NA"),SUMIFS(Requirements!D4:D17,Requirements!F4:F17,"Plan",Requirements!I4:I17,"&lt;&gt;NA"),SUMIFS(Design!D4:D70,Design!F4:F70,"Plan",Design!I4:I70,"&lt;&gt;NA"),SUMIFS(Testing!D4:D39,Testing!F4:F39,"Plan",Testing!I4:I39,"&lt;&gt;NA"),SUMIFS(Delivery!D3:D5,Delivery!F3:F5,"Plan",Delivery!I3:I5,"&lt;&gt;NA"),SUMIFS('Project Closure'!D4:D18,'Project Closure'!F4:F18,"Plan",'Project Closure'!I4:I18,"&lt;&gt;NA"))</f>
        <v>168</v>
      </c>
      <c r="H82" s="105">
        <f>SUM(SUMIFS('Project Initiation'!D4:D11,'Project Initiation'!F4:F11,"Plan",'Project Initiation'!I4:I11,"No"),SUMIFS('Project Management'!D4:D84,'Project Management'!F4:F84,"Plan",'Project Management'!I4:I84,"No"),SUMIFS('Monitoring &amp; Control'!D4:D47,'Monitoring &amp; Control'!F4:F47,"Plan",'Monitoring &amp; Control'!I4:I47,"No"),SUMIFS(Requirements!D4:D17,Requirements!F4:F17,"Plan",Requirements!I4:I17,"No"),SUMIFS(Design!D4:D70,Design!F4:F70,"Plan",Design!I4:I70,"No"),SUMIFS(Testing!D4:D39,Testing!F4:F39,"Plan",Testing!I4:I39,"No"),SUMIFS(Delivery!D3:D5,Delivery!F3:F5,"Plan",Delivery!I3:I5,"No"),SUMIFS('Project Closure'!D4:D18,'Project Closure'!F4:F18,"Plan",'Project Closure'!I4:I18,"No"))</f>
        <v>0</v>
      </c>
      <c r="I82" s="105"/>
      <c r="J82" s="105"/>
      <c r="K82" s="112">
        <f>SUM(SUMIFS('Project Initiation'!D4:D11,'Project Initiation'!F4:F11,"Plan",'Project Initiation'!J4:J11,"&lt;&gt;NA"),SUMIFS('Project Management'!D4:D84,'Project Management'!F4:F84,"Plan",'Project Management'!J4:J84,"&lt;&gt;NA"),SUMIFS('Monitoring &amp; Control'!D4:D47,'Monitoring &amp; Control'!F4:F47,"Plan",'Monitoring &amp; Control'!J4:J47,"&lt;&gt;NA"),SUMIFS(Requirements!D4:D17,Requirements!F4:F17,"Plan",Requirements!J4:J17,"&lt;&gt;NA"),SUMIFS(Design!D4:D70,Design!F4:F70,"Plan",Design!J4:J70,"&lt;&gt;NA"),SUMIFS(Testing!D4:D39,Testing!F4:F39,"Plan",Testing!J4:J39,"&lt;&gt;NA"),SUMIFS(Delivery!D3:D5,Delivery!F3:F5,"Plan",Delivery!J3:J5,"&lt;&gt;NA"),SUMIFS('Project Closure'!D4:D18,'Project Closure'!F4:F18,"Plan",'Project Closure'!J4:J18,"&lt;&gt;NA"))</f>
        <v>10</v>
      </c>
      <c r="L82" s="105">
        <f>SUM(SUMIFS('Project Initiation'!D4:D11,'Project Initiation'!F4:F11,"Plan",'Project Initiation'!J4:J11,"No"),SUMIFS('Project Management'!D4:D84,'Project Management'!F4:F84,"Plan",'Project Management'!J4:J84,"No"),SUMIFS('Monitoring &amp; Control'!D4:D47,'Monitoring &amp; Control'!F4:F47,"Plan",'Monitoring &amp; Control'!J4:J47,"No"),SUMIFS(Requirements!D4:D17,Requirements!F4:F17,"Plan",Requirements!J4:J17,"No"),SUMIFS(Design!D4:D70,Design!F4:F70,"Plan",Design!J4:J70,"No"),SUMIFS(Testing!D4:D39,Testing!F4:F39,"Plan",Testing!J4:J39,"No"),SUMIFS(Delivery!D3:D5,Delivery!F3:F5,"Plan",Delivery!J3:J5,"No"),SUMIFS('Project Closure'!D4:D18,'Project Closure'!F4:F18,"Plan",'Project Closure'!J4:J18,"No"))</f>
        <v>0</v>
      </c>
      <c r="M82" s="105"/>
      <c r="N82" s="105"/>
      <c r="O82" s="112">
        <f>SUM(SUMIFS('Project Initiation'!D4:D11,'Project Initiation'!F4:F11,"Plan",'Project Initiation'!K4:K11,"&lt;&gt;NA"),SUMIFS('Project Management'!D4:D84,'Project Management'!F4:F84,"Plan",'Project Management'!K4:K84,"&lt;&gt;NA"),SUMIFS('Monitoring &amp; Control'!D4:D47,'Monitoring &amp; Control'!F4:F47,"Plan",'Monitoring &amp; Control'!K4:K47,"&lt;&gt;NA"),SUMIFS(Requirements!D4:D17,Requirements!F4:F17,"Plan",Requirements!K4:K17,"&lt;&gt;NA"),SUMIFS(Design!D4:D70,Design!F4:F70,"Plan",Design!K4:K70,"&lt;&gt;NA"),SUMIFS(Testing!D4:D39,Testing!F4:F39,"Plan",Testing!K4:K39,"&lt;&gt;NA"),SUMIFS(Delivery!D3:D5,Delivery!F3:F5,"Plan",Delivery!K3:K5,"&lt;&gt;NA"),SUMIFS('Project Closure'!D4:D18,'Project Closure'!F4:F18,"Plan",'Project Closure'!K4:K18,"&lt;&gt;NA"))</f>
        <v>10</v>
      </c>
      <c r="P82" s="105">
        <f>SUM(SUMIFS('Project Initiation'!D4:D11,'Project Initiation'!F4:F11,"Plan",'Project Initiation'!K4:K11,"No"),SUMIFS('Project Management'!D4:D84,'Project Management'!F4:F84,"Plan",'Project Management'!K4:K84,"No"),SUMIFS('Monitoring &amp; Control'!D4:D47,'Monitoring &amp; Control'!F4:F47,"Plan",'Monitoring &amp; Control'!K4:K47,"No"),SUMIFS(Requirements!D4:D17,Requirements!F4:F17,"Plan",Requirements!K4:K17,"No"),SUMIFS(Design!D4:D70,Design!F4:F70,"Plan",Design!K4:K70,"No"),SUMIFS(Testing!D4:D39,Testing!F4:F39,"Plan",Testing!K4:K39,"No"),SUMIFS(Delivery!D3:D5,Delivery!F3:F5,"Plan",Delivery!K3:K5,"No"),SUMIFS('Project Closure'!D4:D18,'Project Closure'!F4:F18,"Plan",'Project Closure'!K4:K18,"No"))</f>
        <v>0</v>
      </c>
      <c r="Q82" s="105"/>
      <c r="R82" s="105"/>
      <c r="S82" s="112">
        <f>SUM(SUMIFS('Project Initiation'!D4:D11,'Project Initiation'!F4:F11,"Plan",'Project Initiation'!L4:L11,"&lt;&gt;NA"),SUMIFS('Project Management'!D4:D84,'Project Management'!F4:F84,"Plan",'Project Management'!L4:L84,"&lt;&gt;NA"),SUMIFS('Monitoring &amp; Control'!D4:D47,'Monitoring &amp; Control'!F4:F47,"Plan",'Monitoring &amp; Control'!L4:L47,"&lt;&gt;NA"),SUMIFS(Requirements!D4:D17,Requirements!F4:F17,"Plan",Requirements!L4:L17,"&lt;&gt;NA"),SUMIFS(Design!D4:D70,Design!F4:F70,"Plan",Design!L4:L70,"&lt;&gt;NA"),SUMIFS(Testing!D4:D39,Testing!F4:F39,"Plan",Testing!L4:L39,"&lt;&gt;NA"),SUMIFS(Delivery!D3:D5,Delivery!F3:F5,"Plan",Delivery!L3:L5,"&lt;&gt;NA"),SUMIFS('Project Closure'!D4:D18,'Project Closure'!F4:F18,"Plan",'Project Closure'!L4:L18,"&lt;&gt;NA"))</f>
        <v>10</v>
      </c>
      <c r="T82" s="108">
        <f>SUM(SUMIFS('Project Initiation'!D4:D11,'Project Initiation'!F4:F11,"Plan",'Project Initiation'!L4:L11,"No"),SUMIFS('Project Management'!D4:D84,'Project Management'!F4:F84,"Plan",'Project Management'!L4:L84,"No"),SUMIFS('Monitoring &amp; Control'!D4:D47,'Monitoring &amp; Control'!F4:F47,"Plan",'Monitoring &amp; Control'!L4:L47,"No"),SUMIFS(Requirements!D4:D17,Requirements!F4:F17,"Plan",Requirements!L4:L17,"No"),SUMIFS(Design!D4:D70,Design!F4:F70,"Plan",Design!L4:L70,"No"),SUMIFS(Testing!D4:D39,Testing!F4:F39,"Plan",Testing!L4:L39,"No"),SUMIFS(Delivery!D3:D5,Delivery!F3:F5,"Plan",Delivery!L3:L5,"No"),SUMIFS('Project Closure'!D4:D18,'Project Closure'!F4:F18,"Plan",'Project Closure'!L4:L18,"No"))</f>
        <v>0</v>
      </c>
    </row>
    <row r="83" spans="2:20" x14ac:dyDescent="0.2">
      <c r="B83" s="165" t="s">
        <v>496</v>
      </c>
      <c r="C83" s="112">
        <f>SUM(SUMIFS('Project Initiation'!D4:D11,'Project Initiation'!F4:F11,"Do",'Project Initiation'!H4:H11,"&lt;&gt;NA"),SUMIFS('Project Management'!D4:D84,'Project Management'!F4:F84,"Do",'Project Management'!H4:H84,"&lt;&gt;NA"),SUMIFS('Monitoring &amp; Control'!D4:D47,'Monitoring &amp; Control'!F4:F47,"Do",'Monitoring &amp; Control'!H4:H47,"&lt;&gt;NA"),SUMIFS(Requirements!D4:D17,Requirements!F4:F17,"Do",Requirements!H4:H17,"&lt;&gt;NA"),SUMIFS(Design!D4:D70,Design!F4:F70,"Do",Design!H4:H70,"&lt;&gt;NA"),SUMIFS(Testing!D4:D39,Testing!F4:F39,"Do",Testing!H4:H39,"&lt;&gt;NA"),SUMIFS(Delivery!D3:D5,Delivery!F3:F5,"Do",Delivery!H3:H5,"&lt;&gt;NA"),SUMIFS('Project Closure'!D4:D18,'Project Closure'!F4:F18,"Do",'Project Closure'!H4:H18,"&lt;&gt;NA"))</f>
        <v>73</v>
      </c>
      <c r="D83" s="105">
        <f>SUM(SUMIFS('Project Initiation'!D4:D11,'Project Initiation'!F4:F11,"Do",'Project Initiation'!H4:H11,"No"),SUMIFS('Project Management'!D4:D84,'Project Management'!F4:F84,"Do",'Project Management'!H4:H84,"No"),SUMIFS('Monitoring &amp; Control'!D4:D47,'Monitoring &amp; Control'!F4:F47,"Do",'Monitoring &amp; Control'!H4:H47,"No"),SUMIFS(Requirements!D4:D17,Requirements!F4:F17,"Do",Requirements!H4:H17,"No"),SUMIFS(Design!D4:D70,Design!F4:F70,"Do",Design!H4:H70,"No"),SUMIFS(Testing!D4:D39,Testing!F4:F39,"Do",Testing!H4:H39,"No"),SUMIFS(Delivery!D3:D5,Delivery!F3:F5,"Do",Delivery!H3:H5,"No"),SUMIFS('Project Closure'!D4:D18,'Project Closure'!F4:F18,"Do",'Project Closure'!H4:H18,"No"))</f>
        <v>25</v>
      </c>
      <c r="E83" s="105"/>
      <c r="F83" s="105"/>
      <c r="G83" s="112">
        <f>SUM(SUMIFS('Project Initiation'!D4:D11,'Project Initiation'!F4:F11,"Do",'Project Initiation'!I4:I11,"&lt;&gt;NA"),SUMIFS('Project Management'!D4:D84,'Project Management'!F4:F84,"Do",'Project Management'!I4:I84,"&lt;&gt;NA"),SUMIFS('Monitoring &amp; Control'!D4:D47,'Monitoring &amp; Control'!F4:F47,"Do",'Monitoring &amp; Control'!I4:I47,"&lt;&gt;NA"),SUMIFS(Requirements!D4:D17,Requirements!F4:F17,"Do",Requirements!I4:I17,"&lt;&gt;NA"),SUMIFS(Design!D4:D70,Design!F4:F70,"Do",Design!I4:I70,"&lt;&gt;NA"),SUMIFS(Testing!D4:D39,Testing!F4:F39,"Do",Testing!I4:I39,"&lt;&gt;NA"),SUMIFS(Delivery!D3:D5,Delivery!F3:F5,"Do",Delivery!I3:I5,"&lt;&gt;NA"),SUMIFS('Project Closure'!D4:D18,'Project Closure'!F4:F18,"Do",'Project Closure'!I4:I18,"&lt;&gt;NA"))</f>
        <v>124</v>
      </c>
      <c r="H83" s="105">
        <f>SUM(SUMIFS('Project Initiation'!D4:D11,'Project Initiation'!F4:F11,"Do",'Project Initiation'!I4:I11,"No"),SUMIFS('Project Management'!D4:D84,'Project Management'!F4:F84,"Do",'Project Management'!I4:I84,"No"),SUMIFS('Monitoring &amp; Control'!D4:D47,'Monitoring &amp; Control'!F4:F47,"Do",'Monitoring &amp; Control'!I4:I47,"No"),SUMIFS(Requirements!D4:D17,Requirements!F4:F17,"Do",Requirements!I4:I17,"No"),SUMIFS(Design!D4:D70,Design!F4:F70,"Do",Design!I4:I70,"No"),SUMIFS(Testing!D4:D39,Testing!F4:F39,"Do",Testing!I4:I39,"No"),SUMIFS(Delivery!D3:D5,Delivery!F3:F5,"Do",Delivery!I3:I5,"No"),SUMIFS('Project Closure'!D4:D18,'Project Closure'!F4:F18,"Do",'Project Closure'!I4:I18,"No"))</f>
        <v>0</v>
      </c>
      <c r="I83" s="105"/>
      <c r="J83" s="105"/>
      <c r="K83" s="112">
        <f>SUM(SUMIFS('Project Initiation'!D4:D11,'Project Initiation'!F4:F11,"Do",'Project Initiation'!J4:J11,"&lt;&gt;NA"),SUMIFS('Project Management'!D4:D84,'Project Management'!F4:F84,"Do",'Project Management'!J4:J84,"&lt;&gt;NA"),SUMIFS('Monitoring &amp; Control'!D4:D47,'Monitoring &amp; Control'!F4:F47,"Do",'Monitoring &amp; Control'!J4:J47,"&lt;&gt;NA"),SUMIFS(Requirements!D4:D17,Requirements!F4:F17,"Do",Requirements!J4:J17,"&lt;&gt;NA"),SUMIFS(Design!D4:D70,Design!F4:F70,"Do",Design!J4:J70,"&lt;&gt;NA"),SUMIFS(Testing!D4:D39,Testing!F4:F39,"Do",Testing!J4:J39,"&lt;&gt;NA"),SUMIFS(Delivery!D3:D5,Delivery!F3:F5,"Do",Delivery!J3:J5,"&lt;&gt;NA"),SUMIFS('Project Closure'!D4:D18,'Project Closure'!F4:F18,"Do",'Project Closure'!J4:J18,"&lt;&gt;NA"))</f>
        <v>81</v>
      </c>
      <c r="L83" s="105">
        <f>SUM(SUMIFS('Project Initiation'!D4:D11,'Project Initiation'!F4:F11,"Do",'Project Initiation'!J4:J11,"No"),SUMIFS('Project Management'!D4:D84,'Project Management'!F4:F84,"Do",'Project Management'!J4:J84,"No"),SUMIFS('Monitoring &amp; Control'!D4:D47,'Monitoring &amp; Control'!F4:F47,"Do",'Monitoring &amp; Control'!J4:J47,"No"),SUMIFS(Requirements!D4:D17,Requirements!F4:F17,"Do",Requirements!J4:J17,"No"),SUMIFS(Design!D4:D70,Design!F4:F70,"Do",Design!J4:J70,"No"),SUMIFS(Testing!D4:D39,Testing!F4:F39,"Do",Testing!J4:J39,"No"),SUMIFS(Delivery!D3:D5,Delivery!F3:F5,"Do",Delivery!J3:J5,"No"),SUMIFS('Project Closure'!D4:D18,'Project Closure'!F4:F18,"Do",'Project Closure'!J4:J18,"No"))</f>
        <v>0</v>
      </c>
      <c r="M83" s="105"/>
      <c r="N83" s="105"/>
      <c r="O83" s="112">
        <f>SUM(SUMIFS('Project Initiation'!D4:D11,'Project Initiation'!F4:F11,"Do",'Project Initiation'!K4:K11,"&lt;&gt;NA"),SUMIFS('Project Management'!D4:D84,'Project Management'!F4:F84,"Do",'Project Management'!K4:K84,"&lt;&gt;NA"),SUMIFS('Monitoring &amp; Control'!D4:D47,'Monitoring &amp; Control'!F4:F47,"Do",'Monitoring &amp; Control'!K4:K47,"&lt;&gt;NA"),SUMIFS(Requirements!D4:D17,Requirements!F4:F17,"Do",Requirements!K4:K17,"&lt;&gt;NA"),SUMIFS(Design!D4:D70,Design!F4:F70,"Do",Design!K4:K70,"&lt;&gt;NA"),SUMIFS(Testing!D4:D39,Testing!F4:F39,"Do",Testing!K4:K39,"&lt;&gt;NA"),SUMIFS(Delivery!D3:D5,Delivery!F3:F5,"Do",Delivery!K3:K5,"&lt;&gt;NA"),SUMIFS('Project Closure'!D4:D18,'Project Closure'!F4:F18,"Do",'Project Closure'!K4:K18,"&lt;&gt;NA"))</f>
        <v>81</v>
      </c>
      <c r="P83" s="105">
        <f>SUM(SUMIFS('Project Initiation'!D4:D11,'Project Initiation'!F4:F11,"Do",'Project Initiation'!K4:K11,"No"),SUMIFS('Project Management'!D4:D84,'Project Management'!F4:F84,"Do",'Project Management'!K4:K84,"No"),SUMIFS('Monitoring &amp; Control'!D4:D47,'Monitoring &amp; Control'!F4:F47,"Do",'Monitoring &amp; Control'!K4:K47,"No"),SUMIFS(Requirements!D4:D17,Requirements!F4:F17,"Do",Requirements!K4:K17,"No"),SUMIFS(Design!D4:D70,Design!F4:F70,"Do",Design!K4:K70,"No"),SUMIFS(Testing!D4:D39,Testing!F4:F39,"Do",Testing!K4:K39,"No"),SUMIFS(Delivery!D3:D5,Delivery!F3:F5,"Do",Delivery!K3:K5,"No"),SUMIFS('Project Closure'!D4:D18,'Project Closure'!F4:F18,"Do",'Project Closure'!K4:K18,"No"))</f>
        <v>0</v>
      </c>
      <c r="Q83" s="105"/>
      <c r="R83" s="105"/>
      <c r="S83" s="112">
        <f>SUM(SUMIFS('Project Initiation'!D4:D11,'Project Initiation'!F4:F11,"Do",'Project Initiation'!L4:L11,"&lt;&gt;NA"),SUMIFS('Project Management'!D4:D84,'Project Management'!F4:F84,"Do",'Project Management'!L4:L84,"&lt;&gt;NA"),SUMIFS('Monitoring &amp; Control'!D4:D47,'Monitoring &amp; Control'!F4:F47,"Do",'Monitoring &amp; Control'!L4:L47,"&lt;&gt;NA"),SUMIFS(Requirements!D4:D17,Requirements!F4:F17,"Do",Requirements!L4:L17,"&lt;&gt;NA"),SUMIFS(Design!D4:D70,Design!F4:F70,"Do",Design!L4:L70,"&lt;&gt;NA"),SUMIFS(Testing!D4:D39,Testing!F4:F39,"Do",Testing!L4:L39,"&lt;&gt;NA"),SUMIFS(Delivery!D3:D5,Delivery!F3:F5,"Do",Delivery!L3:L5,"&lt;&gt;NA"),SUMIFS('Project Closure'!D4:D18,'Project Closure'!F4:F18,"Do",'Project Closure'!L4:L18,"&lt;&gt;NA"))</f>
        <v>81</v>
      </c>
      <c r="T83" s="108">
        <f>SUM(SUMIFS('Project Initiation'!D4:D11,'Project Initiation'!F4:F11,"Do",'Project Initiation'!L4:L11,"No"),SUMIFS('Project Management'!D4:D84,'Project Management'!F4:F84,"Do",'Project Management'!L4:L84,"No"),SUMIFS('Monitoring &amp; Control'!D4:D47,'Monitoring &amp; Control'!F4:F47,"Do",'Monitoring &amp; Control'!L4:L47,"No"),SUMIFS(Requirements!D4:D17,Requirements!F4:F17,"Do",Requirements!L4:L17,"No"),SUMIFS(Design!D4:D70,Design!F4:F70,"Do",Design!L4:L70,"No"),SUMIFS(Testing!D4:D39,Testing!F4:F39,"Do",Testing!L4:L39,"No"),SUMIFS(Delivery!D3:D5,Delivery!F3:F5,"Do",Delivery!L3:L5,"No"),SUMIFS('Project Closure'!D4:D18,'Project Closure'!F4:F18,"Do",'Project Closure'!L4:L18,"No"))</f>
        <v>0</v>
      </c>
    </row>
    <row r="84" spans="2:20" x14ac:dyDescent="0.2">
      <c r="B84" s="165" t="s">
        <v>497</v>
      </c>
      <c r="C84" s="112">
        <f>SUM(SUMIFS('Project Initiation'!D4:D11,'Project Initiation'!F4:F11,"Check",'Project Initiation'!H4:H11,"&lt;&gt;NA"),SUMIFS('Project Management'!D4:D84,'Project Management'!F4:F84,"Check",'Project Management'!H4:H84,"&lt;&gt;NA"),SUMIFS('Monitoring &amp; Control'!D4:D47,'Monitoring &amp; Control'!F4:F47,"Check",'Monitoring &amp; Control'!H4:H47,"&lt;&gt;NA"),SUMIFS(Requirements!D4:D17,Requirements!F4:F17,"Check",Requirements!H4:H17,"&lt;&gt;NA"),SUMIFS(Design!D4:D70,Design!F4:F70,"Check",Design!H4:H70,"&lt;&gt;NA"),SUMIFS(Testing!D4:D39,Testing!F4:F39,"Check",Testing!H4:H39,"&lt;&gt;NA"),SUMIFS(Delivery!D3:D5,Delivery!F3:F5,"Check",Delivery!H3:H5,"&lt;&gt;NA"),SUMIFS('Project Closure'!D4:D18,'Project Closure'!F4:F18,"Check",'Project Closure'!H4:H18,"&lt;&gt;NA"))</f>
        <v>61</v>
      </c>
      <c r="D84" s="105">
        <f>SUM(SUMIFS('Project Initiation'!D4:D11,'Project Initiation'!F4:F11,"Check",'Project Initiation'!H4:H11,"No"),SUMIFS('Project Management'!D4:D84,'Project Management'!F4:F84,"Check",'Project Management'!H4:H84,"No"),SUMIFS('Monitoring &amp; Control'!D4:D47,'Monitoring &amp; Control'!F4:F47,"Check",'Monitoring &amp; Control'!H4:H47,"No"),SUMIFS(Requirements!D4:D17,Requirements!F4:F17,"Check",Requirements!H4:H17,"No"),SUMIFS(Design!D4:D70,Design!F4:F70,"Check",Design!H4:H70,"No"),SUMIFS(Testing!D4:D39,Testing!F4:F39,"Check",Testing!H4:H39,"No"),SUMIFS(Delivery!D3:D5,Delivery!F3:F5,"Check",Delivery!H3:H5,"No"),SUMIFS('Project Closure'!D4:D18,'Project Closure'!F4:F18,"Check",'Project Closure'!H4:H18,"No"))</f>
        <v>38</v>
      </c>
      <c r="E84" s="105"/>
      <c r="F84" s="105"/>
      <c r="G84" s="112">
        <f>SUM(SUMIFS('Project Initiation'!D4:D11,'Project Initiation'!F4:F11,"Check",'Project Initiation'!I4:I11,"&lt;&gt;NA"),SUMIFS('Project Management'!D4:D84,'Project Management'!F4:F84,"Check",'Project Management'!I4:I84,"&lt;&gt;NA"),SUMIFS('Monitoring &amp; Control'!D4:D47,'Monitoring &amp; Control'!F4:F47,"Check",'Monitoring &amp; Control'!I4:I47,"&lt;&gt;NA"),SUMIFS(Requirements!D4:D17,Requirements!F4:F17,"Check",Requirements!I4:I17,"&lt;&gt;NA"),SUMIFS(Design!D4:D70,Design!F4:F70,"Check",Design!I4:I70,"&lt;&gt;NA"),SUMIFS(Testing!D4:D39,Testing!F4:F39,"Check",Testing!I4:I39,"&lt;&gt;NA"),SUMIFS(Delivery!D3:D5,Delivery!F3:F5,"Check",Delivery!I3:I5,"&lt;&gt;NA"),SUMIFS('Project Closure'!D4:D18,'Project Closure'!F4:F18,"Check",'Project Closure'!I4:I18,"&lt;&gt;NA"))</f>
        <v>258</v>
      </c>
      <c r="H84" s="105">
        <f>SUM(SUMIFS('Project Initiation'!D4:D11,'Project Initiation'!F4:F11,"Check",'Project Initiation'!I4:I11,"No"),SUMIFS('Project Management'!D4:D84,'Project Management'!F4:F84,"Check",'Project Management'!I4:I84,"No"),SUMIFS('Monitoring &amp; Control'!D4:D47,'Monitoring &amp; Control'!F4:F47,"Check",'Monitoring &amp; Control'!I4:I47,"No"),SUMIFS(Requirements!D4:D17,Requirements!F4:F17,"Check",Requirements!I4:I17,"No"),SUMIFS(Design!D4:D70,Design!F4:F70,"Check",Design!I4:I70,"No"),SUMIFS(Testing!D4:D39,Testing!F4:F39,"Check",Testing!I4:I39,"No"),SUMIFS(Delivery!D3:D5,Delivery!F3:F5,"Check",Delivery!I3:I5,"No"),SUMIFS('Project Closure'!D4:D18,'Project Closure'!F4:F18,"Check",'Project Closure'!I4:I18,"No"))</f>
        <v>0</v>
      </c>
      <c r="I84" s="105"/>
      <c r="J84" s="105"/>
      <c r="K84" s="112">
        <f>SUM(SUMIFS('Project Initiation'!D4:D11,'Project Initiation'!F4:F11,"Check",'Project Initiation'!J4:J11,"&lt;&gt;NA"),SUMIFS('Project Management'!D4:D84,'Project Management'!F4:F84,"Check",'Project Management'!J4:J84,"&lt;&gt;NA"),SUMIFS('Monitoring &amp; Control'!D4:D47,'Monitoring &amp; Control'!F4:F47,"Check",'Monitoring &amp; Control'!J4:J47,"&lt;&gt;NA"),SUMIFS(Requirements!D4:D17,Requirements!F4:F17,"Check",Requirements!J4:J17,"&lt;&gt;NA"),SUMIFS(Design!D4:D70,Design!F4:F70,"Check",Design!J4:J70,"&lt;&gt;NA"),SUMIFS(Testing!D4:D39,Testing!F4:F39,"Check",Testing!J4:J39,"&lt;&gt;NA"),SUMIFS(Delivery!D3:D5,Delivery!F3:F5,"Check",Delivery!J3:J5,"&lt;&gt;NA"),SUMIFS('Project Closure'!D4:D18,'Project Closure'!F4:F18,"Check",'Project Closure'!J4:J18,"&lt;&gt;NA"))</f>
        <v>224</v>
      </c>
      <c r="L84" s="105">
        <f>SUM(SUMIFS('Project Initiation'!D4:D11,'Project Initiation'!F4:F11,"Check",'Project Initiation'!J4:J11,"No"),SUMIFS('Project Management'!D4:D84,'Project Management'!F4:F84,"Check",'Project Management'!J4:J84,"No"),SUMIFS('Monitoring &amp; Control'!D4:D47,'Monitoring &amp; Control'!F4:F47,"Check",'Monitoring &amp; Control'!J4:J47,"No"),SUMIFS(Requirements!D4:D17,Requirements!F4:F17,"Check",Requirements!J4:J17,"No"),SUMIFS(Design!D4:D70,Design!F4:F70,"Check",Design!J4:J70,"No"),SUMIFS(Testing!D4:D39,Testing!F4:F39,"Check",Testing!J4:J39,"No"),SUMIFS(Delivery!D3:D5,Delivery!F3:F5,"Check",Delivery!J3:J5,"No"),SUMIFS('Project Closure'!D4:D18,'Project Closure'!F4:F18,"Check",'Project Closure'!J4:J18,"No"))</f>
        <v>0</v>
      </c>
      <c r="M84" s="105"/>
      <c r="N84" s="105"/>
      <c r="O84" s="112">
        <f>SUM(SUMIFS('Project Initiation'!D4:D11,'Project Initiation'!F4:F11,"Check",'Project Initiation'!K4:K11,"&lt;&gt;NA"),SUMIFS('Project Management'!D4:D84,'Project Management'!F4:F84,"Check",'Project Management'!K4:K84,"&lt;&gt;NA"),SUMIFS('Monitoring &amp; Control'!D4:D47,'Monitoring &amp; Control'!F4:F47,"Check",'Monitoring &amp; Control'!K4:K47,"&lt;&gt;NA"),SUMIFS(Requirements!D4:D17,Requirements!F4:F17,"Check",Requirements!K4:K17,"&lt;&gt;NA"),SUMIFS(Design!D4:D70,Design!F4:F70,"Check",Design!K4:K70,"&lt;&gt;NA"),SUMIFS(Testing!D4:D39,Testing!F4:F39,"Check",Testing!K4:K39,"&lt;&gt;NA"),SUMIFS(Delivery!D3:D5,Delivery!F3:F5,"Check",Delivery!K3:K5,"&lt;&gt;NA"),SUMIFS('Project Closure'!D4:D18,'Project Closure'!F4:F18,"Check",'Project Closure'!K4:K18,"&lt;&gt;NA"))</f>
        <v>224</v>
      </c>
      <c r="P84" s="105">
        <f>SUM(SUMIFS('Project Initiation'!D4:D11,'Project Initiation'!F4:F11,"Check",'Project Initiation'!K4:K11,"No"),SUMIFS('Project Management'!D4:D84,'Project Management'!F4:F84,"Check",'Project Management'!K4:K84,"No"),SUMIFS('Monitoring &amp; Control'!D4:D47,'Monitoring &amp; Control'!F4:F47,"Check",'Monitoring &amp; Control'!K4:K47,"No"),SUMIFS(Requirements!D4:D17,Requirements!F4:F17,"Check",Requirements!K4:K17,"No"),SUMIFS(Design!D4:D70,Design!F4:F70,"Check",Design!K4:K70,"No"),SUMIFS(Testing!D4:D39,Testing!F4:F39,"Check",Testing!K4:K39,"No"),SUMIFS(Delivery!D3:D5,Delivery!F3:F5,"Check",Delivery!K3:K5,"No"),SUMIFS('Project Closure'!D4:D18,'Project Closure'!F4:F18,"Check",'Project Closure'!K4:K18,"No"))</f>
        <v>0</v>
      </c>
      <c r="Q84" s="105"/>
      <c r="R84" s="105"/>
      <c r="S84" s="112">
        <f>SUM(SUMIFS('Project Initiation'!D4:D11,'Project Initiation'!F4:F11,"Check",'Project Initiation'!L4:L11,"&lt;&gt;NA"),SUMIFS('Project Management'!D4:D84,'Project Management'!F4:F84,"Check",'Project Management'!L4:L84,"&lt;&gt;NA"),SUMIFS('Monitoring &amp; Control'!D4:D47,'Monitoring &amp; Control'!F4:F47,"Check",'Monitoring &amp; Control'!L4:L47,"&lt;&gt;NA"),SUMIFS(Requirements!D4:D17,Requirements!F4:F17,"Check",Requirements!L4:L17,"&lt;&gt;NA"),SUMIFS(Design!D4:D70,Design!F4:F70,"Check",Design!L4:L70,"&lt;&gt;NA"),SUMIFS(Testing!D4:D39,Testing!F4:F39,"Check",Testing!L4:L39,"&lt;&gt;NA"),SUMIFS(Delivery!D3:D5,Delivery!F3:F5,"Check",Delivery!L3:L5,"&lt;&gt;NA"),SUMIFS('Project Closure'!D4:D18,'Project Closure'!F4:F18,"Check",'Project Closure'!L4:L18,"&lt;&gt;NA"))</f>
        <v>224</v>
      </c>
      <c r="T84" s="108">
        <f>SUM(SUMIFS('Project Initiation'!D4:D11,'Project Initiation'!F4:F11,"Check",'Project Initiation'!L4:L11,"No"),SUMIFS('Project Management'!D4:D84,'Project Management'!F4:F84,"Check",'Project Management'!L4:L84,"No"),SUMIFS('Monitoring &amp; Control'!D4:D47,'Monitoring &amp; Control'!F4:F47,"Check",'Monitoring &amp; Control'!L4:L47,"No"),SUMIFS(Requirements!D4:D17,Requirements!F4:F17,"Check",Requirements!L4:L17,"No"),SUMIFS(Design!D4:D70,Design!F4:F70,"Check",Design!L4:L70,"No"),SUMIFS(Testing!D4:D39,Testing!F4:F39,"Check",Testing!L4:L39,"No"),SUMIFS(Delivery!D3:D5,Delivery!F3:F5,"Check",Delivery!L3:L5,"No"),SUMIFS('Project Closure'!D4:D18,'Project Closure'!F4:F18,"Check",'Project Closure'!L4:L18,"No"))</f>
        <v>0</v>
      </c>
    </row>
    <row r="85" spans="2:20" ht="13.5" thickBot="1" x14ac:dyDescent="0.25">
      <c r="B85" s="166" t="s">
        <v>498</v>
      </c>
      <c r="C85" s="113">
        <f>SUM(SUMIFS('Project Initiation'!D4:D11,'Project Initiation'!F4:F11,"Act",'Project Initiation'!H4:H11,"&lt;&gt;NA"),SUMIFS('Project Management'!D4:D84,'Project Management'!F4:F84,"Act",'Project Management'!H4:H84,"&lt;&gt;NA"),SUMIFS('Monitoring &amp; Control'!D4:D47,'Monitoring &amp; Control'!F4:F47,"Act",'Monitoring &amp; Control'!H4:H47,"&lt;&gt;NA"),SUMIFS(Requirements!D4:D17,Requirements!F4:F17,"Act",Requirements!H4:H17,"&lt;&gt;NA"),SUMIFS(Design!D4:D70,Design!F4:F70,"Act",Design!H4:H70,"&lt;&gt;NA"),SUMIFS(Testing!D4:D39,Testing!F4:F39,"Act",Testing!H4:H39,"&lt;&gt;NA"),SUMIFS(Delivery!D3:D5,Delivery!F3:F5,"Act",Delivery!H3:H5,"&lt;&gt;NA"),SUMIFS('Project Closure'!D4:D18,'Project Closure'!F4:F18,"Act",'Project Closure'!H4:H18,"&lt;&gt;NA"))</f>
        <v>5</v>
      </c>
      <c r="D85" s="109">
        <f>SUM(SUMIFS('Project Initiation'!D4:D11,'Project Initiation'!F4:F11,"Act",'Project Initiation'!H4:H11,"No"),SUMIFS('Project Management'!D4:D84,'Project Management'!F4:F84,"Act",'Project Management'!H4:H84,"No"),SUMIFS('Monitoring &amp; Control'!D4:D47,'Monitoring &amp; Control'!F4:F47,"Act",'Monitoring &amp; Control'!H4:H47,"No"),SUMIFS(Requirements!D4:D17,Requirements!F4:F17,"Act",Requirements!H4:H17,"No"),SUMIFS(Design!D4:D70,Design!F4:F70,"Act",Design!H4:H70,"No"),SUMIFS(Testing!D4:D39,Testing!F4:F39,"Act",Testing!H4:H39,"No"),SUMIFS(Delivery!D3:D5,Delivery!F3:F5,"Act",Delivery!H3:H5,"No"),SUMIFS('Project Closure'!D4:D18,'Project Closure'!F4:F18,"Act",'Project Closure'!H4:H18,"No"))</f>
        <v>4</v>
      </c>
      <c r="E85" s="109"/>
      <c r="F85" s="109"/>
      <c r="G85" s="113">
        <f>SUM(SUMIFS('Project Initiation'!D4:D11,'Project Initiation'!F4:F11,"Act",'Project Initiation'!I4:I11,"&lt;&gt;NA"),SUMIFS('Project Management'!D4:D84,'Project Management'!F4:F84,"Act",'Project Management'!I4:I84,"&lt;&gt;NA"),SUMIFS('Monitoring &amp; Control'!D4:D47,'Monitoring &amp; Control'!F4:F47,"Act",'Monitoring &amp; Control'!I4:I47,"&lt;&gt;NA"),SUMIFS(Requirements!D4:D17,Requirements!F4:F17,"Act",Requirements!I4:I17,"&lt;&gt;NA"),SUMIFS(Design!D4:D70,Design!F4:F70,"Act",Design!I4:I70,"&lt;&gt;NA"),SUMIFS(Testing!D4:D39,Testing!F4:F39,"Act",Testing!I4:I39,"&lt;&gt;NA"),SUMIFS(Delivery!D3:D5,Delivery!F3:F5,"Act",Delivery!I3:I5,"&lt;&gt;NA"),SUMIFS('Project Closure'!D4:D18,'Project Closure'!F4:F18,"Act",'Project Closure'!I4:I18,"&lt;&gt;NA"))</f>
        <v>18</v>
      </c>
      <c r="H85" s="109">
        <f>SUM(SUMIFS('Project Initiation'!D4:D11,'Project Initiation'!F4:F11,"Act",'Project Initiation'!I4:I11,"No"),SUMIFS('Project Management'!D4:D84,'Project Management'!F4:F84,"Act",'Project Management'!I4:I84,"No"),SUMIFS('Monitoring &amp; Control'!D4:D47,'Monitoring &amp; Control'!F4:F47,"Act",'Monitoring &amp; Control'!I4:I47,"No"),SUMIFS(Requirements!D4:D17,Requirements!F4:F17,"Act",Requirements!I4:I17,"No"),SUMIFS(Design!D4:D70,Design!F4:F70,"Act",Design!I4:I70,"No"),SUMIFS(Testing!D4:D39,Testing!F4:F39,"Act",Testing!I4:I39,"No"),SUMIFS(Delivery!D3:D5,Delivery!F3:F5,"Act",Delivery!I3:I5,"No"),SUMIFS('Project Closure'!D4:D18,'Project Closure'!F4:F18,"Act",'Project Closure'!I4:I18,"No"))</f>
        <v>0</v>
      </c>
      <c r="I85" s="109"/>
      <c r="J85" s="109"/>
      <c r="K85" s="113">
        <f>SUM(SUMIFS('Project Initiation'!D4:D11,'Project Initiation'!F4:F11,"Act",'Project Initiation'!J4:J11,"&lt;&gt;NA"),SUMIFS('Project Management'!D4:D84,'Project Management'!F4:F84,"Act",'Project Management'!J4:J84,"&lt;&gt;NA"),SUMIFS('Monitoring &amp; Control'!D4:D47,'Monitoring &amp; Control'!F4:F47,"Act",'Monitoring &amp; Control'!J4:J47,"&lt;&gt;NA"),SUMIFS(Requirements!D4:D17,Requirements!F4:F17,"Act",Requirements!J4:J17,"&lt;&gt;NA"),SUMIFS(Design!D4:D70,Design!F4:F70,"Act",Design!J4:J70,"&lt;&gt;NA"),SUMIFS(Testing!D4:D39,Testing!F4:F39,"Act",Testing!J4:J39,"&lt;&gt;NA"),SUMIFS(Delivery!D3:D5,Delivery!F3:F5,"Act",Delivery!J3:J5,"&lt;&gt;NA"),SUMIFS('Project Closure'!D4:D18,'Project Closure'!F4:F18,"Act",'Project Closure'!J4:J18,"&lt;&gt;NA"))</f>
        <v>15</v>
      </c>
      <c r="L85" s="109">
        <f>SUM(SUMIFS('Project Initiation'!D4:D11,'Project Initiation'!F4:F11,"Act",'Project Initiation'!J4:J11,"No"),SUMIFS('Project Management'!D4:D84,'Project Management'!F4:F84,"Act",'Project Management'!J4:J84,"No"),SUMIFS('Monitoring &amp; Control'!D4:D47,'Monitoring &amp; Control'!F4:F47,"Act",'Monitoring &amp; Control'!J4:J47,"No"),SUMIFS(Requirements!D4:D17,Requirements!F4:F17,"Act",Requirements!J4:J17,"No"),SUMIFS(Design!D4:D70,Design!F4:F70,"Act",Design!J4:J70,"No"),SUMIFS(Testing!D4:D39,Testing!F4:F39,"Act",Testing!J4:J39,"No"),SUMIFS(Delivery!D3:D5,Delivery!F3:F5,"Act",Delivery!J3:J5,"No"),SUMIFS('Project Closure'!D4:D18,'Project Closure'!F4:F18,"Act",'Project Closure'!J4:J18,"No"))</f>
        <v>0</v>
      </c>
      <c r="M85" s="109"/>
      <c r="N85" s="109"/>
      <c r="O85" s="113">
        <f>SUM(SUMIFS('Project Initiation'!D4:D11,'Project Initiation'!F4:F11,"Act",'Project Initiation'!K4:K11,"&lt;&gt;NA"),SUMIFS('Project Management'!D4:D84,'Project Management'!F4:F84,"Act",'Project Management'!K4:K84,"&lt;&gt;NA"),SUMIFS('Monitoring &amp; Control'!D4:D47,'Monitoring &amp; Control'!F4:F47,"Act",'Monitoring &amp; Control'!K4:K47,"&lt;&gt;NA"),SUMIFS(Requirements!D4:D17,Requirements!F4:F17,"Act",Requirements!K4:K17,"&lt;&gt;NA"),SUMIFS(Design!D4:D70,Design!F4:F70,"Act",Design!K4:K70,"&lt;&gt;NA"),SUMIFS(Testing!D4:D39,Testing!F4:F39,"Act",Testing!K4:K39,"&lt;&gt;NA"),SUMIFS(Delivery!D3:D5,Delivery!F3:F5,"Act",Delivery!K3:K5,"&lt;&gt;NA"),SUMIFS('Project Closure'!D4:D18,'Project Closure'!F4:F18,"Act",'Project Closure'!K4:K18,"&lt;&gt;NA"))</f>
        <v>15</v>
      </c>
      <c r="P85" s="109">
        <f>SUM(SUMIFS('Project Initiation'!D4:D11,'Project Initiation'!F4:F11,"Act",'Project Initiation'!K4:K11,"&lt;&gt;NA"),SUMIFS('Project Management'!D4:D84,'Project Management'!F4:F84,"Act",'Project Management'!K4:K84,"No"),SUMIFS('Monitoring &amp; Control'!D4:D47,'Monitoring &amp; Control'!F4:F47,"Act",'Monitoring &amp; Control'!K4:K47,"No"),SUMIFS(Requirements!D4:D17,Requirements!F4:F17,"Act",Requirements!K4:K17,"No"),SUMIFS(Design!D4:D70,Design!F4:F70,"Act",Design!K4:K70,"No"),SUMIFS(Testing!D4:D39,Testing!F4:F39,"Act",Testing!K4:K39,"No"),SUMIFS(Delivery!D3:D5,Delivery!F3:F5,"Act",Delivery!K3:K5,"No"),SUMIFS('Project Closure'!D4:D18,'Project Closure'!F4:F18,"Act",'Project Closure'!K4:K18,"No"))</f>
        <v>0</v>
      </c>
      <c r="Q85" s="109"/>
      <c r="R85" s="109"/>
      <c r="S85" s="113">
        <f>SUM(SUMIFS('Project Initiation'!D4:D11,'Project Initiation'!F4:F11,"Act",'Project Initiation'!L4:L11,"&lt;&gt;NA"),SUMIFS('Project Management'!D4:D84,'Project Management'!F4:F84,"Act",'Project Management'!L4:L84,"&lt;&gt;NA"),SUMIFS('Monitoring &amp; Control'!D4:D47,'Monitoring &amp; Control'!F4:F47,"Act",'Monitoring &amp; Control'!L4:L47,"&lt;&gt;NA"),SUMIFS(Requirements!D4:D17,Requirements!F4:F17,"Act",Requirements!L4:L17,"&lt;&gt;NA"),SUMIFS(Design!D4:D70,Design!F4:F70,"Act",Design!L4:L70,"&lt;&gt;NA"),SUMIFS(Testing!D4:D39,Testing!F4:F39,"Act",Testing!L4:L39,"&lt;&gt;NA"),SUMIFS(Delivery!D3:D5,Delivery!F3:F5,"Act",Delivery!L3:L5,"&lt;&gt;NA"),SUMIFS('Project Closure'!D4:D18,'Project Closure'!F4:F18,"Act",'Project Closure'!L4:L18,"&lt;&gt;NA"))</f>
        <v>15</v>
      </c>
      <c r="T85" s="110">
        <f>SUM(SUMIFS('Project Initiation'!D4:D11,'Project Initiation'!F4:F11,"Act",'Project Initiation'!L4:L11,"No"),SUMIFS('Project Management'!D4:D84,'Project Management'!F4:F84,"Act",'Project Management'!L4:L84,"No"),SUMIFS('Monitoring &amp; Control'!D4:D47,'Monitoring &amp; Control'!F4:F47,"Act",'Monitoring &amp; Control'!L4:L47,"No"),SUMIFS(Requirements!D4:D17,Requirements!F4:F17,"Act",Requirements!L4:L17,"No"),SUMIFS(Design!D4:D70,Design!F4:F70,"Act",Design!L4:L70,"No"),SUMIFS(Testing!D4:D39,Testing!F4:F39,"Act",Testing!L4:L39,"No"),SUMIFS(Delivery!D3:D5,Delivery!F3:F5,"Act",Delivery!L3:L5,"No"),SUMIFS('Project Closure'!D4:D18,'Project Closure'!F4:F18,"Act",'Project Closure'!L4:L18,"No"))</f>
        <v>0</v>
      </c>
    </row>
  </sheetData>
  <mergeCells count="6">
    <mergeCell ref="T3:V3"/>
    <mergeCell ref="A1:F1"/>
    <mergeCell ref="D3:F3"/>
    <mergeCell ref="H3:J3"/>
    <mergeCell ref="L3:N3"/>
    <mergeCell ref="P3:R3"/>
  </mergeCells>
  <conditionalFormatting sqref="D71:F72">
    <cfRule type="iconSet" priority="38">
      <iconSet iconSet="3Flags" reverse="1">
        <cfvo type="percent" val="0"/>
        <cfvo type="percent" val="33"/>
        <cfvo type="percent" val="67"/>
      </iconSet>
    </cfRule>
  </conditionalFormatting>
  <conditionalFormatting sqref="H71:J72">
    <cfRule type="iconSet" priority="37">
      <iconSet iconSet="3Flags" reverse="1">
        <cfvo type="percent" val="0"/>
        <cfvo type="percent" val="33"/>
        <cfvo type="percent" val="67"/>
      </iconSet>
    </cfRule>
  </conditionalFormatting>
  <conditionalFormatting sqref="L71:N72">
    <cfRule type="iconSet" priority="36">
      <iconSet iconSet="3Flags" reverse="1">
        <cfvo type="percent" val="0"/>
        <cfvo type="percent" val="33"/>
        <cfvo type="percent" val="67"/>
      </iconSet>
    </cfRule>
  </conditionalFormatting>
  <conditionalFormatting sqref="P71:R72">
    <cfRule type="iconSet" priority="35">
      <iconSet iconSet="3Flags" reverse="1">
        <cfvo type="percent" val="0"/>
        <cfvo type="percent" val="33"/>
        <cfvo type="percent" val="67"/>
      </iconSet>
    </cfRule>
  </conditionalFormatting>
  <conditionalFormatting sqref="T71:V72">
    <cfRule type="iconSet" priority="34">
      <iconSet iconSet="3Flags" reverse="1">
        <cfvo type="percent" val="0"/>
        <cfvo type="percent" val="33"/>
        <cfvo type="percent" val="67"/>
      </iconSet>
    </cfRule>
  </conditionalFormatting>
  <conditionalFormatting sqref="D75:D78">
    <cfRule type="iconSet" priority="33">
      <iconSet iconSet="5Rating">
        <cfvo type="percent" val="0"/>
        <cfvo type="percent" val="20"/>
        <cfvo type="percent" val="40"/>
        <cfvo type="percent" val="60"/>
        <cfvo type="percent" val="80"/>
      </iconSet>
    </cfRule>
  </conditionalFormatting>
  <conditionalFormatting sqref="H75:H78">
    <cfRule type="iconSet" priority="32">
      <iconSet iconSet="5Rating">
        <cfvo type="percent" val="0"/>
        <cfvo type="percent" val="20"/>
        <cfvo type="percent" val="40"/>
        <cfvo type="percent" val="60"/>
        <cfvo type="percent" val="80"/>
      </iconSet>
    </cfRule>
  </conditionalFormatting>
  <conditionalFormatting sqref="L75:L78">
    <cfRule type="iconSet" priority="31">
      <iconSet iconSet="5Rating">
        <cfvo type="percent" val="0"/>
        <cfvo type="percent" val="20"/>
        <cfvo type="percent" val="40"/>
        <cfvo type="percent" val="60"/>
        <cfvo type="percent" val="80"/>
      </iconSet>
    </cfRule>
  </conditionalFormatting>
  <conditionalFormatting sqref="P75:P78">
    <cfRule type="iconSet" priority="30">
      <iconSet iconSet="5Rating">
        <cfvo type="percent" val="0"/>
        <cfvo type="percent" val="20"/>
        <cfvo type="percent" val="40"/>
        <cfvo type="percent" val="60"/>
        <cfvo type="percent" val="80"/>
      </iconSet>
    </cfRule>
  </conditionalFormatting>
  <conditionalFormatting sqref="T75:T78">
    <cfRule type="iconSet" priority="29">
      <iconSet iconSet="5Rating">
        <cfvo type="percent" val="0"/>
        <cfvo type="percent" val="20"/>
        <cfvo type="percent" val="40"/>
        <cfvo type="percent" val="60"/>
        <cfvo type="percent" val="80"/>
      </iconSet>
    </cfRule>
  </conditionalFormatting>
  <conditionalFormatting sqref="D82:D85">
    <cfRule type="iconSet" priority="28">
      <iconSet iconSet="4Rating">
        <cfvo type="percent" val="0"/>
        <cfvo type="percent" val="25"/>
        <cfvo type="percent" val="50"/>
        <cfvo type="percent" val="75"/>
      </iconSet>
    </cfRule>
  </conditionalFormatting>
  <conditionalFormatting sqref="H82:H85">
    <cfRule type="iconSet" priority="27">
      <iconSet iconSet="4Rating">
        <cfvo type="percent" val="0"/>
        <cfvo type="percent" val="25"/>
        <cfvo type="percent" val="50"/>
        <cfvo type="percent" val="75"/>
      </iconSet>
    </cfRule>
  </conditionalFormatting>
  <conditionalFormatting sqref="L82:L85">
    <cfRule type="iconSet" priority="26">
      <iconSet iconSet="4Rating">
        <cfvo type="percent" val="0"/>
        <cfvo type="percent" val="25"/>
        <cfvo type="percent" val="50"/>
        <cfvo type="percent" val="75"/>
      </iconSet>
    </cfRule>
  </conditionalFormatting>
  <conditionalFormatting sqref="P82:P85">
    <cfRule type="iconSet" priority="25">
      <iconSet iconSet="4Rating">
        <cfvo type="percent" val="0"/>
        <cfvo type="percent" val="25"/>
        <cfvo type="percent" val="50"/>
        <cfvo type="percent" val="75"/>
      </iconSet>
    </cfRule>
  </conditionalFormatting>
  <conditionalFormatting sqref="T82:T85">
    <cfRule type="iconSet" priority="24">
      <iconSet iconSet="4Rating">
        <cfvo type="percent" val="0"/>
        <cfvo type="percent" val="25"/>
        <cfvo type="percent" val="50"/>
        <cfvo type="percent" val="75"/>
      </iconSet>
    </cfRule>
  </conditionalFormatting>
  <conditionalFormatting sqref="D5:D70">
    <cfRule type="cellIs" dxfId="265" priority="15" stopIfTrue="1" operator="greaterThan">
      <formula>0</formula>
    </cfRule>
  </conditionalFormatting>
  <conditionalFormatting sqref="H5:H70">
    <cfRule type="cellIs" dxfId="264" priority="14" stopIfTrue="1" operator="greaterThan">
      <formula>0</formula>
    </cfRule>
  </conditionalFormatting>
  <conditionalFormatting sqref="L5:L70">
    <cfRule type="cellIs" dxfId="263" priority="13" stopIfTrue="1" operator="greaterThan">
      <formula>0</formula>
    </cfRule>
  </conditionalFormatting>
  <conditionalFormatting sqref="P5:P70">
    <cfRule type="cellIs" dxfId="262" priority="12" stopIfTrue="1" operator="greaterThan">
      <formula>0</formula>
    </cfRule>
  </conditionalFormatting>
  <conditionalFormatting sqref="T5:T70">
    <cfRule type="cellIs" dxfId="261" priority="11" stopIfTrue="1" operator="greaterThan">
      <formula>0</formula>
    </cfRule>
  </conditionalFormatting>
  <conditionalFormatting sqref="E5:E70">
    <cfRule type="cellIs" dxfId="260" priority="10" stopIfTrue="1" operator="greaterThan">
      <formula>0</formula>
    </cfRule>
  </conditionalFormatting>
  <conditionalFormatting sqref="I5:I70">
    <cfRule type="cellIs" dxfId="259" priority="9" stopIfTrue="1" operator="greaterThan">
      <formula>0</formula>
    </cfRule>
  </conditionalFormatting>
  <conditionalFormatting sqref="M5:M70">
    <cfRule type="cellIs" dxfId="258" priority="8" stopIfTrue="1" operator="greaterThan">
      <formula>0</formula>
    </cfRule>
  </conditionalFormatting>
  <conditionalFormatting sqref="Q5:Q70">
    <cfRule type="cellIs" dxfId="257" priority="7" stopIfTrue="1" operator="greaterThan">
      <formula>0</formula>
    </cfRule>
  </conditionalFormatting>
  <conditionalFormatting sqref="U5:U70">
    <cfRule type="cellIs" dxfId="256" priority="6" stopIfTrue="1" operator="greaterThan">
      <formula>0</formula>
    </cfRule>
  </conditionalFormatting>
  <conditionalFormatting sqref="F5:F70">
    <cfRule type="cellIs" dxfId="255" priority="5" stopIfTrue="1" operator="greaterThan">
      <formula>0</formula>
    </cfRule>
  </conditionalFormatting>
  <conditionalFormatting sqref="J5:J70">
    <cfRule type="cellIs" dxfId="254" priority="4" stopIfTrue="1" operator="greaterThan">
      <formula>0</formula>
    </cfRule>
  </conditionalFormatting>
  <conditionalFormatting sqref="N5:N70">
    <cfRule type="cellIs" dxfId="253" priority="3" stopIfTrue="1" operator="greaterThan">
      <formula>0</formula>
    </cfRule>
  </conditionalFormatting>
  <conditionalFormatting sqref="R5:R70">
    <cfRule type="cellIs" dxfId="252" priority="2" stopIfTrue="1" operator="greaterThan">
      <formula>0</formula>
    </cfRule>
  </conditionalFormatting>
  <conditionalFormatting sqref="V5:V70">
    <cfRule type="cellIs" dxfId="251" priority="1" stopIfTrue="1" operator="greaterThan">
      <formula>0</formula>
    </cfRule>
  </conditionalFormatting>
  <pageMargins left="0.7" right="0.7" top="0.75" bottom="0.75" header="0.3" footer="0.3"/>
  <pageSetup paperSize="9" orientation="portrait" verticalDpi="30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2"/>
  <sheetViews>
    <sheetView showGridLines="0" zoomScale="85" zoomScaleNormal="85" workbookViewId="0">
      <pane ySplit="3" topLeftCell="A4" activePane="bottomLeft" state="frozen"/>
      <selection pane="bottomLeft" activeCell="D6" sqref="D6"/>
    </sheetView>
  </sheetViews>
  <sheetFormatPr defaultColWidth="47" defaultRowHeight="12.75" x14ac:dyDescent="0.2"/>
  <cols>
    <col min="1" max="1" width="16.85546875" style="78" customWidth="1"/>
    <col min="2" max="2" width="38.7109375" style="78" customWidth="1"/>
    <col min="3" max="3" width="51.28515625" style="78" customWidth="1"/>
    <col min="4" max="4" width="13" style="78" customWidth="1"/>
    <col min="5" max="5" width="13.85546875" style="78" customWidth="1"/>
    <col min="6" max="6" width="11" style="251" customWidth="1"/>
    <col min="7" max="7" width="8.7109375" style="78" bestFit="1" customWidth="1"/>
    <col min="8" max="8" width="38.7109375" style="78" customWidth="1"/>
    <col min="9" max="9" width="11.7109375" style="78" customWidth="1"/>
    <col min="10" max="10" width="8.42578125" style="78" customWidth="1"/>
    <col min="11" max="11" width="30.42578125" style="78" customWidth="1"/>
    <col min="12" max="14" width="47" style="78"/>
    <col min="15" max="15" width="47" style="78" customWidth="1"/>
    <col min="16" max="18" width="47" style="78"/>
    <col min="19" max="19" width="47" style="78" customWidth="1"/>
    <col min="20" max="28" width="47" style="78"/>
    <col min="29" max="29" width="47" style="78" customWidth="1"/>
    <col min="30" max="16384" width="47" style="78"/>
  </cols>
  <sheetData>
    <row r="1" spans="1:8" ht="18" x14ac:dyDescent="0.2">
      <c r="A1" s="317" t="s">
        <v>148</v>
      </c>
      <c r="B1" s="318"/>
      <c r="C1" s="318"/>
      <c r="D1" s="318"/>
      <c r="E1" s="318"/>
      <c r="F1" s="318"/>
      <c r="G1" s="318"/>
      <c r="H1" s="319"/>
    </row>
    <row r="2" spans="1:8" x14ac:dyDescent="0.2">
      <c r="A2" s="16"/>
      <c r="B2" s="16"/>
      <c r="C2" s="16"/>
      <c r="D2" s="16"/>
    </row>
    <row r="3" spans="1:8" ht="38.25" x14ac:dyDescent="0.2">
      <c r="A3" s="223" t="s">
        <v>146</v>
      </c>
      <c r="B3" s="223" t="s">
        <v>147</v>
      </c>
      <c r="C3" s="223" t="s">
        <v>106</v>
      </c>
      <c r="D3" s="223" t="s">
        <v>107</v>
      </c>
      <c r="E3" s="223" t="s">
        <v>106</v>
      </c>
      <c r="F3" s="223" t="s">
        <v>540</v>
      </c>
      <c r="G3" s="223" t="s">
        <v>150</v>
      </c>
      <c r="H3" s="223" t="s">
        <v>108</v>
      </c>
    </row>
    <row r="4" spans="1:8" ht="63.75" x14ac:dyDescent="0.2">
      <c r="A4" s="34" t="s">
        <v>525</v>
      </c>
      <c r="B4" s="23" t="s">
        <v>526</v>
      </c>
      <c r="C4" s="23" t="s">
        <v>527</v>
      </c>
      <c r="D4" s="12"/>
      <c r="E4" s="12"/>
      <c r="F4" s="252">
        <f t="shared" ref="F4:F21" si="0">D4*E4</f>
        <v>0</v>
      </c>
      <c r="G4" s="12"/>
      <c r="H4" s="12" t="s">
        <v>528</v>
      </c>
    </row>
    <row r="5" spans="1:8" ht="51" x14ac:dyDescent="0.2">
      <c r="A5" s="34" t="s">
        <v>529</v>
      </c>
      <c r="B5" s="23" t="s">
        <v>530</v>
      </c>
      <c r="C5" s="23" t="s">
        <v>531</v>
      </c>
      <c r="D5" s="12"/>
      <c r="E5" s="12"/>
      <c r="F5" s="252">
        <f t="shared" si="0"/>
        <v>0</v>
      </c>
      <c r="G5" s="12"/>
      <c r="H5" s="23" t="s">
        <v>532</v>
      </c>
    </row>
    <row r="6" spans="1:8" ht="153.75" customHeight="1" x14ac:dyDescent="0.2">
      <c r="A6" s="34" t="s">
        <v>185</v>
      </c>
      <c r="B6" s="23" t="s">
        <v>162</v>
      </c>
      <c r="C6" s="23" t="s">
        <v>173</v>
      </c>
      <c r="D6" s="12"/>
      <c r="E6" s="12"/>
      <c r="F6" s="252">
        <f t="shared" si="0"/>
        <v>0</v>
      </c>
      <c r="G6" s="12"/>
      <c r="H6" s="12" t="s">
        <v>163</v>
      </c>
    </row>
    <row r="7" spans="1:8" ht="89.25" x14ac:dyDescent="0.2">
      <c r="A7" s="34" t="s">
        <v>186</v>
      </c>
      <c r="B7" s="23" t="s">
        <v>187</v>
      </c>
      <c r="C7" s="23" t="s">
        <v>188</v>
      </c>
      <c r="D7" s="12"/>
      <c r="E7" s="12"/>
      <c r="F7" s="252">
        <f t="shared" si="0"/>
        <v>0</v>
      </c>
      <c r="G7" s="12"/>
      <c r="H7" s="12" t="s">
        <v>189</v>
      </c>
    </row>
    <row r="8" spans="1:8" ht="89.25" x14ac:dyDescent="0.2">
      <c r="A8" s="34" t="s">
        <v>190</v>
      </c>
      <c r="B8" s="23" t="s">
        <v>164</v>
      </c>
      <c r="C8" s="23" t="s">
        <v>165</v>
      </c>
      <c r="D8" s="12"/>
      <c r="E8" s="12"/>
      <c r="F8" s="252">
        <f t="shared" si="0"/>
        <v>0</v>
      </c>
      <c r="G8" s="12"/>
      <c r="H8" s="23" t="s">
        <v>174</v>
      </c>
    </row>
    <row r="9" spans="1:8" ht="191.25" x14ac:dyDescent="0.2">
      <c r="A9" s="23" t="s">
        <v>216</v>
      </c>
      <c r="B9" s="12" t="s">
        <v>217</v>
      </c>
      <c r="C9" s="23" t="s">
        <v>218</v>
      </c>
      <c r="D9" s="12"/>
      <c r="E9" s="12"/>
      <c r="F9" s="252">
        <f t="shared" si="0"/>
        <v>0</v>
      </c>
      <c r="G9" s="12"/>
      <c r="H9" s="19" t="s">
        <v>219</v>
      </c>
    </row>
    <row r="10" spans="1:8" ht="151.5" customHeight="1" x14ac:dyDescent="0.2">
      <c r="A10" s="12" t="s">
        <v>533</v>
      </c>
      <c r="B10" s="12" t="s">
        <v>534</v>
      </c>
      <c r="C10" s="81" t="s">
        <v>173</v>
      </c>
      <c r="D10" s="12"/>
      <c r="E10" s="12"/>
      <c r="F10" s="252">
        <f t="shared" si="0"/>
        <v>0</v>
      </c>
      <c r="G10" s="12"/>
      <c r="H10" s="23" t="s">
        <v>535</v>
      </c>
    </row>
    <row r="11" spans="1:8" ht="102" x14ac:dyDescent="0.2">
      <c r="A11" s="34" t="s">
        <v>152</v>
      </c>
      <c r="B11" s="23" t="s">
        <v>153</v>
      </c>
      <c r="C11" s="23" t="s">
        <v>175</v>
      </c>
      <c r="D11" s="12"/>
      <c r="E11" s="12"/>
      <c r="F11" s="252">
        <f t="shared" si="0"/>
        <v>0</v>
      </c>
      <c r="G11" s="12"/>
      <c r="H11" s="12" t="s">
        <v>154</v>
      </c>
    </row>
    <row r="12" spans="1:8" ht="127.5" x14ac:dyDescent="0.2">
      <c r="A12" s="34" t="s">
        <v>191</v>
      </c>
      <c r="B12" s="23" t="s">
        <v>192</v>
      </c>
      <c r="C12" s="23" t="s">
        <v>193</v>
      </c>
      <c r="D12" s="12"/>
      <c r="E12" s="12"/>
      <c r="F12" s="252">
        <f t="shared" si="0"/>
        <v>0</v>
      </c>
      <c r="G12" s="12"/>
      <c r="H12" s="23" t="s">
        <v>194</v>
      </c>
    </row>
    <row r="13" spans="1:8" ht="89.25" x14ac:dyDescent="0.2">
      <c r="A13" s="34" t="s">
        <v>195</v>
      </c>
      <c r="B13" s="23" t="s">
        <v>196</v>
      </c>
      <c r="C13" s="23" t="s">
        <v>197</v>
      </c>
      <c r="D13" s="12"/>
      <c r="E13" s="12"/>
      <c r="F13" s="252">
        <f t="shared" si="0"/>
        <v>0</v>
      </c>
      <c r="G13" s="12"/>
      <c r="H13" s="23" t="s">
        <v>198</v>
      </c>
    </row>
    <row r="14" spans="1:8" ht="51" x14ac:dyDescent="0.2">
      <c r="A14" s="34" t="s">
        <v>536</v>
      </c>
      <c r="B14" s="12" t="s">
        <v>537</v>
      </c>
      <c r="C14" s="81" t="s">
        <v>538</v>
      </c>
      <c r="D14" s="12"/>
      <c r="E14" s="12"/>
      <c r="F14" s="252">
        <f t="shared" si="0"/>
        <v>0</v>
      </c>
      <c r="G14" s="12"/>
      <c r="H14" s="23" t="s">
        <v>539</v>
      </c>
    </row>
    <row r="15" spans="1:8" ht="89.25" x14ac:dyDescent="0.2">
      <c r="A15" s="34" t="s">
        <v>200</v>
      </c>
      <c r="B15" s="12" t="s">
        <v>155</v>
      </c>
      <c r="C15" s="81" t="s">
        <v>199</v>
      </c>
      <c r="D15" s="12"/>
      <c r="E15" s="12"/>
      <c r="F15" s="252">
        <f t="shared" si="0"/>
        <v>0</v>
      </c>
      <c r="G15" s="12"/>
      <c r="H15" s="23" t="s">
        <v>166</v>
      </c>
    </row>
    <row r="16" spans="1:8" ht="153" x14ac:dyDescent="0.2">
      <c r="A16" s="34" t="s">
        <v>201</v>
      </c>
      <c r="B16" s="23" t="s">
        <v>156</v>
      </c>
      <c r="C16" s="23" t="s">
        <v>157</v>
      </c>
      <c r="D16" s="12"/>
      <c r="E16" s="12"/>
      <c r="F16" s="252">
        <f t="shared" si="0"/>
        <v>0</v>
      </c>
      <c r="G16" s="12"/>
      <c r="H16" s="12" t="s">
        <v>167</v>
      </c>
    </row>
    <row r="17" spans="1:8" ht="127.5" x14ac:dyDescent="0.2">
      <c r="A17" s="34" t="s">
        <v>202</v>
      </c>
      <c r="B17" s="23" t="s">
        <v>203</v>
      </c>
      <c r="C17" s="23" t="s">
        <v>204</v>
      </c>
      <c r="D17" s="12"/>
      <c r="E17" s="12"/>
      <c r="F17" s="252">
        <f t="shared" si="0"/>
        <v>0</v>
      </c>
      <c r="G17" s="12"/>
      <c r="H17" s="23" t="s">
        <v>205</v>
      </c>
    </row>
    <row r="18" spans="1:8" ht="89.25" x14ac:dyDescent="0.2">
      <c r="A18" s="34" t="s">
        <v>221</v>
      </c>
      <c r="B18" s="23" t="s">
        <v>222</v>
      </c>
      <c r="C18" s="23" t="s">
        <v>223</v>
      </c>
      <c r="D18" s="12"/>
      <c r="E18" s="12"/>
      <c r="F18" s="252">
        <f>D18*E18</f>
        <v>0</v>
      </c>
      <c r="G18" s="12"/>
      <c r="H18" s="23" t="s">
        <v>224</v>
      </c>
    </row>
    <row r="19" spans="1:8" ht="63.75" x14ac:dyDescent="0.2">
      <c r="A19" s="34" t="s">
        <v>206</v>
      </c>
      <c r="B19" s="19" t="s">
        <v>176</v>
      </c>
      <c r="C19" s="19" t="s">
        <v>177</v>
      </c>
      <c r="D19" s="12"/>
      <c r="E19" s="12"/>
      <c r="F19" s="252">
        <f t="shared" si="0"/>
        <v>0</v>
      </c>
      <c r="G19" s="12"/>
      <c r="H19" s="23" t="s">
        <v>178</v>
      </c>
    </row>
    <row r="20" spans="1:8" ht="102" x14ac:dyDescent="0.2">
      <c r="A20" s="34" t="s">
        <v>209</v>
      </c>
      <c r="B20" s="82" t="s">
        <v>207</v>
      </c>
      <c r="C20" s="41" t="s">
        <v>208</v>
      </c>
      <c r="D20" s="12"/>
      <c r="E20" s="12"/>
      <c r="F20" s="252">
        <f t="shared" si="0"/>
        <v>0</v>
      </c>
      <c r="G20" s="12"/>
      <c r="H20" s="23" t="s">
        <v>210</v>
      </c>
    </row>
    <row r="21" spans="1:8" ht="127.5" x14ac:dyDescent="0.2">
      <c r="A21" s="34" t="s">
        <v>220</v>
      </c>
      <c r="B21" s="23" t="s">
        <v>203</v>
      </c>
      <c r="C21" s="23" t="s">
        <v>204</v>
      </c>
      <c r="D21" s="12"/>
      <c r="E21" s="12"/>
      <c r="F21" s="252">
        <f t="shared" si="0"/>
        <v>0</v>
      </c>
      <c r="G21" s="12"/>
      <c r="H21" s="23" t="s">
        <v>205</v>
      </c>
    </row>
    <row r="22" spans="1:8" x14ac:dyDescent="0.2">
      <c r="A22" s="34"/>
      <c r="B22" s="23"/>
      <c r="C22" s="23"/>
      <c r="D22" s="12"/>
      <c r="E22" s="12"/>
      <c r="F22" s="252"/>
      <c r="G22" s="12"/>
      <c r="H22" s="12"/>
    </row>
    <row r="23" spans="1:8" x14ac:dyDescent="0.2">
      <c r="A23" s="28"/>
      <c r="B23" s="22"/>
      <c r="C23" s="22"/>
      <c r="D23" s="1"/>
      <c r="E23" s="1"/>
      <c r="F23" s="252"/>
      <c r="G23" s="1"/>
      <c r="H23" s="1"/>
    </row>
    <row r="24" spans="1:8" x14ac:dyDescent="0.2">
      <c r="A24" s="34"/>
      <c r="B24" s="19"/>
      <c r="C24" s="19"/>
      <c r="D24" s="12"/>
      <c r="E24" s="12"/>
      <c r="F24" s="252"/>
      <c r="G24" s="12"/>
      <c r="H24" s="23"/>
    </row>
    <row r="25" spans="1:8" x14ac:dyDescent="0.2">
      <c r="A25" s="16"/>
      <c r="B25" s="16"/>
      <c r="C25" s="16"/>
      <c r="D25" s="16"/>
    </row>
    <row r="26" spans="1:8" x14ac:dyDescent="0.2">
      <c r="A26" s="16"/>
      <c r="B26" s="16"/>
      <c r="C26" s="16"/>
      <c r="D26" s="16"/>
    </row>
    <row r="27" spans="1:8" x14ac:dyDescent="0.2">
      <c r="A27" s="16"/>
      <c r="B27" s="16"/>
      <c r="C27" s="16"/>
      <c r="D27" s="16"/>
    </row>
    <row r="28" spans="1:8" x14ac:dyDescent="0.2">
      <c r="A28" s="16"/>
      <c r="B28" s="16"/>
      <c r="C28" s="16"/>
      <c r="D28" s="16"/>
    </row>
    <row r="29" spans="1:8" x14ac:dyDescent="0.2">
      <c r="A29" s="16"/>
      <c r="B29" s="16"/>
      <c r="C29" s="16"/>
      <c r="D29" s="16"/>
    </row>
    <row r="30" spans="1:8" x14ac:dyDescent="0.2">
      <c r="A30" s="16"/>
      <c r="B30" s="16"/>
      <c r="C30" s="16"/>
      <c r="D30" s="16"/>
    </row>
    <row r="31" spans="1:8" x14ac:dyDescent="0.2">
      <c r="A31" s="16"/>
      <c r="B31" s="16"/>
      <c r="C31" s="16"/>
      <c r="D31" s="16"/>
    </row>
    <row r="32" spans="1:8" x14ac:dyDescent="0.2">
      <c r="A32" s="16"/>
      <c r="B32" s="16"/>
      <c r="C32" s="16"/>
      <c r="D32" s="16"/>
    </row>
    <row r="33" spans="1:4" x14ac:dyDescent="0.2">
      <c r="A33" s="16"/>
      <c r="B33" s="16"/>
      <c r="C33" s="16"/>
      <c r="D33" s="16"/>
    </row>
    <row r="34" spans="1:4" x14ac:dyDescent="0.2">
      <c r="A34" s="16"/>
      <c r="B34" s="16"/>
      <c r="C34" s="16" t="s">
        <v>170</v>
      </c>
      <c r="D34" s="16"/>
    </row>
    <row r="35" spans="1:4" x14ac:dyDescent="0.2">
      <c r="A35" s="16"/>
      <c r="B35" s="16"/>
      <c r="C35" s="16"/>
      <c r="D35" s="16"/>
    </row>
    <row r="36" spans="1:4" x14ac:dyDescent="0.2">
      <c r="A36" s="16"/>
      <c r="B36" s="16"/>
      <c r="C36" s="16"/>
      <c r="D36" s="16"/>
    </row>
    <row r="37" spans="1:4" x14ac:dyDescent="0.2">
      <c r="A37" s="16"/>
      <c r="B37" s="16"/>
      <c r="C37" s="16"/>
      <c r="D37" s="16"/>
    </row>
    <row r="38" spans="1:4" x14ac:dyDescent="0.2">
      <c r="A38" s="16"/>
      <c r="B38" s="16"/>
      <c r="C38" s="16"/>
      <c r="D38" s="16"/>
    </row>
    <row r="39" spans="1:4" x14ac:dyDescent="0.2">
      <c r="A39" s="16"/>
      <c r="B39" s="16"/>
      <c r="C39" s="16"/>
      <c r="D39" s="16"/>
    </row>
    <row r="40" spans="1:4" x14ac:dyDescent="0.2">
      <c r="A40" s="16"/>
      <c r="B40" s="16"/>
      <c r="C40" s="16"/>
      <c r="D40" s="16"/>
    </row>
    <row r="41" spans="1:4" x14ac:dyDescent="0.2">
      <c r="A41" s="16"/>
      <c r="B41" s="16"/>
      <c r="C41" s="16"/>
      <c r="D41" s="16"/>
    </row>
    <row r="42" spans="1:4" x14ac:dyDescent="0.2">
      <c r="A42" s="83"/>
      <c r="B42" s="64"/>
      <c r="C42" s="16"/>
      <c r="D42" s="16"/>
    </row>
  </sheetData>
  <mergeCells count="1">
    <mergeCell ref="A1:H1"/>
  </mergeCells>
  <conditionalFormatting sqref="G4:G24">
    <cfRule type="containsText" dxfId="250" priority="241" stopIfTrue="1" operator="containsText" text="Low">
      <formula>NOT(ISERROR(SEARCH("Low",G4)))</formula>
    </cfRule>
    <cfRule type="containsText" dxfId="249" priority="242" stopIfTrue="1" operator="containsText" text="Medium">
      <formula>NOT(ISERROR(SEARCH("Medium",G4)))</formula>
    </cfRule>
    <cfRule type="containsText" dxfId="248" priority="243" stopIfTrue="1" operator="containsText" text="High">
      <formula>NOT(ISERROR(SEARCH("High",G4)))</formula>
    </cfRule>
    <cfRule type="containsText" dxfId="247" priority="244" stopIfTrue="1" operator="containsText" text="Critical">
      <formula>NOT(ISERROR(SEARCH("Critical",G4)))</formula>
    </cfRule>
  </conditionalFormatting>
  <conditionalFormatting sqref="G14">
    <cfRule type="containsText" dxfId="246" priority="1" stopIfTrue="1" operator="containsText" text="Low">
      <formula>NOT(ISERROR(SEARCH("Low",G14)))</formula>
    </cfRule>
    <cfRule type="containsText" dxfId="245" priority="2" stopIfTrue="1" operator="containsText" text="Medium">
      <formula>NOT(ISERROR(SEARCH("Medium",G14)))</formula>
    </cfRule>
    <cfRule type="containsText" dxfId="244" priority="3" stopIfTrue="1" operator="containsText" text="High">
      <formula>NOT(ISERROR(SEARCH("High",G14)))</formula>
    </cfRule>
    <cfRule type="containsText" dxfId="243" priority="4" stopIfTrue="1" operator="containsText" text="Critical">
      <formula>NOT(ISERROR(SEARCH("Critical",G14)))</formula>
    </cfRule>
  </conditionalFormatting>
  <dataValidations count="6">
    <dataValidation type="list" allowBlank="1" showInputMessage="1" showErrorMessage="1" sqref="E4:E9 E21:E24 E11:E13 E15:E19">
      <formula1>"2, 4, 6, 8, 10"</formula1>
    </dataValidation>
    <dataValidation type="list" allowBlank="1" showInputMessage="1" showErrorMessage="1" sqref="D4:D9 D21:D24 D11:D13 D15:D19">
      <formula1>"0.1, 0.3, 0.5, 0.7, 0.9, 1.0"</formula1>
    </dataValidation>
    <dataValidation type="list" allowBlank="1" showInputMessage="1" showErrorMessage="1" sqref="G4:G5 G7:G24">
      <formula1>"Low, Medium, High, Critical,None"</formula1>
    </dataValidation>
    <dataValidation type="list" allowBlank="1" showInputMessage="1" showErrorMessage="1" sqref="D20 D10 D14">
      <formula1>"0.1, 0.3, 0.5, 0.7, 0.9, 1.0,0"</formula1>
    </dataValidation>
    <dataValidation type="list" allowBlank="1" showInputMessage="1" showErrorMessage="1" sqref="E20 E10 E14">
      <formula1>"2, 4, 6, 8, 10,0"</formula1>
    </dataValidation>
    <dataValidation type="list" allowBlank="1" showInputMessage="1" showErrorMessage="1" sqref="G6">
      <formula1>"Low, Medium, High, Critical"</formula1>
    </dataValidation>
  </dataValidations>
  <pageMargins left="0.75" right="0.75" top="1" bottom="1" header="0.5" footer="0.5"/>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8"/>
  </sheetPr>
  <dimension ref="A2:U21"/>
  <sheetViews>
    <sheetView showGridLines="0" zoomScale="80" zoomScaleNormal="80" workbookViewId="0">
      <pane ySplit="3" topLeftCell="A4" activePane="bottomLeft" state="frozen"/>
      <selection pane="bottomLeft" activeCell="N16" sqref="N16"/>
    </sheetView>
  </sheetViews>
  <sheetFormatPr defaultRowHeight="12.75" x14ac:dyDescent="0.2"/>
  <cols>
    <col min="1" max="1" width="8.42578125" style="36" bestFit="1" customWidth="1"/>
    <col min="2" max="2" width="51" style="24" customWidth="1"/>
    <col min="3" max="3" width="13.140625" style="24" bestFit="1" customWidth="1"/>
    <col min="4" max="4" width="7.85546875" style="24" hidden="1" customWidth="1"/>
    <col min="5" max="6" width="10.28515625" style="24" hidden="1" customWidth="1"/>
    <col min="7" max="7" width="22.85546875" style="24" customWidth="1"/>
    <col min="8" max="8" width="12.140625" style="16" bestFit="1" customWidth="1"/>
    <col min="9" max="11" width="12.140625" style="16" hidden="1" customWidth="1"/>
    <col min="12" max="12" width="11" style="16" hidden="1" customWidth="1"/>
    <col min="13" max="13" width="37" style="16" customWidth="1"/>
    <col min="14" max="14" width="31.7109375" style="16" customWidth="1"/>
    <col min="15" max="15" width="31.85546875" style="16" customWidth="1"/>
    <col min="16" max="18" width="21.7109375" style="16" customWidth="1"/>
    <col min="19" max="19" width="24.5703125" style="16" hidden="1" customWidth="1"/>
    <col min="20" max="20" width="18.85546875" style="16" hidden="1" customWidth="1"/>
    <col min="21" max="21" width="25.7109375" style="16" hidden="1" customWidth="1"/>
    <col min="22" max="16384" width="9.140625" style="16"/>
  </cols>
  <sheetData>
    <row r="2" spans="1:21" x14ac:dyDescent="0.2">
      <c r="A2" s="26" t="s">
        <v>14</v>
      </c>
      <c r="B2" s="13" t="s">
        <v>454</v>
      </c>
      <c r="C2" s="13" t="s">
        <v>455</v>
      </c>
      <c r="D2" s="13" t="s">
        <v>158</v>
      </c>
      <c r="E2" s="13" t="s">
        <v>255</v>
      </c>
      <c r="F2" s="13" t="s">
        <v>491</v>
      </c>
      <c r="G2" s="13" t="s">
        <v>358</v>
      </c>
      <c r="H2" s="14" t="s">
        <v>243</v>
      </c>
      <c r="I2" s="14" t="s">
        <v>244</v>
      </c>
      <c r="J2" s="14" t="s">
        <v>251</v>
      </c>
      <c r="K2" s="14" t="s">
        <v>252</v>
      </c>
      <c r="L2" s="14" t="s">
        <v>253</v>
      </c>
      <c r="M2" s="13" t="s">
        <v>4</v>
      </c>
      <c r="N2" s="13" t="s">
        <v>5</v>
      </c>
      <c r="O2" s="13" t="s">
        <v>6</v>
      </c>
      <c r="P2" s="13" t="s">
        <v>91</v>
      </c>
      <c r="Q2" s="13" t="s">
        <v>81</v>
      </c>
      <c r="R2" s="13" t="s">
        <v>564</v>
      </c>
      <c r="S2" s="13" t="s">
        <v>237</v>
      </c>
      <c r="T2" s="13" t="s">
        <v>238</v>
      </c>
      <c r="U2" s="13" t="s">
        <v>239</v>
      </c>
    </row>
    <row r="3" spans="1:21" s="18" customFormat="1" x14ac:dyDescent="0.2">
      <c r="A3" s="27"/>
      <c r="B3" s="17" t="s">
        <v>240</v>
      </c>
      <c r="C3" s="17"/>
      <c r="D3" s="17"/>
      <c r="E3" s="17"/>
      <c r="F3" s="17"/>
      <c r="G3" s="17"/>
      <c r="H3" s="17"/>
      <c r="I3" s="17"/>
      <c r="J3" s="17"/>
      <c r="K3" s="17"/>
      <c r="L3" s="17"/>
      <c r="M3" s="17"/>
      <c r="N3" s="17"/>
      <c r="O3" s="17"/>
      <c r="P3" s="17"/>
      <c r="Q3" s="17"/>
      <c r="R3" s="17"/>
      <c r="S3" s="17"/>
      <c r="T3" s="17"/>
      <c r="U3" s="17"/>
    </row>
    <row r="4" spans="1:21" s="261" customFormat="1" x14ac:dyDescent="0.2">
      <c r="A4" s="265">
        <v>1</v>
      </c>
      <c r="B4" s="256" t="s">
        <v>235</v>
      </c>
      <c r="C4" s="257" t="s">
        <v>109</v>
      </c>
      <c r="D4" s="257">
        <f>IF(C4="Critical",ISO90012008!B143,IF(C4="Major",ISO90012008!B144,IF(C4="Minor",ISO90012008!B145,"")))</f>
        <v>5</v>
      </c>
      <c r="E4" s="256"/>
      <c r="F4" s="256" t="s">
        <v>492</v>
      </c>
      <c r="G4" s="257" t="s">
        <v>359</v>
      </c>
      <c r="H4" s="258" t="s">
        <v>611</v>
      </c>
      <c r="I4" s="258"/>
      <c r="J4" s="258" t="s">
        <v>462</v>
      </c>
      <c r="K4" s="258" t="s">
        <v>462</v>
      </c>
      <c r="L4" s="258" t="s">
        <v>462</v>
      </c>
      <c r="M4" s="255"/>
      <c r="N4" s="255"/>
      <c r="O4" s="255"/>
      <c r="P4" s="259"/>
      <c r="Q4" s="259"/>
      <c r="R4" s="259"/>
      <c r="S4" s="260">
        <v>7.1</v>
      </c>
      <c r="T4" s="260"/>
      <c r="U4" s="260"/>
    </row>
    <row r="5" spans="1:21" s="261" customFormat="1" ht="25.5" x14ac:dyDescent="0.2">
      <c r="A5" s="265">
        <v>2</v>
      </c>
      <c r="B5" s="256" t="s">
        <v>236</v>
      </c>
      <c r="C5" s="257" t="s">
        <v>159</v>
      </c>
      <c r="D5" s="257">
        <f>IF(C5="Critical",ISO90012008!B143,IF(C5="Major",ISO90012008!B144,IF(C5="Minor",ISO90012008!B145,"")))</f>
        <v>3</v>
      </c>
      <c r="E5" s="256"/>
      <c r="F5" s="256" t="s">
        <v>492</v>
      </c>
      <c r="G5" s="257" t="s">
        <v>360</v>
      </c>
      <c r="H5" s="258" t="s">
        <v>462</v>
      </c>
      <c r="I5" s="258"/>
      <c r="J5" s="258" t="s">
        <v>462</v>
      </c>
      <c r="K5" s="258" t="s">
        <v>462</v>
      </c>
      <c r="L5" s="258" t="s">
        <v>462</v>
      </c>
      <c r="M5" s="255"/>
      <c r="N5" s="255"/>
      <c r="O5" s="255"/>
      <c r="P5" s="259"/>
      <c r="Q5" s="259"/>
      <c r="R5" s="259"/>
      <c r="S5" s="260">
        <v>7.1</v>
      </c>
      <c r="T5" s="260"/>
      <c r="U5" s="260"/>
    </row>
    <row r="6" spans="1:21" s="261" customFormat="1" x14ac:dyDescent="0.2">
      <c r="A6" s="266"/>
      <c r="B6" s="262" t="s">
        <v>241</v>
      </c>
      <c r="C6" s="262"/>
      <c r="D6" s="262"/>
      <c r="E6" s="262"/>
      <c r="F6" s="262"/>
      <c r="G6" s="262"/>
      <c r="H6" s="262"/>
      <c r="I6" s="262"/>
      <c r="J6" s="262"/>
      <c r="K6" s="262"/>
      <c r="L6" s="262"/>
      <c r="M6" s="262"/>
      <c r="N6" s="262"/>
      <c r="O6" s="262"/>
      <c r="P6" s="262"/>
      <c r="Q6" s="262"/>
      <c r="R6" s="262"/>
      <c r="S6" s="262"/>
      <c r="T6" s="262"/>
      <c r="U6" s="262"/>
    </row>
    <row r="7" spans="1:21" s="261" customFormat="1" ht="25.5" x14ac:dyDescent="0.2">
      <c r="A7" s="265">
        <v>1</v>
      </c>
      <c r="B7" s="256" t="s">
        <v>254</v>
      </c>
      <c r="C7" s="257" t="s">
        <v>159</v>
      </c>
      <c r="D7" s="257">
        <f>IF(C7="Critical",ISO90012008!B143,IF(C7="Major",ISO90012008!B144,IF(C7="Minor",ISO90012008!B145,"")))</f>
        <v>3</v>
      </c>
      <c r="E7" s="256" t="s">
        <v>256</v>
      </c>
      <c r="F7" s="256" t="s">
        <v>492</v>
      </c>
      <c r="G7" s="257" t="s">
        <v>361</v>
      </c>
      <c r="H7" s="258" t="s">
        <v>462</v>
      </c>
      <c r="I7" s="258"/>
      <c r="J7" s="258" t="s">
        <v>462</v>
      </c>
      <c r="K7" s="258" t="s">
        <v>462</v>
      </c>
      <c r="L7" s="258" t="s">
        <v>462</v>
      </c>
      <c r="M7" s="255"/>
      <c r="N7" s="255"/>
      <c r="O7" s="255"/>
      <c r="P7" s="259"/>
      <c r="Q7" s="259"/>
      <c r="R7" s="259"/>
      <c r="S7" s="260">
        <v>7.1</v>
      </c>
      <c r="T7" s="260"/>
      <c r="U7" s="260"/>
    </row>
    <row r="8" spans="1:21" s="261" customFormat="1" x14ac:dyDescent="0.2">
      <c r="A8" s="265">
        <v>2</v>
      </c>
      <c r="B8" s="256" t="s">
        <v>234</v>
      </c>
      <c r="C8" s="257" t="s">
        <v>109</v>
      </c>
      <c r="D8" s="257">
        <f>IF(C8="Critical",ISO90012008!B143,IF(C8="Major",ISO90012008!B144,IF(C8="Minor",ISO90012008!B145,"")))</f>
        <v>5</v>
      </c>
      <c r="E8" s="256"/>
      <c r="F8" s="256" t="s">
        <v>493</v>
      </c>
      <c r="G8" s="257" t="s">
        <v>241</v>
      </c>
      <c r="H8" s="258" t="s">
        <v>611</v>
      </c>
      <c r="I8" s="258"/>
      <c r="J8" s="258" t="s">
        <v>462</v>
      </c>
      <c r="K8" s="258" t="s">
        <v>462</v>
      </c>
      <c r="L8" s="258" t="s">
        <v>462</v>
      </c>
      <c r="M8" s="255"/>
      <c r="N8" s="255"/>
      <c r="O8" s="255"/>
      <c r="P8" s="259"/>
      <c r="Q8" s="259"/>
      <c r="R8" s="259"/>
      <c r="S8" s="260" t="s">
        <v>110</v>
      </c>
      <c r="T8" s="260"/>
      <c r="U8" s="260"/>
    </row>
    <row r="9" spans="1:21" s="261" customFormat="1" x14ac:dyDescent="0.2">
      <c r="A9" s="265">
        <v>3</v>
      </c>
      <c r="B9" s="255" t="s">
        <v>70</v>
      </c>
      <c r="C9" s="255" t="s">
        <v>160</v>
      </c>
      <c r="D9" s="257">
        <f>IF(C9="Critical",ISO90012008!B143,IF(C9="Major",ISO90012008!B144,IF(C9="Minor",ISO90012008!B145,"")))</f>
        <v>1</v>
      </c>
      <c r="E9" s="255"/>
      <c r="F9" s="256" t="s">
        <v>493</v>
      </c>
      <c r="G9" s="257" t="s">
        <v>241</v>
      </c>
      <c r="H9" s="258" t="s">
        <v>611</v>
      </c>
      <c r="I9" s="258"/>
      <c r="J9" s="258" t="s">
        <v>462</v>
      </c>
      <c r="K9" s="258" t="s">
        <v>462</v>
      </c>
      <c r="L9" s="258" t="s">
        <v>462</v>
      </c>
      <c r="M9" s="263"/>
      <c r="N9" s="255"/>
      <c r="O9" s="255"/>
      <c r="P9" s="259"/>
      <c r="Q9" s="259"/>
      <c r="R9" s="259"/>
      <c r="S9" s="264" t="s">
        <v>110</v>
      </c>
      <c r="T9" s="264"/>
      <c r="U9" s="264"/>
    </row>
    <row r="10" spans="1:21" s="261" customFormat="1" x14ac:dyDescent="0.2">
      <c r="A10" s="266"/>
      <c r="B10" s="262" t="s">
        <v>242</v>
      </c>
      <c r="C10" s="262"/>
      <c r="D10" s="262"/>
      <c r="E10" s="262"/>
      <c r="F10" s="262"/>
      <c r="G10" s="262"/>
      <c r="H10" s="262"/>
      <c r="I10" s="262"/>
      <c r="J10" s="262"/>
      <c r="K10" s="262"/>
      <c r="L10" s="262"/>
      <c r="M10" s="262"/>
      <c r="N10" s="262"/>
      <c r="O10" s="262"/>
      <c r="P10" s="262"/>
      <c r="Q10" s="262"/>
      <c r="R10" s="262"/>
      <c r="S10" s="262"/>
      <c r="T10" s="262"/>
      <c r="U10" s="262"/>
    </row>
    <row r="11" spans="1:21" s="261" customFormat="1" ht="38.25" x14ac:dyDescent="0.2">
      <c r="A11" s="265">
        <v>1</v>
      </c>
      <c r="B11" s="255" t="s">
        <v>71</v>
      </c>
      <c r="C11" s="257" t="s">
        <v>109</v>
      </c>
      <c r="D11" s="257">
        <f>IF(C11="Critical",ISO90012008!B143,IF(C11="Major",ISO90012008!B144,IF(C11="Minor",ISO90012008!B145,"")))</f>
        <v>5</v>
      </c>
      <c r="E11" s="255"/>
      <c r="F11" s="255" t="s">
        <v>493</v>
      </c>
      <c r="G11" s="248" t="s">
        <v>456</v>
      </c>
      <c r="H11" s="258" t="s">
        <v>611</v>
      </c>
      <c r="I11" s="258"/>
      <c r="J11" s="258" t="s">
        <v>462</v>
      </c>
      <c r="K11" s="258" t="s">
        <v>462</v>
      </c>
      <c r="L11" s="258" t="s">
        <v>462</v>
      </c>
      <c r="M11" s="248"/>
      <c r="N11" s="255"/>
      <c r="O11" s="255"/>
      <c r="P11" s="259"/>
      <c r="Q11" s="259"/>
      <c r="R11" s="259"/>
      <c r="S11" s="264">
        <v>7.1</v>
      </c>
      <c r="T11" s="264"/>
      <c r="U11" s="264"/>
    </row>
    <row r="14" spans="1:21" x14ac:dyDescent="0.2">
      <c r="B14" s="40"/>
      <c r="C14" s="40"/>
      <c r="D14" s="40"/>
      <c r="E14" s="40"/>
      <c r="F14" s="40"/>
      <c r="G14" s="40"/>
    </row>
    <row r="15" spans="1:21" x14ac:dyDescent="0.2">
      <c r="B15" s="95"/>
    </row>
    <row r="16" spans="1:21" x14ac:dyDescent="0.2">
      <c r="C16" s="16"/>
      <c r="D16" s="16"/>
    </row>
    <row r="17" spans="2:8" x14ac:dyDescent="0.2">
      <c r="C17" s="16"/>
      <c r="D17" s="16"/>
    </row>
    <row r="18" spans="2:8" x14ac:dyDescent="0.2">
      <c r="B18" s="40"/>
      <c r="C18" s="95"/>
      <c r="D18" s="95"/>
      <c r="E18" s="95"/>
      <c r="F18" s="95"/>
      <c r="G18" s="95"/>
      <c r="H18" s="18"/>
    </row>
    <row r="19" spans="2:8" x14ac:dyDescent="0.2">
      <c r="B19" s="95"/>
    </row>
    <row r="20" spans="2:8" x14ac:dyDescent="0.2">
      <c r="B20" s="95"/>
    </row>
    <row r="21" spans="2:8" x14ac:dyDescent="0.2">
      <c r="B21" s="95"/>
    </row>
  </sheetData>
  <autoFilter ref="A2:U11"/>
  <phoneticPr fontId="2" type="noConversion"/>
  <conditionalFormatting sqref="M11 M4:U5 M7:U9 P11:U11">
    <cfRule type="cellIs" dxfId="242" priority="31" stopIfTrue="1" operator="equal">
      <formula>"Yes"</formula>
    </cfRule>
    <cfRule type="cellIs" dxfId="241" priority="32" stopIfTrue="1" operator="equal">
      <formula>"No"</formula>
    </cfRule>
    <cfRule type="cellIs" dxfId="240" priority="33" stopIfTrue="1" operator="equal">
      <formula>"N/A"</formula>
    </cfRule>
  </conditionalFormatting>
  <conditionalFormatting sqref="N11:O11">
    <cfRule type="cellIs" dxfId="239" priority="1" stopIfTrue="1" operator="equal">
      <formula>"Yes"</formula>
    </cfRule>
    <cfRule type="cellIs" dxfId="238" priority="2" stopIfTrue="1" operator="equal">
      <formula>"No"</formula>
    </cfRule>
    <cfRule type="cellIs" dxfId="237" priority="3" stopIfTrue="1" operator="equal">
      <formula>"N/A"</formula>
    </cfRule>
  </conditionalFormatting>
  <dataValidations count="2">
    <dataValidation allowBlank="1" showInputMessage="1" showErrorMessage="1" sqref="M4:M5 M7:M9 M11"/>
    <dataValidation type="list" allowBlank="1" showInputMessage="1" showErrorMessage="1" sqref="H4:L5 H11:L11 H7:L9">
      <formula1>"Yes, No, NA"</formula1>
    </dataValidation>
  </dataValidations>
  <pageMargins left="0.75" right="0.75" top="1" bottom="1" header="0.5" footer="0.5"/>
  <pageSetup orientation="portrait" horizontalDpi="200" verticalDpi="2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8"/>
  </sheetPr>
  <dimension ref="A2:U84"/>
  <sheetViews>
    <sheetView showGridLines="0" zoomScale="80" zoomScaleNormal="80" workbookViewId="0">
      <pane ySplit="2" topLeftCell="A19" activePane="bottomLeft" state="frozen"/>
      <selection pane="bottomLeft" activeCell="M10" sqref="M10"/>
    </sheetView>
  </sheetViews>
  <sheetFormatPr defaultRowHeight="12.75" x14ac:dyDescent="0.2"/>
  <cols>
    <col min="1" max="1" width="8.42578125" style="251" bestFit="1" customWidth="1"/>
    <col min="2" max="2" width="50.140625" style="24" customWidth="1"/>
    <col min="3" max="3" width="13.140625" style="24" bestFit="1" customWidth="1"/>
    <col min="4" max="4" width="7.85546875" style="24" hidden="1" customWidth="1"/>
    <col min="5" max="6" width="13.7109375" style="24" hidden="1" customWidth="1"/>
    <col min="7" max="7" width="31.5703125" style="24" customWidth="1"/>
    <col min="8" max="8" width="10.28515625" style="16" bestFit="1" customWidth="1"/>
    <col min="9" max="12" width="10.28515625" style="16" hidden="1" customWidth="1"/>
    <col min="13" max="13" width="37" style="16" customWidth="1"/>
    <col min="14" max="14" width="30.7109375" style="16" customWidth="1"/>
    <col min="15" max="15" width="29" style="16" customWidth="1"/>
    <col min="16" max="16" width="21.7109375" style="251" customWidth="1"/>
    <col min="17" max="18" width="21.7109375" style="16" customWidth="1"/>
    <col min="19" max="19" width="21.42578125" style="36" hidden="1" customWidth="1"/>
    <col min="20" max="20" width="16" style="16" hidden="1" customWidth="1"/>
    <col min="21" max="21" width="22.85546875" style="16" hidden="1" customWidth="1"/>
    <col min="22" max="16384" width="9.140625" style="16"/>
  </cols>
  <sheetData>
    <row r="2" spans="1:21" x14ac:dyDescent="0.2">
      <c r="A2" s="267" t="s">
        <v>14</v>
      </c>
      <c r="B2" s="13" t="s">
        <v>454</v>
      </c>
      <c r="C2" s="13" t="s">
        <v>455</v>
      </c>
      <c r="D2" s="13" t="s">
        <v>158</v>
      </c>
      <c r="E2" s="13" t="s">
        <v>255</v>
      </c>
      <c r="F2" s="13" t="s">
        <v>491</v>
      </c>
      <c r="G2" s="13" t="s">
        <v>358</v>
      </c>
      <c r="H2" s="14" t="s">
        <v>243</v>
      </c>
      <c r="I2" s="14" t="s">
        <v>244</v>
      </c>
      <c r="J2" s="14" t="s">
        <v>251</v>
      </c>
      <c r="K2" s="14" t="s">
        <v>252</v>
      </c>
      <c r="L2" s="14" t="s">
        <v>253</v>
      </c>
      <c r="M2" s="13" t="s">
        <v>4</v>
      </c>
      <c r="N2" s="13" t="s">
        <v>5</v>
      </c>
      <c r="O2" s="13" t="s">
        <v>6</v>
      </c>
      <c r="P2" s="267" t="s">
        <v>91</v>
      </c>
      <c r="Q2" s="13" t="s">
        <v>81</v>
      </c>
      <c r="R2" s="13" t="s">
        <v>564</v>
      </c>
      <c r="S2" s="26" t="s">
        <v>31</v>
      </c>
      <c r="T2" s="13" t="s">
        <v>238</v>
      </c>
      <c r="U2" s="13" t="s">
        <v>239</v>
      </c>
    </row>
    <row r="3" spans="1:21" s="18" customFormat="1" x14ac:dyDescent="0.2">
      <c r="A3" s="266"/>
      <c r="B3" s="17" t="s">
        <v>258</v>
      </c>
      <c r="C3" s="17"/>
      <c r="D3" s="17"/>
      <c r="E3" s="17"/>
      <c r="F3" s="17"/>
      <c r="G3" s="17"/>
      <c r="H3" s="17"/>
      <c r="I3" s="17"/>
      <c r="J3" s="17"/>
      <c r="K3" s="17"/>
      <c r="L3" s="17"/>
      <c r="M3" s="17"/>
      <c r="N3" s="17"/>
      <c r="O3" s="17"/>
      <c r="P3" s="266"/>
      <c r="Q3" s="17"/>
      <c r="R3" s="17"/>
      <c r="S3" s="27"/>
      <c r="T3" s="27"/>
      <c r="U3" s="27"/>
    </row>
    <row r="4" spans="1:21" x14ac:dyDescent="0.2">
      <c r="A4" s="265">
        <v>1</v>
      </c>
      <c r="B4" s="28" t="s">
        <v>72</v>
      </c>
      <c r="C4" s="34" t="s">
        <v>159</v>
      </c>
      <c r="D4" s="34">
        <f>IF(C4="Critical",ISO90012008!B143,IF(C4="Major",ISO90012008!B144,IF(C4="Minor",ISO90012008!B145,"")))</f>
        <v>3</v>
      </c>
      <c r="E4" s="28"/>
      <c r="F4" s="34" t="s">
        <v>492</v>
      </c>
      <c r="G4" s="34" t="s">
        <v>363</v>
      </c>
      <c r="H4" s="1" t="s">
        <v>611</v>
      </c>
      <c r="I4" s="1"/>
      <c r="J4" s="1" t="s">
        <v>462</v>
      </c>
      <c r="K4" s="1" t="s">
        <v>462</v>
      </c>
      <c r="L4" s="1" t="s">
        <v>462</v>
      </c>
      <c r="M4" s="19"/>
      <c r="N4" s="19"/>
      <c r="O4" s="19"/>
      <c r="P4" s="270"/>
      <c r="Q4" s="29"/>
      <c r="R4" s="29"/>
      <c r="S4" s="37">
        <v>7.1</v>
      </c>
      <c r="T4" s="33"/>
      <c r="U4" s="33"/>
    </row>
    <row r="5" spans="1:21" ht="25.5" x14ac:dyDescent="0.2">
      <c r="A5" s="265">
        <v>2</v>
      </c>
      <c r="B5" s="28" t="s">
        <v>38</v>
      </c>
      <c r="C5" s="34" t="s">
        <v>160</v>
      </c>
      <c r="D5" s="34">
        <f>IF(C5="Critical",ISO90012008!B143,IF(C5="Major",ISO90012008!B144,IF(C5="Minor",ISO90012008!B145,"")))</f>
        <v>1</v>
      </c>
      <c r="E5" s="28"/>
      <c r="F5" s="34" t="s">
        <v>492</v>
      </c>
      <c r="G5" s="34" t="s">
        <v>363</v>
      </c>
      <c r="H5" s="1" t="s">
        <v>611</v>
      </c>
      <c r="I5" s="1"/>
      <c r="J5" s="1" t="s">
        <v>462</v>
      </c>
      <c r="K5" s="1" t="s">
        <v>462</v>
      </c>
      <c r="L5" s="1" t="s">
        <v>462</v>
      </c>
      <c r="M5" s="19"/>
      <c r="N5" s="19"/>
      <c r="O5" s="19"/>
      <c r="P5" s="270"/>
      <c r="Q5" s="29"/>
      <c r="R5" s="29"/>
      <c r="S5" s="37">
        <v>7.1</v>
      </c>
      <c r="T5" s="33"/>
      <c r="U5" s="33"/>
    </row>
    <row r="6" spans="1:21" x14ac:dyDescent="0.2">
      <c r="A6" s="266"/>
      <c r="B6" s="17" t="s">
        <v>259</v>
      </c>
      <c r="C6" s="17"/>
      <c r="D6" s="17"/>
      <c r="E6" s="17"/>
      <c r="F6" s="17"/>
      <c r="G6" s="17"/>
      <c r="H6" s="17"/>
      <c r="I6" s="17"/>
      <c r="J6" s="17"/>
      <c r="K6" s="17"/>
      <c r="L6" s="17"/>
      <c r="M6" s="17"/>
      <c r="N6" s="17"/>
      <c r="O6" s="17"/>
      <c r="P6" s="266"/>
      <c r="Q6" s="17"/>
      <c r="R6" s="17"/>
      <c r="S6" s="27"/>
      <c r="T6" s="27"/>
      <c r="U6" s="27"/>
    </row>
    <row r="7" spans="1:21" ht="25.5" x14ac:dyDescent="0.2">
      <c r="A7" s="265">
        <v>1</v>
      </c>
      <c r="B7" s="28" t="s">
        <v>36</v>
      </c>
      <c r="C7" s="34" t="s">
        <v>159</v>
      </c>
      <c r="D7" s="34">
        <f>IF(C7="Critical",ISO90012008!B143,IF(C7="Major",ISO90012008!B144,IF(C7="Minor",ISO90012008!B145,"")))</f>
        <v>3</v>
      </c>
      <c r="E7" s="28"/>
      <c r="F7" s="34" t="s">
        <v>492</v>
      </c>
      <c r="G7" s="34" t="s">
        <v>364</v>
      </c>
      <c r="H7" s="1" t="s">
        <v>611</v>
      </c>
      <c r="I7" s="1"/>
      <c r="J7" s="1" t="s">
        <v>462</v>
      </c>
      <c r="K7" s="1" t="s">
        <v>462</v>
      </c>
      <c r="L7" s="1" t="s">
        <v>462</v>
      </c>
      <c r="M7" s="23"/>
      <c r="N7" s="23"/>
      <c r="O7" s="23"/>
      <c r="P7" s="270"/>
      <c r="Q7" s="29"/>
      <c r="R7" s="29"/>
      <c r="S7" s="37">
        <v>7.1</v>
      </c>
      <c r="T7" s="33"/>
      <c r="U7" s="33"/>
    </row>
    <row r="8" spans="1:21" ht="25.5" x14ac:dyDescent="0.2">
      <c r="A8" s="265">
        <v>2</v>
      </c>
      <c r="B8" s="28" t="s">
        <v>35</v>
      </c>
      <c r="C8" s="34" t="s">
        <v>109</v>
      </c>
      <c r="D8" s="34">
        <f>IF(C8="Critical",ISO90012008!B143,IF(C8="Major",ISO90012008!B144,IF(C8="Minor",ISO90012008!B145,"")))</f>
        <v>5</v>
      </c>
      <c r="E8" s="34"/>
      <c r="F8" s="34" t="s">
        <v>492</v>
      </c>
      <c r="G8" s="34" t="s">
        <v>364</v>
      </c>
      <c r="H8" s="1" t="s">
        <v>611</v>
      </c>
      <c r="I8" s="1"/>
      <c r="J8" s="1" t="s">
        <v>462</v>
      </c>
      <c r="K8" s="1" t="s">
        <v>462</v>
      </c>
      <c r="L8" s="1" t="s">
        <v>462</v>
      </c>
      <c r="M8" s="19"/>
      <c r="N8" s="22"/>
      <c r="O8" s="22"/>
      <c r="P8" s="270"/>
      <c r="Q8" s="29"/>
      <c r="R8" s="29"/>
      <c r="S8" s="37">
        <v>7.1</v>
      </c>
      <c r="T8" s="33"/>
      <c r="U8" s="33"/>
    </row>
    <row r="9" spans="1:21" ht="25.5" x14ac:dyDescent="0.2">
      <c r="A9" s="265">
        <v>3</v>
      </c>
      <c r="B9" s="34" t="s">
        <v>257</v>
      </c>
      <c r="C9" s="34" t="s">
        <v>159</v>
      </c>
      <c r="D9" s="34">
        <f>IF(C9="Critical",ISO90012008!B143,IF(C9="Major",ISO90012008!B144,IF(C9="Minor",ISO90012008!B145,"")))</f>
        <v>3</v>
      </c>
      <c r="E9" s="28"/>
      <c r="F9" s="34" t="s">
        <v>492</v>
      </c>
      <c r="G9" s="34" t="s">
        <v>364</v>
      </c>
      <c r="H9" s="1" t="s">
        <v>611</v>
      </c>
      <c r="I9" s="1"/>
      <c r="J9" s="1" t="s">
        <v>462</v>
      </c>
      <c r="K9" s="1" t="s">
        <v>462</v>
      </c>
      <c r="L9" s="1" t="s">
        <v>462</v>
      </c>
      <c r="M9" s="19"/>
      <c r="N9" s="22"/>
      <c r="O9" s="22"/>
      <c r="P9" s="270"/>
      <c r="Q9" s="29"/>
      <c r="R9" s="29"/>
      <c r="S9" s="37"/>
      <c r="T9" s="33"/>
      <c r="U9" s="33"/>
    </row>
    <row r="10" spans="1:21" ht="42.75" customHeight="1" x14ac:dyDescent="0.2">
      <c r="A10" s="265">
        <v>4</v>
      </c>
      <c r="B10" s="34" t="s">
        <v>268</v>
      </c>
      <c r="C10" s="34" t="s">
        <v>159</v>
      </c>
      <c r="D10" s="34">
        <f>IF(C10="Critical",ISO90012008!B143,IF(C10="Major",ISO90012008!B144,IF(C10="Minor",ISO90012008!B145,"")))</f>
        <v>3</v>
      </c>
      <c r="E10" s="28"/>
      <c r="F10" s="34" t="s">
        <v>494</v>
      </c>
      <c r="G10" s="34" t="s">
        <v>434</v>
      </c>
      <c r="H10" s="1" t="s">
        <v>611</v>
      </c>
      <c r="I10" s="1"/>
      <c r="J10" s="1" t="s">
        <v>462</v>
      </c>
      <c r="K10" s="1" t="s">
        <v>462</v>
      </c>
      <c r="L10" s="1" t="s">
        <v>462</v>
      </c>
      <c r="M10" s="23"/>
      <c r="N10" s="22"/>
      <c r="O10" s="22"/>
      <c r="P10" s="270"/>
      <c r="Q10" s="29"/>
      <c r="R10" s="29"/>
      <c r="S10" s="38" t="s">
        <v>110</v>
      </c>
      <c r="T10" s="33"/>
      <c r="U10" s="33"/>
    </row>
    <row r="11" spans="1:21" ht="38.25" x14ac:dyDescent="0.2">
      <c r="A11" s="265">
        <v>5</v>
      </c>
      <c r="B11" s="23" t="s">
        <v>260</v>
      </c>
      <c r="C11" s="23" t="s">
        <v>160</v>
      </c>
      <c r="D11" s="34">
        <f>IF(C11="Critical",ISO90012008!B143,IF(C11="Major",ISO90012008!B144,IF(C11="Minor",ISO90012008!B145,"")))</f>
        <v>1</v>
      </c>
      <c r="E11" s="22"/>
      <c r="F11" s="34" t="s">
        <v>495</v>
      </c>
      <c r="G11" s="23" t="s">
        <v>365</v>
      </c>
      <c r="H11" s="1" t="s">
        <v>612</v>
      </c>
      <c r="I11" s="1"/>
      <c r="J11" s="1" t="s">
        <v>462</v>
      </c>
      <c r="K11" s="1" t="s">
        <v>462</v>
      </c>
      <c r="L11" s="1" t="s">
        <v>462</v>
      </c>
      <c r="M11" s="23" t="s">
        <v>624</v>
      </c>
      <c r="N11" s="19"/>
      <c r="O11" s="22"/>
      <c r="P11" s="270"/>
      <c r="Q11" s="29"/>
      <c r="R11" s="29"/>
      <c r="S11" s="38" t="s">
        <v>110</v>
      </c>
      <c r="T11" s="33"/>
      <c r="U11" s="33"/>
    </row>
    <row r="12" spans="1:21" x14ac:dyDescent="0.2">
      <c r="A12" s="266"/>
      <c r="B12" s="17" t="s">
        <v>261</v>
      </c>
      <c r="C12" s="17"/>
      <c r="D12" s="17"/>
      <c r="E12" s="17"/>
      <c r="F12" s="17"/>
      <c r="G12" s="17"/>
      <c r="H12" s="17"/>
      <c r="I12" s="17"/>
      <c r="J12" s="17"/>
      <c r="K12" s="17"/>
      <c r="L12" s="17"/>
      <c r="M12" s="17"/>
      <c r="N12" s="17"/>
      <c r="O12" s="17"/>
      <c r="P12" s="266"/>
      <c r="Q12" s="17"/>
      <c r="R12" s="17"/>
      <c r="S12" s="27"/>
      <c r="T12" s="27"/>
      <c r="U12" s="27"/>
    </row>
    <row r="13" spans="1:21" ht="25.5" x14ac:dyDescent="0.2">
      <c r="A13" s="265">
        <v>1</v>
      </c>
      <c r="B13" s="28" t="s">
        <v>39</v>
      </c>
      <c r="C13" s="34" t="s">
        <v>159</v>
      </c>
      <c r="D13" s="34">
        <f>IF(C13="Critical",ISO90012008!B143,IF(C13="Major",ISO90012008!B144,IF(C13="Minor",ISO90012008!B145,"")))</f>
        <v>3</v>
      </c>
      <c r="E13" s="28"/>
      <c r="F13" s="34" t="s">
        <v>492</v>
      </c>
      <c r="G13" s="34" t="s">
        <v>363</v>
      </c>
      <c r="H13" s="1" t="s">
        <v>611</v>
      </c>
      <c r="I13" s="1"/>
      <c r="J13" s="1" t="s">
        <v>462</v>
      </c>
      <c r="K13" s="1" t="s">
        <v>462</v>
      </c>
      <c r="L13" s="1" t="s">
        <v>462</v>
      </c>
      <c r="M13" s="19"/>
      <c r="N13" s="19"/>
      <c r="O13" s="19"/>
      <c r="P13" s="270"/>
      <c r="Q13" s="29"/>
      <c r="R13" s="29"/>
      <c r="S13" s="37">
        <v>7.1</v>
      </c>
      <c r="T13" s="33"/>
      <c r="U13" s="33"/>
    </row>
    <row r="14" spans="1:21" ht="38.25" x14ac:dyDescent="0.2">
      <c r="A14" s="265">
        <v>2</v>
      </c>
      <c r="B14" s="28" t="s">
        <v>40</v>
      </c>
      <c r="C14" s="34" t="s">
        <v>160</v>
      </c>
      <c r="D14" s="34">
        <f>IF(C14="Critical",ISO90012008!B143,IF(C14="Major",ISO90012008!B144,IF(C14="Minor",ISO90012008!B145,"")))</f>
        <v>1</v>
      </c>
      <c r="E14" s="28"/>
      <c r="F14" s="34" t="s">
        <v>492</v>
      </c>
      <c r="G14" s="34" t="s">
        <v>363</v>
      </c>
      <c r="H14" s="1" t="s">
        <v>611</v>
      </c>
      <c r="I14" s="1"/>
      <c r="J14" s="1" t="s">
        <v>462</v>
      </c>
      <c r="K14" s="1" t="s">
        <v>462</v>
      </c>
      <c r="L14" s="1" t="s">
        <v>462</v>
      </c>
      <c r="M14" s="23"/>
      <c r="N14" s="23"/>
      <c r="O14" s="23"/>
      <c r="P14" s="270"/>
      <c r="Q14" s="21"/>
      <c r="R14" s="21"/>
      <c r="S14" s="37">
        <v>7.1</v>
      </c>
      <c r="T14" s="33"/>
      <c r="U14" s="33"/>
    </row>
    <row r="15" spans="1:21" ht="25.5" x14ac:dyDescent="0.2">
      <c r="A15" s="265">
        <v>3</v>
      </c>
      <c r="B15" s="34" t="s">
        <v>562</v>
      </c>
      <c r="C15" s="34" t="s">
        <v>159</v>
      </c>
      <c r="D15" s="34">
        <f>IF(C15="Critical",ISO90012008!B143,IF(C15="Major",ISO90012008!B144,IF(C15="Minor",ISO90012008!B145,"")))</f>
        <v>3</v>
      </c>
      <c r="E15" s="28"/>
      <c r="F15" s="34" t="s">
        <v>492</v>
      </c>
      <c r="G15" s="34" t="s">
        <v>363</v>
      </c>
      <c r="H15" s="1" t="s">
        <v>611</v>
      </c>
      <c r="I15" s="1"/>
      <c r="J15" s="1" t="s">
        <v>462</v>
      </c>
      <c r="K15" s="1" t="s">
        <v>462</v>
      </c>
      <c r="L15" s="1" t="s">
        <v>462</v>
      </c>
      <c r="M15" s="23"/>
      <c r="N15" s="19"/>
      <c r="O15" s="19"/>
      <c r="P15" s="270"/>
      <c r="Q15" s="31"/>
      <c r="R15" s="31"/>
      <c r="S15" s="37">
        <v>7.1</v>
      </c>
      <c r="T15" s="33"/>
      <c r="U15" s="33"/>
    </row>
    <row r="16" spans="1:21" ht="25.5" x14ac:dyDescent="0.2">
      <c r="A16" s="265">
        <v>4</v>
      </c>
      <c r="B16" s="28" t="s">
        <v>41</v>
      </c>
      <c r="C16" s="34" t="s">
        <v>160</v>
      </c>
      <c r="D16" s="34">
        <f>IF(C16="Critical",ISO90012008!B143,IF(C16="Major",ISO90012008!B144,IF(C16="Minor",ISO90012008!B145,"")))</f>
        <v>1</v>
      </c>
      <c r="E16" s="28"/>
      <c r="F16" s="34" t="s">
        <v>492</v>
      </c>
      <c r="G16" s="34" t="s">
        <v>363</v>
      </c>
      <c r="H16" s="1" t="s">
        <v>611</v>
      </c>
      <c r="I16" s="1"/>
      <c r="J16" s="1" t="s">
        <v>462</v>
      </c>
      <c r="K16" s="1" t="s">
        <v>462</v>
      </c>
      <c r="L16" s="1" t="s">
        <v>462</v>
      </c>
      <c r="M16" s="23"/>
      <c r="N16" s="22"/>
      <c r="O16" s="32"/>
      <c r="P16" s="270"/>
      <c r="Q16" s="29"/>
      <c r="R16" s="29"/>
      <c r="S16" s="37">
        <v>7.1</v>
      </c>
      <c r="T16" s="33"/>
      <c r="U16" s="33"/>
    </row>
    <row r="17" spans="1:21" ht="25.5" x14ac:dyDescent="0.2">
      <c r="A17" s="265">
        <v>5</v>
      </c>
      <c r="B17" s="28" t="s">
        <v>42</v>
      </c>
      <c r="C17" s="34" t="s">
        <v>109</v>
      </c>
      <c r="D17" s="34">
        <f>IF(C17="Critical",ISO90012008!B143,IF(C17="Major",ISO90012008!B144,IF(C17="Minor",ISO90012008!B145,"")))</f>
        <v>5</v>
      </c>
      <c r="E17" s="28"/>
      <c r="F17" s="34" t="s">
        <v>492</v>
      </c>
      <c r="G17" s="34" t="s">
        <v>366</v>
      </c>
      <c r="H17" s="1" t="s">
        <v>612</v>
      </c>
      <c r="I17" s="1"/>
      <c r="J17" s="1" t="s">
        <v>462</v>
      </c>
      <c r="K17" s="1" t="s">
        <v>462</v>
      </c>
      <c r="L17" s="1" t="s">
        <v>462</v>
      </c>
      <c r="M17" s="23" t="s">
        <v>625</v>
      </c>
      <c r="N17" s="22"/>
      <c r="O17" s="23"/>
      <c r="P17" s="270"/>
      <c r="Q17" s="29"/>
      <c r="R17" s="29"/>
      <c r="S17" s="37">
        <v>7.1</v>
      </c>
      <c r="T17" s="33"/>
      <c r="U17" s="33"/>
    </row>
    <row r="18" spans="1:21" ht="25.5" x14ac:dyDescent="0.2">
      <c r="A18" s="265">
        <v>6</v>
      </c>
      <c r="B18" s="34" t="s">
        <v>262</v>
      </c>
      <c r="C18" s="34" t="s">
        <v>159</v>
      </c>
      <c r="D18" s="34">
        <f>IF(C18="Critical",ISO90012008!B143,IF(C18="Major",ISO90012008!B144,IF(C18="Minor",ISO90012008!B145,"")))</f>
        <v>3</v>
      </c>
      <c r="E18" s="28"/>
      <c r="F18" s="34" t="s">
        <v>493</v>
      </c>
      <c r="G18" s="34" t="s">
        <v>367</v>
      </c>
      <c r="H18" s="1" t="s">
        <v>612</v>
      </c>
      <c r="I18" s="1"/>
      <c r="J18" s="1" t="s">
        <v>462</v>
      </c>
      <c r="K18" s="1" t="s">
        <v>462</v>
      </c>
      <c r="L18" s="1" t="s">
        <v>462</v>
      </c>
      <c r="M18" s="23"/>
      <c r="N18" s="23"/>
      <c r="O18" s="23"/>
      <c r="P18" s="270"/>
      <c r="Q18" s="31"/>
      <c r="R18" s="54"/>
      <c r="S18" s="37" t="s">
        <v>110</v>
      </c>
      <c r="T18" s="33"/>
      <c r="U18" s="33"/>
    </row>
    <row r="19" spans="1:21" x14ac:dyDescent="0.2">
      <c r="A19" s="266"/>
      <c r="B19" s="17" t="s">
        <v>264</v>
      </c>
      <c r="C19" s="17"/>
      <c r="D19" s="17"/>
      <c r="E19" s="17"/>
      <c r="F19" s="17"/>
      <c r="G19" s="17"/>
      <c r="H19" s="17"/>
      <c r="I19" s="17"/>
      <c r="J19" s="17"/>
      <c r="K19" s="17"/>
      <c r="L19" s="17"/>
      <c r="M19" s="17"/>
      <c r="N19" s="17"/>
      <c r="O19" s="17"/>
      <c r="P19" s="266"/>
      <c r="Q19" s="17"/>
      <c r="R19" s="17"/>
      <c r="S19" s="27"/>
      <c r="T19" s="27"/>
      <c r="U19" s="27"/>
    </row>
    <row r="20" spans="1:21" ht="25.5" x14ac:dyDescent="0.2">
      <c r="A20" s="265">
        <v>1</v>
      </c>
      <c r="B20" s="34" t="s">
        <v>263</v>
      </c>
      <c r="C20" s="34" t="s">
        <v>159</v>
      </c>
      <c r="D20" s="34">
        <f>IF(C20="Critical",ISO90012008!B143,IF(C20="Major",ISO90012008!B144,IF(C20="Minor",ISO90012008!B145,"")))</f>
        <v>3</v>
      </c>
      <c r="E20" s="28"/>
      <c r="F20" s="34" t="s">
        <v>492</v>
      </c>
      <c r="G20" s="34" t="s">
        <v>363</v>
      </c>
      <c r="H20" s="1" t="s">
        <v>611</v>
      </c>
      <c r="I20" s="1"/>
      <c r="J20" s="1" t="s">
        <v>462</v>
      </c>
      <c r="K20" s="1" t="s">
        <v>462</v>
      </c>
      <c r="L20" s="1" t="s">
        <v>462</v>
      </c>
      <c r="M20" s="19"/>
      <c r="N20" s="22"/>
      <c r="O20" s="22"/>
      <c r="P20" s="270"/>
      <c r="Q20" s="29"/>
      <c r="R20" s="29"/>
      <c r="S20" s="37">
        <v>7.1</v>
      </c>
      <c r="T20" s="33"/>
      <c r="U20" s="33"/>
    </row>
    <row r="21" spans="1:21" ht="25.5" x14ac:dyDescent="0.2">
      <c r="A21" s="265">
        <v>2</v>
      </c>
      <c r="B21" s="28" t="s">
        <v>43</v>
      </c>
      <c r="C21" s="34" t="s">
        <v>159</v>
      </c>
      <c r="D21" s="34">
        <f>IF(C21="Critical",ISO90012008!B143,IF(C21="Major",ISO90012008!B144,IF(C21="Minor",ISO90012008!B145,"")))</f>
        <v>3</v>
      </c>
      <c r="E21" s="28"/>
      <c r="F21" s="34" t="s">
        <v>492</v>
      </c>
      <c r="G21" s="34" t="s">
        <v>363</v>
      </c>
      <c r="H21" s="1" t="s">
        <v>611</v>
      </c>
      <c r="I21" s="1"/>
      <c r="J21" s="1" t="s">
        <v>462</v>
      </c>
      <c r="K21" s="1" t="s">
        <v>462</v>
      </c>
      <c r="L21" s="1" t="s">
        <v>462</v>
      </c>
      <c r="M21" s="19"/>
      <c r="N21" s="19"/>
      <c r="O21" s="19"/>
      <c r="P21" s="270"/>
      <c r="Q21" s="31"/>
      <c r="R21" s="31"/>
      <c r="S21" s="37">
        <v>7.1</v>
      </c>
      <c r="T21" s="33"/>
      <c r="U21" s="33"/>
    </row>
    <row r="22" spans="1:21" ht="25.5" x14ac:dyDescent="0.2">
      <c r="A22" s="265">
        <v>3</v>
      </c>
      <c r="B22" s="34" t="s">
        <v>171</v>
      </c>
      <c r="C22" s="34" t="s">
        <v>160</v>
      </c>
      <c r="D22" s="34">
        <f>IF(C22="Critical",ISO90012008!B143,IF(C22="Major",ISO90012008!B144,IF(C22="Minor",ISO90012008!B145,"")))</f>
        <v>1</v>
      </c>
      <c r="E22" s="34"/>
      <c r="F22" s="34" t="s">
        <v>492</v>
      </c>
      <c r="G22" s="34" t="s">
        <v>363</v>
      </c>
      <c r="H22" s="1" t="s">
        <v>612</v>
      </c>
      <c r="I22" s="1"/>
      <c r="J22" s="1" t="s">
        <v>462</v>
      </c>
      <c r="K22" s="1" t="s">
        <v>462</v>
      </c>
      <c r="L22" s="1" t="s">
        <v>462</v>
      </c>
      <c r="M22" s="19" t="s">
        <v>626</v>
      </c>
      <c r="N22" s="22"/>
      <c r="O22" s="19"/>
      <c r="P22" s="270"/>
      <c r="Q22" s="29"/>
      <c r="R22" s="29"/>
      <c r="S22" s="37">
        <v>7.1</v>
      </c>
      <c r="T22" s="33"/>
      <c r="U22" s="33"/>
    </row>
    <row r="23" spans="1:21" ht="38.25" x14ac:dyDescent="0.2">
      <c r="A23" s="265">
        <v>4</v>
      </c>
      <c r="B23" s="28" t="s">
        <v>44</v>
      </c>
      <c r="C23" s="34" t="s">
        <v>160</v>
      </c>
      <c r="D23" s="34">
        <f>IF(C23="Critical",ISO90012008!B143,IF(C23="Major",ISO90012008!B144,IF(C23="Minor",ISO90012008!B145,"")))</f>
        <v>1</v>
      </c>
      <c r="E23" s="28"/>
      <c r="F23" s="34" t="s">
        <v>492</v>
      </c>
      <c r="G23" s="34" t="s">
        <v>363</v>
      </c>
      <c r="H23" s="1" t="s">
        <v>611</v>
      </c>
      <c r="I23" s="1"/>
      <c r="J23" s="1" t="s">
        <v>462</v>
      </c>
      <c r="K23" s="1" t="s">
        <v>462</v>
      </c>
      <c r="L23" s="1" t="s">
        <v>462</v>
      </c>
      <c r="M23" s="19"/>
      <c r="N23" s="22"/>
      <c r="O23" s="23"/>
      <c r="P23" s="270"/>
      <c r="Q23" s="29"/>
      <c r="R23" s="29"/>
      <c r="S23" s="37">
        <v>7.1</v>
      </c>
      <c r="T23" s="33"/>
      <c r="U23" s="33"/>
    </row>
    <row r="24" spans="1:21" x14ac:dyDescent="0.2">
      <c r="A24" s="266"/>
      <c r="B24" s="17" t="s">
        <v>186</v>
      </c>
      <c r="C24" s="17"/>
      <c r="D24" s="17"/>
      <c r="E24" s="17"/>
      <c r="F24" s="17"/>
      <c r="G24" s="17"/>
      <c r="H24" s="17"/>
      <c r="I24" s="17"/>
      <c r="J24" s="17"/>
      <c r="K24" s="17"/>
      <c r="L24" s="17"/>
      <c r="M24" s="17"/>
      <c r="N24" s="17"/>
      <c r="O24" s="17"/>
      <c r="P24" s="266"/>
      <c r="Q24" s="17"/>
      <c r="R24" s="17"/>
      <c r="S24" s="27"/>
      <c r="T24" s="27"/>
      <c r="U24" s="27"/>
    </row>
    <row r="25" spans="1:21" ht="25.5" x14ac:dyDescent="0.2">
      <c r="A25" s="265">
        <v>1</v>
      </c>
      <c r="B25" s="22" t="s">
        <v>45</v>
      </c>
      <c r="C25" s="23" t="s">
        <v>159</v>
      </c>
      <c r="D25" s="34">
        <f>IF(C25="Critical",ISO90012008!B143,IF(C25="Major",ISO90012008!B144,IF(C25="Minor",ISO90012008!B145,"")))</f>
        <v>3</v>
      </c>
      <c r="E25" s="22"/>
      <c r="F25" s="34" t="s">
        <v>492</v>
      </c>
      <c r="G25" s="23" t="s">
        <v>368</v>
      </c>
      <c r="H25" s="1" t="s">
        <v>612</v>
      </c>
      <c r="I25" s="1"/>
      <c r="J25" s="1" t="s">
        <v>462</v>
      </c>
      <c r="K25" s="1" t="s">
        <v>462</v>
      </c>
      <c r="L25" s="1" t="s">
        <v>462</v>
      </c>
      <c r="M25" s="23" t="s">
        <v>627</v>
      </c>
      <c r="N25" s="22"/>
      <c r="O25" s="23"/>
      <c r="P25" s="270"/>
      <c r="Q25" s="29"/>
      <c r="R25" s="29"/>
      <c r="S25" s="37">
        <v>7.1</v>
      </c>
      <c r="T25" s="33"/>
      <c r="U25" s="33"/>
    </row>
    <row r="26" spans="1:21" ht="38.25" x14ac:dyDescent="0.2">
      <c r="A26" s="265">
        <v>2</v>
      </c>
      <c r="B26" s="22" t="s">
        <v>46</v>
      </c>
      <c r="C26" s="34" t="s">
        <v>109</v>
      </c>
      <c r="D26" s="34">
        <f>IF(C26="Critical",ISO90012008!B143,IF(C26="Major",ISO90012008!B144,IF(C26="Minor",ISO90012008!B145,"")))</f>
        <v>5</v>
      </c>
      <c r="E26" s="22"/>
      <c r="F26" s="34" t="s">
        <v>493</v>
      </c>
      <c r="G26" s="23" t="s">
        <v>186</v>
      </c>
      <c r="H26" s="1" t="s">
        <v>612</v>
      </c>
      <c r="I26" s="1"/>
      <c r="J26" s="1" t="s">
        <v>462</v>
      </c>
      <c r="K26" s="1" t="s">
        <v>462</v>
      </c>
      <c r="L26" s="1" t="s">
        <v>462</v>
      </c>
      <c r="M26" s="23" t="s">
        <v>627</v>
      </c>
      <c r="N26" s="22"/>
      <c r="O26" s="23"/>
      <c r="P26" s="270"/>
      <c r="Q26" s="29"/>
      <c r="R26" s="29"/>
      <c r="S26" s="37">
        <v>7.1</v>
      </c>
      <c r="T26" s="33"/>
      <c r="U26" s="33"/>
    </row>
    <row r="27" spans="1:21" ht="38.25" x14ac:dyDescent="0.2">
      <c r="A27" s="265">
        <v>3</v>
      </c>
      <c r="B27" s="23" t="s">
        <v>47</v>
      </c>
      <c r="C27" s="23" t="s">
        <v>159</v>
      </c>
      <c r="D27" s="34">
        <f>IF(C27="Critical",ISO90012008!B147,IF(C27="Major",ISO90012008!B148,IF(C27="Minor",ISO90012008!B149,"")))</f>
        <v>0</v>
      </c>
      <c r="E27" s="20" t="s">
        <v>256</v>
      </c>
      <c r="F27" s="34" t="s">
        <v>492</v>
      </c>
      <c r="G27" s="23" t="s">
        <v>369</v>
      </c>
      <c r="H27" s="1" t="s">
        <v>612</v>
      </c>
      <c r="I27" s="1"/>
      <c r="J27" s="1" t="s">
        <v>462</v>
      </c>
      <c r="K27" s="1" t="s">
        <v>462</v>
      </c>
      <c r="L27" s="1" t="s">
        <v>462</v>
      </c>
      <c r="M27" s="23" t="s">
        <v>628</v>
      </c>
      <c r="N27" s="23"/>
      <c r="O27" s="23"/>
      <c r="P27" s="270">
        <v>42305</v>
      </c>
      <c r="Q27" s="29"/>
      <c r="R27" s="239"/>
      <c r="S27" s="37">
        <v>7.1</v>
      </c>
      <c r="T27" s="33"/>
      <c r="U27" s="33"/>
    </row>
    <row r="28" spans="1:21" x14ac:dyDescent="0.2">
      <c r="A28" s="266"/>
      <c r="B28" s="17" t="s">
        <v>265</v>
      </c>
      <c r="C28" s="17"/>
      <c r="D28" s="17"/>
      <c r="E28" s="17"/>
      <c r="F28" s="17"/>
      <c r="G28" s="17"/>
      <c r="H28" s="17"/>
      <c r="I28" s="17"/>
      <c r="J28" s="17"/>
      <c r="K28" s="17"/>
      <c r="L28" s="17"/>
      <c r="M28" s="17"/>
      <c r="N28" s="17"/>
      <c r="O28" s="17"/>
      <c r="P28" s="266"/>
      <c r="Q28" s="17"/>
      <c r="R28" s="17"/>
      <c r="S28" s="27"/>
      <c r="T28" s="27"/>
      <c r="U28" s="27"/>
    </row>
    <row r="29" spans="1:21" ht="25.5" x14ac:dyDescent="0.2">
      <c r="A29" s="265">
        <v>1</v>
      </c>
      <c r="B29" s="28" t="s">
        <v>95</v>
      </c>
      <c r="C29" s="34" t="s">
        <v>109</v>
      </c>
      <c r="D29" s="34">
        <f>IF(C29="Critical",ISO90012008!B143,IF(C29="Major",ISO90012008!B144,IF(C29="Minor",ISO90012008!B145,"")))</f>
        <v>5</v>
      </c>
      <c r="E29" s="28"/>
      <c r="F29" s="34" t="s">
        <v>492</v>
      </c>
      <c r="G29" s="34" t="s">
        <v>370</v>
      </c>
      <c r="H29" s="1" t="s">
        <v>612</v>
      </c>
      <c r="I29" s="1"/>
      <c r="J29" s="244" t="s">
        <v>462</v>
      </c>
      <c r="K29" s="244" t="s">
        <v>462</v>
      </c>
      <c r="L29" s="244" t="s">
        <v>462</v>
      </c>
      <c r="M29" s="23" t="s">
        <v>620</v>
      </c>
      <c r="N29" s="245"/>
      <c r="O29" s="245"/>
      <c r="P29" s="270">
        <v>42305</v>
      </c>
      <c r="Q29" s="246"/>
      <c r="R29" s="247"/>
      <c r="S29" s="37">
        <v>7.1</v>
      </c>
      <c r="T29" s="33"/>
      <c r="U29" s="33"/>
    </row>
    <row r="30" spans="1:21" ht="38.25" x14ac:dyDescent="0.2">
      <c r="A30" s="265">
        <v>2</v>
      </c>
      <c r="B30" s="34" t="s">
        <v>266</v>
      </c>
      <c r="C30" s="34" t="s">
        <v>159</v>
      </c>
      <c r="D30" s="34">
        <f>IF(C30="Critical",ISO90012008!B143,IF(C30="Major",ISO90012008!B144,IF(C30="Minor",ISO90012008!B145,"")))</f>
        <v>3</v>
      </c>
      <c r="E30" s="28"/>
      <c r="F30" s="34" t="s">
        <v>492</v>
      </c>
      <c r="G30" s="34" t="s">
        <v>370</v>
      </c>
      <c r="H30" s="1" t="s">
        <v>462</v>
      </c>
      <c r="I30" s="1"/>
      <c r="J30" s="1" t="s">
        <v>462</v>
      </c>
      <c r="K30" s="1" t="s">
        <v>462</v>
      </c>
      <c r="L30" s="1" t="s">
        <v>462</v>
      </c>
      <c r="M30" s="23"/>
      <c r="N30" s="22"/>
      <c r="O30" s="23"/>
      <c r="P30" s="270"/>
      <c r="Q30" s="33"/>
      <c r="R30" s="33"/>
      <c r="S30" s="37">
        <v>7.1</v>
      </c>
      <c r="T30" s="33"/>
      <c r="U30" s="33"/>
    </row>
    <row r="31" spans="1:21" ht="25.5" x14ac:dyDescent="0.2">
      <c r="A31" s="265">
        <v>3</v>
      </c>
      <c r="B31" s="34" t="s">
        <v>267</v>
      </c>
      <c r="C31" s="34" t="s">
        <v>160</v>
      </c>
      <c r="D31" s="34">
        <f>IF(C31="Critical",ISO90012008!B143,IF(C31="Major",ISO90012008!B144,IF(C31="Minor",ISO90012008!B145,"")))</f>
        <v>1</v>
      </c>
      <c r="E31" s="28"/>
      <c r="F31" s="34" t="s">
        <v>495</v>
      </c>
      <c r="G31" s="34" t="s">
        <v>373</v>
      </c>
      <c r="H31" s="1" t="s">
        <v>462</v>
      </c>
      <c r="I31" s="1"/>
      <c r="J31" s="1" t="s">
        <v>462</v>
      </c>
      <c r="K31" s="1" t="s">
        <v>462</v>
      </c>
      <c r="L31" s="1" t="s">
        <v>462</v>
      </c>
      <c r="M31" s="23"/>
      <c r="N31" s="22"/>
      <c r="O31" s="23"/>
      <c r="P31" s="270"/>
      <c r="Q31" s="33"/>
      <c r="R31" s="33"/>
      <c r="S31" s="38" t="s">
        <v>110</v>
      </c>
      <c r="T31" s="33"/>
      <c r="U31" s="33"/>
    </row>
    <row r="32" spans="1:21" x14ac:dyDescent="0.2">
      <c r="A32" s="266"/>
      <c r="B32" s="17" t="s">
        <v>269</v>
      </c>
      <c r="C32" s="17"/>
      <c r="D32" s="17"/>
      <c r="E32" s="17"/>
      <c r="F32" s="17"/>
      <c r="G32" s="17"/>
      <c r="H32" s="17"/>
      <c r="I32" s="17"/>
      <c r="J32" s="17"/>
      <c r="K32" s="17"/>
      <c r="L32" s="17"/>
      <c r="M32" s="17"/>
      <c r="N32" s="17"/>
      <c r="O32" s="17"/>
      <c r="P32" s="266"/>
      <c r="Q32" s="17"/>
      <c r="R32" s="17"/>
      <c r="S32" s="27"/>
      <c r="T32" s="27"/>
      <c r="U32" s="27"/>
    </row>
    <row r="33" spans="1:21" ht="25.5" x14ac:dyDescent="0.2">
      <c r="A33" s="265">
        <v>1</v>
      </c>
      <c r="B33" s="22" t="s">
        <v>48</v>
      </c>
      <c r="C33" s="23" t="s">
        <v>159</v>
      </c>
      <c r="D33" s="34">
        <f>IF(C33="Critical",ISO90012008!B143,IF(C33="Major",ISO90012008!B144,IF(C33="Minor",ISO90012008!B145,"")))</f>
        <v>3</v>
      </c>
      <c r="E33" s="22"/>
      <c r="F33" s="23" t="s">
        <v>492</v>
      </c>
      <c r="G33" s="23" t="s">
        <v>363</v>
      </c>
      <c r="H33" s="1" t="s">
        <v>611</v>
      </c>
      <c r="I33" s="1"/>
      <c r="J33" s="1" t="s">
        <v>462</v>
      </c>
      <c r="K33" s="1" t="s">
        <v>462</v>
      </c>
      <c r="L33" s="1" t="s">
        <v>462</v>
      </c>
      <c r="M33" s="19"/>
      <c r="N33" s="19"/>
      <c r="O33" s="19"/>
      <c r="P33" s="270"/>
      <c r="Q33" s="29"/>
      <c r="R33" s="29"/>
      <c r="S33" s="38" t="s">
        <v>436</v>
      </c>
      <c r="T33" s="33"/>
      <c r="U33" s="33"/>
    </row>
    <row r="34" spans="1:21" ht="81" customHeight="1" x14ac:dyDescent="0.2">
      <c r="A34" s="265">
        <v>2</v>
      </c>
      <c r="B34" s="34" t="s">
        <v>270</v>
      </c>
      <c r="C34" s="34" t="s">
        <v>160</v>
      </c>
      <c r="D34" s="34">
        <f>IF(C34="Critical",ISO90012008!B143,IF(C34="Major",ISO90012008!B144,IF(C34="Minor",ISO90012008!B145,"")))</f>
        <v>1</v>
      </c>
      <c r="E34" s="28"/>
      <c r="F34" s="34" t="s">
        <v>492</v>
      </c>
      <c r="G34" s="23" t="s">
        <v>363</v>
      </c>
      <c r="H34" s="1" t="s">
        <v>611</v>
      </c>
      <c r="I34" s="1"/>
      <c r="J34" s="1" t="s">
        <v>462</v>
      </c>
      <c r="K34" s="1" t="s">
        <v>462</v>
      </c>
      <c r="L34" s="1" t="s">
        <v>462</v>
      </c>
      <c r="M34" s="23"/>
      <c r="N34" s="19"/>
      <c r="O34" s="19"/>
      <c r="P34" s="270"/>
      <c r="Q34" s="33"/>
      <c r="R34" s="33"/>
      <c r="S34" s="37">
        <v>7.1</v>
      </c>
      <c r="T34" s="33"/>
      <c r="U34" s="33"/>
    </row>
    <row r="35" spans="1:21" ht="38.25" x14ac:dyDescent="0.2">
      <c r="A35" s="265">
        <v>3</v>
      </c>
      <c r="B35" s="23" t="s">
        <v>271</v>
      </c>
      <c r="C35" s="34" t="s">
        <v>160</v>
      </c>
      <c r="D35" s="34">
        <f>IF(C35="Critical",ISO90012008!B143,IF(C35="Major",ISO90012008!B144,IF(C35="Minor",ISO90012008!B145,"")))</f>
        <v>1</v>
      </c>
      <c r="E35" s="22"/>
      <c r="F35" s="34" t="s">
        <v>492</v>
      </c>
      <c r="G35" s="23" t="s">
        <v>363</v>
      </c>
      <c r="H35" s="1" t="s">
        <v>611</v>
      </c>
      <c r="I35" s="1"/>
      <c r="J35" s="1" t="s">
        <v>462</v>
      </c>
      <c r="K35" s="1" t="s">
        <v>462</v>
      </c>
      <c r="L35" s="1" t="s">
        <v>462</v>
      </c>
      <c r="M35" s="19"/>
      <c r="N35" s="19"/>
      <c r="O35" s="23"/>
      <c r="P35" s="270"/>
      <c r="Q35" s="31"/>
      <c r="R35" s="31"/>
      <c r="S35" s="37">
        <v>7.1</v>
      </c>
      <c r="T35" s="33"/>
      <c r="U35" s="33"/>
    </row>
    <row r="36" spans="1:21" ht="25.5" x14ac:dyDescent="0.2">
      <c r="A36" s="265">
        <v>4</v>
      </c>
      <c r="B36" s="28" t="s">
        <v>49</v>
      </c>
      <c r="C36" s="34" t="s">
        <v>109</v>
      </c>
      <c r="D36" s="34">
        <f>IF(C36="Critical",ISO90012008!B143,IF(C36="Major",ISO90012008!B144,IF(C36="Minor",ISO90012008!B145,"")))</f>
        <v>5</v>
      </c>
      <c r="E36" s="28"/>
      <c r="F36" s="34" t="s">
        <v>492</v>
      </c>
      <c r="G36" s="23" t="s">
        <v>363</v>
      </c>
      <c r="H36" s="1" t="s">
        <v>611</v>
      </c>
      <c r="I36" s="1"/>
      <c r="J36" s="1" t="s">
        <v>462</v>
      </c>
      <c r="K36" s="1" t="s">
        <v>462</v>
      </c>
      <c r="L36" s="1" t="s">
        <v>462</v>
      </c>
      <c r="M36" s="19"/>
      <c r="N36" s="19"/>
      <c r="O36" s="19"/>
      <c r="P36" s="270"/>
      <c r="Q36" s="29"/>
      <c r="R36" s="29"/>
      <c r="S36" s="37">
        <v>7.1</v>
      </c>
      <c r="T36" s="33"/>
      <c r="U36" s="33"/>
    </row>
    <row r="37" spans="1:21" ht="38.25" x14ac:dyDescent="0.2">
      <c r="A37" s="265">
        <v>5</v>
      </c>
      <c r="B37" s="22" t="s">
        <v>50</v>
      </c>
      <c r="C37" s="23" t="s">
        <v>160</v>
      </c>
      <c r="D37" s="34">
        <f>IF(C37="Critical",ISO90012008!B143,IF(C37="Major",ISO90012008!B144,IF(C37="Minor",ISO90012008!B145,"")))</f>
        <v>1</v>
      </c>
      <c r="E37" s="22"/>
      <c r="F37" s="34" t="s">
        <v>492</v>
      </c>
      <c r="G37" s="23" t="s">
        <v>363</v>
      </c>
      <c r="H37" s="1" t="s">
        <v>611</v>
      </c>
      <c r="I37" s="1"/>
      <c r="J37" s="1" t="s">
        <v>462</v>
      </c>
      <c r="K37" s="1" t="s">
        <v>462</v>
      </c>
      <c r="L37" s="1" t="s">
        <v>462</v>
      </c>
      <c r="M37" s="19"/>
      <c r="N37" s="19"/>
      <c r="O37" s="23"/>
      <c r="P37" s="270"/>
      <c r="Q37" s="31"/>
      <c r="R37" s="31"/>
      <c r="S37" s="37">
        <v>7.1</v>
      </c>
      <c r="T37" s="33"/>
      <c r="U37" s="33"/>
    </row>
    <row r="38" spans="1:21" ht="25.5" x14ac:dyDescent="0.2">
      <c r="A38" s="265">
        <v>6</v>
      </c>
      <c r="B38" s="22" t="s">
        <v>51</v>
      </c>
      <c r="C38" s="23" t="s">
        <v>160</v>
      </c>
      <c r="D38" s="34">
        <f>IF(C38="Critical",ISO90012008!B143,IF(C38="Major",ISO90012008!B144,IF(C38="Minor",ISO90012008!B145,"")))</f>
        <v>1</v>
      </c>
      <c r="E38" s="22"/>
      <c r="F38" s="34" t="s">
        <v>492</v>
      </c>
      <c r="G38" s="23" t="s">
        <v>363</v>
      </c>
      <c r="H38" s="1" t="s">
        <v>611</v>
      </c>
      <c r="I38" s="1"/>
      <c r="J38" s="1" t="s">
        <v>462</v>
      </c>
      <c r="K38" s="1" t="s">
        <v>462</v>
      </c>
      <c r="L38" s="1" t="s">
        <v>462</v>
      </c>
      <c r="M38" s="19"/>
      <c r="N38" s="22"/>
      <c r="O38" s="22"/>
      <c r="P38" s="270"/>
      <c r="Q38" s="29"/>
      <c r="R38" s="29"/>
      <c r="S38" s="37">
        <v>7.1</v>
      </c>
      <c r="T38" s="33"/>
      <c r="U38" s="33"/>
    </row>
    <row r="39" spans="1:21" ht="25.5" x14ac:dyDescent="0.2">
      <c r="A39" s="265">
        <v>7</v>
      </c>
      <c r="B39" s="22" t="s">
        <v>53</v>
      </c>
      <c r="C39" s="23" t="s">
        <v>160</v>
      </c>
      <c r="D39" s="34">
        <f>IF(C39="Critical",ISO90012008!B143,IF(C39="Major",ISO90012008!B144,IF(C39="Minor",ISO90012008!B145,"")))</f>
        <v>1</v>
      </c>
      <c r="E39" s="22"/>
      <c r="F39" s="34" t="s">
        <v>492</v>
      </c>
      <c r="G39" s="23" t="s">
        <v>363</v>
      </c>
      <c r="H39" s="1" t="s">
        <v>611</v>
      </c>
      <c r="I39" s="1"/>
      <c r="J39" s="1" t="s">
        <v>462</v>
      </c>
      <c r="K39" s="1" t="s">
        <v>462</v>
      </c>
      <c r="L39" s="1" t="s">
        <v>462</v>
      </c>
      <c r="M39" s="23"/>
      <c r="N39" s="19"/>
      <c r="O39" s="22"/>
      <c r="P39" s="270"/>
      <c r="Q39" s="29"/>
      <c r="R39" s="29"/>
      <c r="S39" s="37">
        <v>7.1</v>
      </c>
      <c r="T39" s="33"/>
      <c r="U39" s="33"/>
    </row>
    <row r="40" spans="1:21" ht="25.5" x14ac:dyDescent="0.2">
      <c r="A40" s="265">
        <v>8</v>
      </c>
      <c r="B40" s="22" t="s">
        <v>54</v>
      </c>
      <c r="C40" s="23" t="s">
        <v>159</v>
      </c>
      <c r="D40" s="34">
        <f>IF(C40="Critical",ISO90012008!B143,IF(C40="Major",ISO90012008!B144,IF(C40="Minor",ISO90012008!B145,"")))</f>
        <v>3</v>
      </c>
      <c r="E40" s="22"/>
      <c r="F40" s="34" t="s">
        <v>492</v>
      </c>
      <c r="G40" s="23" t="s">
        <v>363</v>
      </c>
      <c r="H40" s="1" t="s">
        <v>612</v>
      </c>
      <c r="I40" s="1"/>
      <c r="J40" s="1" t="s">
        <v>462</v>
      </c>
      <c r="K40" s="1" t="s">
        <v>462</v>
      </c>
      <c r="L40" s="1" t="s">
        <v>462</v>
      </c>
      <c r="M40" s="23" t="s">
        <v>614</v>
      </c>
      <c r="N40" s="22"/>
      <c r="O40" s="23"/>
      <c r="P40" s="270">
        <v>42305</v>
      </c>
      <c r="Q40" s="33"/>
      <c r="R40" s="33"/>
      <c r="S40" s="37">
        <v>7.1</v>
      </c>
      <c r="T40" s="33"/>
      <c r="U40" s="33"/>
    </row>
    <row r="41" spans="1:21" x14ac:dyDescent="0.2">
      <c r="A41" s="265">
        <v>9</v>
      </c>
      <c r="B41" s="22" t="s">
        <v>55</v>
      </c>
      <c r="C41" s="23" t="s">
        <v>109</v>
      </c>
      <c r="D41" s="34">
        <f>IF(C41="Critical",ISO90012008!B143,IF(C41="Major",ISO90012008!B144,IF(C41="Minor",ISO90012008!B145,"")))</f>
        <v>5</v>
      </c>
      <c r="E41" s="22"/>
      <c r="F41" s="34" t="s">
        <v>492</v>
      </c>
      <c r="G41" s="23" t="s">
        <v>363</v>
      </c>
      <c r="H41" s="1" t="s">
        <v>612</v>
      </c>
      <c r="I41" s="1"/>
      <c r="J41" s="1" t="s">
        <v>462</v>
      </c>
      <c r="K41" s="1" t="s">
        <v>462</v>
      </c>
      <c r="L41" s="1" t="s">
        <v>462</v>
      </c>
      <c r="M41" s="19" t="s">
        <v>629</v>
      </c>
      <c r="N41" s="22"/>
      <c r="O41" s="23"/>
      <c r="P41" s="270"/>
      <c r="Q41" s="33"/>
      <c r="R41" s="33"/>
      <c r="S41" s="37">
        <v>7.1</v>
      </c>
      <c r="T41" s="33"/>
      <c r="U41" s="33"/>
    </row>
    <row r="42" spans="1:21" x14ac:dyDescent="0.2">
      <c r="A42" s="266"/>
      <c r="B42" s="17" t="s">
        <v>276</v>
      </c>
      <c r="C42" s="17"/>
      <c r="D42" s="17"/>
      <c r="E42" s="17"/>
      <c r="F42" s="17"/>
      <c r="G42" s="17"/>
      <c r="H42" s="17"/>
      <c r="I42" s="17"/>
      <c r="J42" s="17"/>
      <c r="K42" s="17"/>
      <c r="L42" s="17"/>
      <c r="M42" s="17"/>
      <c r="N42" s="17"/>
      <c r="O42" s="17"/>
      <c r="P42" s="266"/>
      <c r="Q42" s="17"/>
      <c r="R42" s="17"/>
      <c r="S42" s="27"/>
      <c r="T42" s="27"/>
      <c r="U42" s="27"/>
    </row>
    <row r="43" spans="1:21" ht="25.5" x14ac:dyDescent="0.2">
      <c r="A43" s="265">
        <v>1</v>
      </c>
      <c r="B43" s="23" t="s">
        <v>277</v>
      </c>
      <c r="C43" s="34" t="s">
        <v>109</v>
      </c>
      <c r="D43" s="34">
        <f>IF(C43="Critical",ISO90012008!B143,IF(C43="Major",ISO90012008!B144,IF(C43="Minor",ISO90012008!B145,"")))</f>
        <v>5</v>
      </c>
      <c r="E43" s="22"/>
      <c r="F43" s="23" t="s">
        <v>492</v>
      </c>
      <c r="G43" s="23" t="s">
        <v>371</v>
      </c>
      <c r="H43" s="1" t="s">
        <v>611</v>
      </c>
      <c r="I43" s="1"/>
      <c r="J43" s="1" t="s">
        <v>462</v>
      </c>
      <c r="K43" s="1" t="s">
        <v>462</v>
      </c>
      <c r="L43" s="1" t="s">
        <v>462</v>
      </c>
      <c r="M43" s="23"/>
      <c r="N43" s="22"/>
      <c r="O43" s="22"/>
      <c r="P43" s="270"/>
      <c r="Q43" s="29"/>
      <c r="R43" s="29"/>
      <c r="S43" s="37">
        <v>7.1</v>
      </c>
      <c r="T43" s="33"/>
      <c r="U43" s="33"/>
    </row>
    <row r="44" spans="1:21" x14ac:dyDescent="0.2">
      <c r="A44" s="266"/>
      <c r="B44" s="17" t="s">
        <v>190</v>
      </c>
      <c r="C44" s="17"/>
      <c r="D44" s="17"/>
      <c r="E44" s="17"/>
      <c r="F44" s="17"/>
      <c r="G44" s="17"/>
      <c r="H44" s="17"/>
      <c r="I44" s="17"/>
      <c r="J44" s="17"/>
      <c r="K44" s="17"/>
      <c r="L44" s="17"/>
      <c r="M44" s="17"/>
      <c r="N44" s="17"/>
      <c r="O44" s="17"/>
      <c r="P44" s="266"/>
      <c r="Q44" s="17"/>
      <c r="R44" s="17"/>
      <c r="S44" s="27"/>
      <c r="T44" s="27"/>
      <c r="U44" s="27"/>
    </row>
    <row r="45" spans="1:21" ht="25.5" x14ac:dyDescent="0.2">
      <c r="A45" s="265">
        <v>1</v>
      </c>
      <c r="B45" s="23" t="s">
        <v>275</v>
      </c>
      <c r="C45" s="34" t="s">
        <v>109</v>
      </c>
      <c r="D45" s="34">
        <f>IF(C45="Critical",ISO90012008!B143,IF(C45="Major",ISO90012008!B144,IF(C45="Minor",ISO90012008!B145,"")))</f>
        <v>5</v>
      </c>
      <c r="E45" s="22"/>
      <c r="F45" s="23" t="s">
        <v>492</v>
      </c>
      <c r="G45" s="23" t="s">
        <v>190</v>
      </c>
      <c r="H45" s="1" t="s">
        <v>611</v>
      </c>
      <c r="I45" s="1"/>
      <c r="J45" s="1" t="s">
        <v>462</v>
      </c>
      <c r="K45" s="1" t="s">
        <v>462</v>
      </c>
      <c r="L45" s="1" t="s">
        <v>462</v>
      </c>
      <c r="M45" s="23"/>
      <c r="N45" s="22"/>
      <c r="O45" s="22"/>
      <c r="P45" s="270"/>
      <c r="Q45" s="29"/>
      <c r="R45" s="29"/>
      <c r="S45" s="37">
        <v>7.1</v>
      </c>
      <c r="T45" s="33"/>
      <c r="U45" s="33"/>
    </row>
    <row r="46" spans="1:21" ht="25.5" x14ac:dyDescent="0.2">
      <c r="A46" s="265">
        <v>2</v>
      </c>
      <c r="B46" s="23" t="s">
        <v>435</v>
      </c>
      <c r="C46" s="23" t="s">
        <v>160</v>
      </c>
      <c r="D46" s="34">
        <f>IF(C46="Critical",ISO90012008!B143,IF(C46="Major",ISO90012008!B144,IF(C46="Minor",ISO90012008!B145,"")))</f>
        <v>1</v>
      </c>
      <c r="E46" s="22"/>
      <c r="F46" s="23" t="s">
        <v>495</v>
      </c>
      <c r="G46" s="23" t="s">
        <v>372</v>
      </c>
      <c r="H46" s="1" t="s">
        <v>611</v>
      </c>
      <c r="I46" s="1"/>
      <c r="J46" s="1" t="s">
        <v>462</v>
      </c>
      <c r="K46" s="1" t="s">
        <v>462</v>
      </c>
      <c r="L46" s="1" t="s">
        <v>462</v>
      </c>
      <c r="M46" s="23"/>
      <c r="N46" s="22"/>
      <c r="O46" s="22"/>
      <c r="P46" s="270"/>
      <c r="Q46" s="29"/>
      <c r="R46" s="29"/>
      <c r="S46" s="38" t="s">
        <v>110</v>
      </c>
      <c r="T46" s="33"/>
      <c r="U46" s="33"/>
    </row>
    <row r="47" spans="1:21" x14ac:dyDescent="0.2">
      <c r="A47" s="266"/>
      <c r="B47" s="17" t="s">
        <v>279</v>
      </c>
      <c r="C47" s="17"/>
      <c r="D47" s="17"/>
      <c r="E47" s="17"/>
      <c r="F47" s="17"/>
      <c r="G47" s="17"/>
      <c r="H47" s="17"/>
      <c r="I47" s="17"/>
      <c r="J47" s="17"/>
      <c r="K47" s="17"/>
      <c r="L47" s="17"/>
      <c r="M47" s="17"/>
      <c r="N47" s="17"/>
      <c r="O47" s="17"/>
      <c r="P47" s="266"/>
      <c r="Q47" s="17"/>
      <c r="R47" s="17"/>
      <c r="S47" s="27"/>
      <c r="T47" s="27"/>
      <c r="U47" s="27"/>
    </row>
    <row r="48" spans="1:21" ht="25.5" x14ac:dyDescent="0.2">
      <c r="A48" s="265">
        <v>1</v>
      </c>
      <c r="B48" s="22" t="s">
        <v>52</v>
      </c>
      <c r="C48" s="34" t="s">
        <v>109</v>
      </c>
      <c r="D48" s="34">
        <f>IF(C48="Critical",ISO90012008!B143,IF(C48="Major",ISO90012008!B144,IF(C48="Minor",ISO90012008!B145,"")))</f>
        <v>5</v>
      </c>
      <c r="E48" s="22"/>
      <c r="F48" s="23" t="s">
        <v>492</v>
      </c>
      <c r="G48" s="23" t="s">
        <v>363</v>
      </c>
      <c r="H48" s="1" t="s">
        <v>611</v>
      </c>
      <c r="I48" s="1"/>
      <c r="J48" s="1" t="s">
        <v>462</v>
      </c>
      <c r="K48" s="1" t="s">
        <v>462</v>
      </c>
      <c r="L48" s="1" t="s">
        <v>462</v>
      </c>
      <c r="M48" s="23"/>
      <c r="N48" s="22"/>
      <c r="O48" s="22"/>
      <c r="P48" s="271"/>
      <c r="Q48" s="29"/>
      <c r="R48" s="29"/>
      <c r="S48" s="37">
        <v>7.1</v>
      </c>
      <c r="T48" s="33"/>
      <c r="U48" s="33"/>
    </row>
    <row r="49" spans="1:21" x14ac:dyDescent="0.2">
      <c r="A49" s="266"/>
      <c r="B49" s="17" t="s">
        <v>280</v>
      </c>
      <c r="C49" s="17"/>
      <c r="D49" s="17"/>
      <c r="E49" s="17"/>
      <c r="F49" s="17"/>
      <c r="G49" s="17"/>
      <c r="H49" s="17"/>
      <c r="I49" s="17"/>
      <c r="J49" s="17"/>
      <c r="K49" s="17"/>
      <c r="L49" s="17"/>
      <c r="M49" s="17"/>
      <c r="N49" s="17"/>
      <c r="O49" s="17"/>
      <c r="P49" s="266"/>
      <c r="Q49" s="17"/>
      <c r="R49" s="17"/>
      <c r="S49" s="27"/>
      <c r="T49" s="27"/>
      <c r="U49" s="27"/>
    </row>
    <row r="50" spans="1:21" ht="25.5" x14ac:dyDescent="0.2">
      <c r="A50" s="265">
        <v>1</v>
      </c>
      <c r="B50" s="23" t="s">
        <v>68</v>
      </c>
      <c r="C50" s="34" t="s">
        <v>109</v>
      </c>
      <c r="D50" s="34">
        <f>IF(C50="Critical",ISO90012008!B143,IF(C50="Major",ISO90012008!B144,IF(C50="Minor",ISO90012008!B145,"")))</f>
        <v>5</v>
      </c>
      <c r="E50" s="23"/>
      <c r="F50" s="23" t="s">
        <v>492</v>
      </c>
      <c r="G50" s="23" t="s">
        <v>374</v>
      </c>
      <c r="H50" s="1" t="s">
        <v>612</v>
      </c>
      <c r="I50" s="1"/>
      <c r="J50" s="1" t="s">
        <v>462</v>
      </c>
      <c r="K50" s="1" t="s">
        <v>462</v>
      </c>
      <c r="L50" s="1" t="s">
        <v>462</v>
      </c>
      <c r="M50" s="41" t="s">
        <v>630</v>
      </c>
      <c r="N50" s="19"/>
      <c r="O50" s="19"/>
      <c r="P50" s="270"/>
      <c r="Q50" s="31"/>
      <c r="R50" s="31"/>
      <c r="S50" s="37">
        <v>7.1</v>
      </c>
      <c r="T50" s="33"/>
      <c r="U50" s="33"/>
    </row>
    <row r="51" spans="1:21" ht="25.5" x14ac:dyDescent="0.2">
      <c r="A51" s="265">
        <v>2</v>
      </c>
      <c r="B51" s="23" t="s">
        <v>56</v>
      </c>
      <c r="C51" s="23" t="s">
        <v>159</v>
      </c>
      <c r="D51" s="34">
        <f>IF(C51="Critical",ISO90012008!B143,IF(C51="Major",ISO90012008!B144,IF(C51="Minor",ISO90012008!B145,"")))</f>
        <v>3</v>
      </c>
      <c r="E51" s="22"/>
      <c r="F51" s="23" t="s">
        <v>492</v>
      </c>
      <c r="G51" s="23" t="s">
        <v>374</v>
      </c>
      <c r="H51" s="1" t="s">
        <v>612</v>
      </c>
      <c r="I51" s="1"/>
      <c r="J51" s="1" t="s">
        <v>462</v>
      </c>
      <c r="K51" s="1" t="s">
        <v>462</v>
      </c>
      <c r="L51" s="1" t="s">
        <v>462</v>
      </c>
      <c r="M51" s="41" t="s">
        <v>630</v>
      </c>
      <c r="N51" s="19"/>
      <c r="O51" s="19"/>
      <c r="P51" s="270"/>
      <c r="Q51" s="31"/>
      <c r="R51" s="31"/>
      <c r="S51" s="37">
        <v>7.1</v>
      </c>
      <c r="T51" s="33"/>
      <c r="U51" s="33"/>
    </row>
    <row r="52" spans="1:21" s="18" customFormat="1" ht="25.5" x14ac:dyDescent="0.2">
      <c r="A52" s="265">
        <v>3</v>
      </c>
      <c r="B52" s="23" t="s">
        <v>62</v>
      </c>
      <c r="C52" s="23" t="s">
        <v>159</v>
      </c>
      <c r="D52" s="34">
        <f>IF(C52="Critical",ISO90012008!B143,IF(C52="Major",ISO90012008!B144,IF(C52="Minor",ISO90012008!B145,"")))</f>
        <v>3</v>
      </c>
      <c r="E52" s="22"/>
      <c r="F52" s="23" t="s">
        <v>492</v>
      </c>
      <c r="G52" s="23" t="s">
        <v>375</v>
      </c>
      <c r="H52" s="1" t="s">
        <v>612</v>
      </c>
      <c r="I52" s="1"/>
      <c r="J52" s="1" t="s">
        <v>462</v>
      </c>
      <c r="K52" s="1" t="s">
        <v>462</v>
      </c>
      <c r="L52" s="1" t="s">
        <v>462</v>
      </c>
      <c r="M52" s="41" t="s">
        <v>630</v>
      </c>
      <c r="N52" s="19"/>
      <c r="O52" s="19"/>
      <c r="P52" s="270"/>
      <c r="Q52" s="33"/>
      <c r="R52" s="33"/>
      <c r="S52" s="37">
        <v>7.1</v>
      </c>
      <c r="T52" s="179"/>
      <c r="U52" s="179"/>
    </row>
    <row r="53" spans="1:21" x14ac:dyDescent="0.2">
      <c r="A53" s="266"/>
      <c r="B53" s="17" t="s">
        <v>284</v>
      </c>
      <c r="C53" s="17"/>
      <c r="D53" s="17"/>
      <c r="E53" s="17"/>
      <c r="F53" s="17"/>
      <c r="G53" s="17"/>
      <c r="H53" s="17"/>
      <c r="I53" s="17"/>
      <c r="J53" s="17"/>
      <c r="K53" s="17"/>
      <c r="L53" s="17"/>
      <c r="M53" s="17"/>
      <c r="N53" s="17"/>
      <c r="O53" s="17"/>
      <c r="P53" s="266"/>
      <c r="Q53" s="17"/>
      <c r="R53" s="17"/>
      <c r="S53" s="27"/>
      <c r="T53" s="27"/>
      <c r="U53" s="27"/>
    </row>
    <row r="54" spans="1:21" x14ac:dyDescent="0.2">
      <c r="A54" s="265">
        <v>1</v>
      </c>
      <c r="B54" s="23" t="s">
        <v>290</v>
      </c>
      <c r="C54" s="34" t="s">
        <v>109</v>
      </c>
      <c r="D54" s="34">
        <f>IF(C54="Critical",ISO90012008!B143,IF(C54="Major",ISO90012008!B144,IF(C54="Minor",ISO90012008!B145,"")))</f>
        <v>5</v>
      </c>
      <c r="E54" s="20" t="s">
        <v>256</v>
      </c>
      <c r="F54" s="20" t="s">
        <v>492</v>
      </c>
      <c r="G54" s="23" t="s">
        <v>363</v>
      </c>
      <c r="H54" s="1" t="s">
        <v>611</v>
      </c>
      <c r="I54" s="1"/>
      <c r="J54" s="1" t="s">
        <v>462</v>
      </c>
      <c r="K54" s="1" t="s">
        <v>462</v>
      </c>
      <c r="L54" s="1" t="s">
        <v>462</v>
      </c>
      <c r="M54" s="23"/>
      <c r="N54" s="22"/>
      <c r="O54" s="23"/>
      <c r="P54" s="270"/>
      <c r="Q54" s="31"/>
      <c r="R54" s="31"/>
      <c r="S54" s="37">
        <v>7.1</v>
      </c>
      <c r="T54" s="33"/>
      <c r="U54" s="33"/>
    </row>
    <row r="55" spans="1:21" x14ac:dyDescent="0.2">
      <c r="A55" s="265">
        <v>2</v>
      </c>
      <c r="B55" s="22" t="s">
        <v>57</v>
      </c>
      <c r="C55" s="34" t="s">
        <v>109</v>
      </c>
      <c r="D55" s="34">
        <f>IF(C55="Critical",ISO90012008!B143,IF(C55="Major",ISO90012008!B144,IF(C55="Minor",ISO90012008!B145,"")))</f>
        <v>5</v>
      </c>
      <c r="E55" s="20" t="s">
        <v>256</v>
      </c>
      <c r="F55" s="20" t="s">
        <v>492</v>
      </c>
      <c r="G55" s="23" t="s">
        <v>363</v>
      </c>
      <c r="H55" s="1" t="s">
        <v>611</v>
      </c>
      <c r="I55" s="1"/>
      <c r="J55" s="1" t="s">
        <v>462</v>
      </c>
      <c r="K55" s="1" t="s">
        <v>462</v>
      </c>
      <c r="L55" s="1" t="s">
        <v>462</v>
      </c>
      <c r="M55" s="23"/>
      <c r="N55" s="22"/>
      <c r="O55" s="23"/>
      <c r="P55" s="270"/>
      <c r="Q55" s="33"/>
      <c r="R55" s="33"/>
      <c r="S55" s="37">
        <v>7.1</v>
      </c>
      <c r="T55" s="33"/>
      <c r="U55" s="33"/>
    </row>
    <row r="56" spans="1:21" x14ac:dyDescent="0.2">
      <c r="A56" s="265">
        <v>3</v>
      </c>
      <c r="B56" s="22" t="s">
        <v>58</v>
      </c>
      <c r="C56" s="34" t="s">
        <v>109</v>
      </c>
      <c r="D56" s="34">
        <f>IF(C56="Critical",ISO90012008!B143,IF(C56="Major",ISO90012008!B144,IF(C56="Minor",ISO90012008!B145,"")))</f>
        <v>5</v>
      </c>
      <c r="E56" s="20" t="s">
        <v>256</v>
      </c>
      <c r="F56" s="20" t="s">
        <v>492</v>
      </c>
      <c r="G56" s="23" t="s">
        <v>363</v>
      </c>
      <c r="H56" s="1" t="s">
        <v>611</v>
      </c>
      <c r="I56" s="1"/>
      <c r="J56" s="1" t="s">
        <v>462</v>
      </c>
      <c r="K56" s="1" t="s">
        <v>462</v>
      </c>
      <c r="L56" s="1" t="s">
        <v>462</v>
      </c>
      <c r="M56" s="23"/>
      <c r="N56" s="22"/>
      <c r="O56" s="23"/>
      <c r="P56" s="270"/>
      <c r="Q56" s="33"/>
      <c r="R56" s="33"/>
      <c r="S56" s="37">
        <v>7.1</v>
      </c>
      <c r="T56" s="33"/>
      <c r="U56" s="33"/>
    </row>
    <row r="57" spans="1:21" x14ac:dyDescent="0.2">
      <c r="A57" s="266"/>
      <c r="B57" s="17" t="s">
        <v>281</v>
      </c>
      <c r="C57" s="17"/>
      <c r="D57" s="17"/>
      <c r="E57" s="17"/>
      <c r="F57" s="17"/>
      <c r="G57" s="17"/>
      <c r="H57" s="17"/>
      <c r="I57" s="17"/>
      <c r="J57" s="17"/>
      <c r="K57" s="17"/>
      <c r="L57" s="17"/>
      <c r="M57" s="17"/>
      <c r="N57" s="17"/>
      <c r="O57" s="17"/>
      <c r="P57" s="266"/>
      <c r="Q57" s="17"/>
      <c r="R57" s="17"/>
      <c r="S57" s="27"/>
      <c r="T57" s="27"/>
      <c r="U57" s="27"/>
    </row>
    <row r="58" spans="1:21" ht="30" customHeight="1" x14ac:dyDescent="0.2">
      <c r="A58" s="265">
        <v>1</v>
      </c>
      <c r="B58" s="22" t="s">
        <v>59</v>
      </c>
      <c r="C58" s="34" t="s">
        <v>109</v>
      </c>
      <c r="D58" s="34">
        <f>IF(C58="Critical",ISO90012008!B143,IF(C58="Major",ISO90012008!B144,IF(C58="Minor",ISO90012008!B145,"")))</f>
        <v>5</v>
      </c>
      <c r="E58" s="22"/>
      <c r="F58" s="23" t="s">
        <v>492</v>
      </c>
      <c r="G58" s="23" t="s">
        <v>363</v>
      </c>
      <c r="H58" s="1" t="s">
        <v>611</v>
      </c>
      <c r="I58" s="1"/>
      <c r="J58" s="1" t="s">
        <v>462</v>
      </c>
      <c r="K58" s="1" t="s">
        <v>462</v>
      </c>
      <c r="L58" s="1" t="s">
        <v>462</v>
      </c>
      <c r="M58" s="23"/>
      <c r="N58" s="19"/>
      <c r="O58" s="19"/>
      <c r="P58" s="270"/>
      <c r="Q58" s="29"/>
      <c r="R58" s="29"/>
      <c r="S58" s="37">
        <v>7.1</v>
      </c>
      <c r="T58" s="33"/>
      <c r="U58" s="33"/>
    </row>
    <row r="59" spans="1:21" ht="25.5" x14ac:dyDescent="0.2">
      <c r="A59" s="265">
        <v>2</v>
      </c>
      <c r="B59" s="245" t="s">
        <v>60</v>
      </c>
      <c r="C59" s="23" t="s">
        <v>159</v>
      </c>
      <c r="D59" s="34">
        <f>IF(C59="Critical",ISO90012008!B143,IF(C59="Major",ISO90012008!B144,IF(C59="Minor",ISO90012008!B145,"")))</f>
        <v>3</v>
      </c>
      <c r="E59" s="22"/>
      <c r="F59" s="23" t="s">
        <v>492</v>
      </c>
      <c r="G59" s="23" t="s">
        <v>363</v>
      </c>
      <c r="H59" s="1" t="s">
        <v>612</v>
      </c>
      <c r="I59" s="1"/>
      <c r="J59" s="1" t="s">
        <v>462</v>
      </c>
      <c r="K59" s="1" t="s">
        <v>462</v>
      </c>
      <c r="L59" s="1" t="s">
        <v>462</v>
      </c>
      <c r="M59" s="23" t="s">
        <v>632</v>
      </c>
      <c r="N59" s="23"/>
      <c r="O59" s="23"/>
      <c r="P59" s="270"/>
      <c r="Q59" s="29"/>
      <c r="R59" s="29"/>
      <c r="S59" s="37">
        <v>7.1</v>
      </c>
      <c r="T59" s="33"/>
      <c r="U59" s="33"/>
    </row>
    <row r="60" spans="1:21" ht="25.5" x14ac:dyDescent="0.2">
      <c r="A60" s="265">
        <v>3</v>
      </c>
      <c r="B60" s="23" t="s">
        <v>172</v>
      </c>
      <c r="C60" s="23" t="s">
        <v>160</v>
      </c>
      <c r="D60" s="34">
        <f>IF(C60="Critical",ISO90012008!B143,IF(C60="Major",ISO90012008!B144,IF(C60="Minor",ISO90012008!B145,"")))</f>
        <v>1</v>
      </c>
      <c r="E60" s="23"/>
      <c r="F60" s="23" t="s">
        <v>492</v>
      </c>
      <c r="G60" s="23" t="s">
        <v>563</v>
      </c>
      <c r="H60" s="1" t="s">
        <v>611</v>
      </c>
      <c r="I60" s="1"/>
      <c r="J60" s="1" t="s">
        <v>462</v>
      </c>
      <c r="K60" s="1" t="s">
        <v>462</v>
      </c>
      <c r="L60" s="1" t="s">
        <v>462</v>
      </c>
      <c r="M60" s="23"/>
      <c r="N60" s="19"/>
      <c r="O60" s="19"/>
      <c r="P60" s="270"/>
      <c r="Q60" s="33"/>
      <c r="R60" s="33"/>
      <c r="S60" s="37">
        <v>7.1</v>
      </c>
      <c r="T60" s="33"/>
      <c r="U60" s="33"/>
    </row>
    <row r="61" spans="1:21" x14ac:dyDescent="0.2">
      <c r="A61" s="266"/>
      <c r="B61" s="17" t="s">
        <v>282</v>
      </c>
      <c r="C61" s="17"/>
      <c r="D61" s="17"/>
      <c r="E61" s="17"/>
      <c r="F61" s="17"/>
      <c r="G61" s="17"/>
      <c r="H61" s="17"/>
      <c r="I61" s="17"/>
      <c r="J61" s="17"/>
      <c r="K61" s="17"/>
      <c r="L61" s="17"/>
      <c r="M61" s="17"/>
      <c r="N61" s="17"/>
      <c r="O61" s="17"/>
      <c r="P61" s="266"/>
      <c r="Q61" s="17"/>
      <c r="R61" s="17"/>
      <c r="S61" s="27"/>
      <c r="T61" s="27"/>
      <c r="U61" s="27"/>
    </row>
    <row r="62" spans="1:21" ht="25.5" x14ac:dyDescent="0.2">
      <c r="A62" s="265">
        <v>1</v>
      </c>
      <c r="B62" s="22" t="s">
        <v>61</v>
      </c>
      <c r="C62" s="23" t="s">
        <v>159</v>
      </c>
      <c r="D62" s="34">
        <f>IF(C62="Critical",ISO90012008!B143,IF(C62="Major",ISO90012008!B144,IF(C62="Minor",ISO90012008!B145,"")))</f>
        <v>3</v>
      </c>
      <c r="E62" s="22"/>
      <c r="F62" s="23" t="s">
        <v>492</v>
      </c>
      <c r="G62" s="23" t="s">
        <v>363</v>
      </c>
      <c r="H62" s="1" t="s">
        <v>611</v>
      </c>
      <c r="I62" s="1"/>
      <c r="J62" s="1" t="s">
        <v>462</v>
      </c>
      <c r="K62" s="1" t="s">
        <v>462</v>
      </c>
      <c r="L62" s="1" t="s">
        <v>462</v>
      </c>
      <c r="M62" s="23"/>
      <c r="N62" s="19"/>
      <c r="O62" s="22"/>
      <c r="P62" s="270"/>
      <c r="Q62" s="29"/>
      <c r="R62" s="29"/>
      <c r="S62" s="37">
        <v>7.1</v>
      </c>
      <c r="T62" s="33"/>
      <c r="U62" s="33"/>
    </row>
    <row r="63" spans="1:21" x14ac:dyDescent="0.2">
      <c r="A63" s="266"/>
      <c r="B63" s="17" t="s">
        <v>283</v>
      </c>
      <c r="C63" s="17"/>
      <c r="D63" s="17"/>
      <c r="E63" s="17"/>
      <c r="F63" s="17"/>
      <c r="G63" s="17"/>
      <c r="H63" s="17"/>
      <c r="I63" s="17"/>
      <c r="J63" s="17"/>
      <c r="K63" s="17"/>
      <c r="L63" s="17"/>
      <c r="M63" s="17"/>
      <c r="N63" s="17"/>
      <c r="O63" s="17"/>
      <c r="P63" s="266"/>
      <c r="Q63" s="17"/>
      <c r="R63" s="17"/>
      <c r="S63" s="27"/>
      <c r="T63" s="27"/>
      <c r="U63" s="27"/>
    </row>
    <row r="64" spans="1:21" ht="25.5" x14ac:dyDescent="0.2">
      <c r="A64" s="265">
        <v>2</v>
      </c>
      <c r="B64" s="245" t="s">
        <v>89</v>
      </c>
      <c r="C64" s="34" t="s">
        <v>109</v>
      </c>
      <c r="D64" s="34">
        <f>IF(C64="Critical",ISO90012008!B143,IF(C64="Major",ISO90012008!B144,IF(C64="Minor",ISO90012008!B145,"")))</f>
        <v>5</v>
      </c>
      <c r="E64" s="22"/>
      <c r="F64" s="23" t="s">
        <v>492</v>
      </c>
      <c r="G64" s="23" t="s">
        <v>363</v>
      </c>
      <c r="H64" s="1" t="s">
        <v>612</v>
      </c>
      <c r="I64" s="1"/>
      <c r="J64" s="1" t="s">
        <v>462</v>
      </c>
      <c r="K64" s="1" t="s">
        <v>462</v>
      </c>
      <c r="L64" s="1" t="s">
        <v>462</v>
      </c>
      <c r="M64" s="23" t="s">
        <v>631</v>
      </c>
      <c r="N64" s="22"/>
      <c r="O64" s="22"/>
      <c r="P64" s="270"/>
      <c r="Q64" s="33"/>
      <c r="R64" s="33"/>
      <c r="S64" s="37">
        <v>7.1</v>
      </c>
      <c r="T64" s="33"/>
      <c r="U64" s="33"/>
    </row>
    <row r="65" spans="1:21" x14ac:dyDescent="0.2">
      <c r="A65" s="266"/>
      <c r="B65" s="17" t="s">
        <v>285</v>
      </c>
      <c r="C65" s="17"/>
      <c r="D65" s="17"/>
      <c r="E65" s="17"/>
      <c r="F65" s="17"/>
      <c r="G65" s="17"/>
      <c r="H65" s="17"/>
      <c r="I65" s="17"/>
      <c r="J65" s="17"/>
      <c r="K65" s="17"/>
      <c r="L65" s="17"/>
      <c r="M65" s="17"/>
      <c r="N65" s="17"/>
      <c r="O65" s="17"/>
      <c r="P65" s="266"/>
      <c r="Q65" s="17"/>
      <c r="R65" s="17"/>
      <c r="S65" s="27"/>
      <c r="T65" s="27"/>
      <c r="U65" s="27"/>
    </row>
    <row r="66" spans="1:21" x14ac:dyDescent="0.2">
      <c r="A66" s="265">
        <v>1</v>
      </c>
      <c r="B66" s="22" t="s">
        <v>63</v>
      </c>
      <c r="C66" s="34" t="s">
        <v>109</v>
      </c>
      <c r="D66" s="34">
        <f>IF(C66="Critical",ISO90012008!B143,IF(C66="Major",ISO90012008!B144,IF(C66="Minor",ISO90012008!B145,"")))</f>
        <v>5</v>
      </c>
      <c r="E66" s="22"/>
      <c r="F66" s="23" t="s">
        <v>492</v>
      </c>
      <c r="G66" s="23" t="s">
        <v>363</v>
      </c>
      <c r="H66" s="1" t="s">
        <v>611</v>
      </c>
      <c r="I66" s="1"/>
      <c r="J66" s="1" t="s">
        <v>462</v>
      </c>
      <c r="K66" s="1" t="s">
        <v>462</v>
      </c>
      <c r="L66" s="1" t="s">
        <v>462</v>
      </c>
      <c r="M66" s="23"/>
      <c r="N66" s="19"/>
      <c r="O66" s="19"/>
      <c r="P66" s="270"/>
      <c r="Q66" s="31"/>
      <c r="R66" s="31"/>
      <c r="S66" s="37">
        <v>7.1</v>
      </c>
      <c r="T66" s="33"/>
      <c r="U66" s="33"/>
    </row>
    <row r="67" spans="1:21" ht="25.5" x14ac:dyDescent="0.2">
      <c r="A67" s="265">
        <v>2</v>
      </c>
      <c r="B67" s="22" t="s">
        <v>64</v>
      </c>
      <c r="C67" s="23" t="s">
        <v>159</v>
      </c>
      <c r="D67" s="34">
        <f>IF(C67="Critical",ISO90012008!B143,IF(C67="Major",ISO90012008!B144,IF(C67="Minor",ISO90012008!B145,"")))</f>
        <v>3</v>
      </c>
      <c r="E67" s="22"/>
      <c r="F67" s="23" t="s">
        <v>492</v>
      </c>
      <c r="G67" s="23" t="s">
        <v>363</v>
      </c>
      <c r="H67" s="1" t="s">
        <v>611</v>
      </c>
      <c r="I67" s="1"/>
      <c r="J67" s="1" t="s">
        <v>462</v>
      </c>
      <c r="K67" s="1" t="s">
        <v>462</v>
      </c>
      <c r="L67" s="1" t="s">
        <v>462</v>
      </c>
      <c r="M67" s="23"/>
      <c r="N67" s="19"/>
      <c r="O67" s="22"/>
      <c r="P67" s="270"/>
      <c r="Q67" s="33"/>
      <c r="R67" s="33"/>
      <c r="S67" s="37">
        <v>7.1</v>
      </c>
      <c r="T67" s="33"/>
      <c r="U67" s="33"/>
    </row>
    <row r="68" spans="1:21" x14ac:dyDescent="0.2">
      <c r="A68" s="266"/>
      <c r="B68" s="17" t="s">
        <v>286</v>
      </c>
      <c r="C68" s="17"/>
      <c r="D68" s="17"/>
      <c r="E68" s="17"/>
      <c r="F68" s="17"/>
      <c r="G68" s="17"/>
      <c r="H68" s="17"/>
      <c r="I68" s="17"/>
      <c r="J68" s="17"/>
      <c r="K68" s="17"/>
      <c r="L68" s="17"/>
      <c r="M68" s="17"/>
      <c r="N68" s="17"/>
      <c r="O68" s="17"/>
      <c r="P68" s="266"/>
      <c r="Q68" s="17"/>
      <c r="R68" s="17"/>
      <c r="S68" s="27"/>
      <c r="T68" s="27"/>
      <c r="U68" s="27"/>
    </row>
    <row r="69" spans="1:21" x14ac:dyDescent="0.2">
      <c r="A69" s="265">
        <v>1</v>
      </c>
      <c r="B69" s="22" t="s">
        <v>65</v>
      </c>
      <c r="C69" s="23" t="s">
        <v>159</v>
      </c>
      <c r="D69" s="34">
        <f>IF(C69="Critical",ISO90012008!B143,IF(C69="Major",ISO90012008!B144,IF(C69="Minor",ISO90012008!B145,"")))</f>
        <v>3</v>
      </c>
      <c r="E69" s="22"/>
      <c r="F69" s="23" t="s">
        <v>492</v>
      </c>
      <c r="G69" s="23" t="s">
        <v>363</v>
      </c>
      <c r="H69" s="1" t="s">
        <v>611</v>
      </c>
      <c r="I69" s="1"/>
      <c r="J69" s="1" t="s">
        <v>462</v>
      </c>
      <c r="K69" s="1" t="s">
        <v>462</v>
      </c>
      <c r="L69" s="1" t="s">
        <v>462</v>
      </c>
      <c r="M69" s="23"/>
      <c r="N69" s="22"/>
      <c r="O69" s="22"/>
      <c r="P69" s="270"/>
      <c r="Q69" s="29"/>
      <c r="R69" s="29"/>
      <c r="S69" s="37">
        <v>7.1</v>
      </c>
      <c r="T69" s="33"/>
      <c r="U69" s="33"/>
    </row>
    <row r="70" spans="1:21" x14ac:dyDescent="0.2">
      <c r="A70" s="266"/>
      <c r="B70" s="17" t="s">
        <v>287</v>
      </c>
      <c r="C70" s="17"/>
      <c r="D70" s="17"/>
      <c r="E70" s="17"/>
      <c r="F70" s="17"/>
      <c r="G70" s="17"/>
      <c r="H70" s="17"/>
      <c r="I70" s="17"/>
      <c r="J70" s="17"/>
      <c r="K70" s="17"/>
      <c r="L70" s="17"/>
      <c r="M70" s="17"/>
      <c r="N70" s="17"/>
      <c r="O70" s="17"/>
      <c r="P70" s="266"/>
      <c r="Q70" s="17"/>
      <c r="R70" s="17"/>
      <c r="S70" s="27"/>
      <c r="T70" s="27"/>
      <c r="U70" s="27"/>
    </row>
    <row r="71" spans="1:21" x14ac:dyDescent="0.2">
      <c r="A71" s="265">
        <v>1</v>
      </c>
      <c r="B71" s="22" t="s">
        <v>69</v>
      </c>
      <c r="C71" s="23" t="s">
        <v>159</v>
      </c>
      <c r="D71" s="34">
        <f>IF(C71="Critical",ISO90012008!B143,IF(C71="Major",ISO90012008!B144,IF(C71="Minor",ISO90012008!B145,"")))</f>
        <v>3</v>
      </c>
      <c r="E71" s="20" t="s">
        <v>256</v>
      </c>
      <c r="F71" s="20" t="s">
        <v>492</v>
      </c>
      <c r="G71" s="23" t="s">
        <v>363</v>
      </c>
      <c r="H71" s="1" t="s">
        <v>611</v>
      </c>
      <c r="I71" s="1"/>
      <c r="J71" s="1" t="s">
        <v>462</v>
      </c>
      <c r="K71" s="1" t="s">
        <v>462</v>
      </c>
      <c r="L71" s="1" t="s">
        <v>462</v>
      </c>
      <c r="M71" s="23"/>
      <c r="N71" s="22"/>
      <c r="O71" s="22"/>
      <c r="P71" s="270"/>
      <c r="Q71" s="29"/>
      <c r="R71" s="29"/>
      <c r="S71" s="37">
        <v>7.1</v>
      </c>
      <c r="T71" s="33"/>
      <c r="U71" s="33"/>
    </row>
    <row r="72" spans="1:21" x14ac:dyDescent="0.2">
      <c r="A72" s="265">
        <v>2</v>
      </c>
      <c r="B72" s="22" t="s">
        <v>161</v>
      </c>
      <c r="C72" s="23" t="s">
        <v>159</v>
      </c>
      <c r="D72" s="34">
        <f>IF(C72="Critical",ISO90012008!B143,IF(C72="Major",ISO90012008!B144,IF(C72="Minor",ISO90012008!B145,"")))</f>
        <v>3</v>
      </c>
      <c r="E72" s="20" t="s">
        <v>256</v>
      </c>
      <c r="F72" s="20" t="s">
        <v>492</v>
      </c>
      <c r="G72" s="23" t="s">
        <v>363</v>
      </c>
      <c r="H72" s="1" t="s">
        <v>611</v>
      </c>
      <c r="I72" s="1"/>
      <c r="J72" s="1" t="s">
        <v>462</v>
      </c>
      <c r="K72" s="1" t="s">
        <v>462</v>
      </c>
      <c r="L72" s="1" t="s">
        <v>462</v>
      </c>
      <c r="M72" s="23"/>
      <c r="N72" s="22"/>
      <c r="O72" s="22"/>
      <c r="P72" s="270"/>
      <c r="Q72" s="29"/>
      <c r="R72" s="29"/>
      <c r="S72" s="37">
        <v>7.1</v>
      </c>
      <c r="T72" s="33"/>
      <c r="U72" s="33"/>
    </row>
    <row r="73" spans="1:21" x14ac:dyDescent="0.2">
      <c r="A73" s="266"/>
      <c r="B73" s="17" t="s">
        <v>288</v>
      </c>
      <c r="C73" s="17"/>
      <c r="D73" s="17"/>
      <c r="E73" s="17"/>
      <c r="F73" s="17"/>
      <c r="G73" s="17"/>
      <c r="H73" s="17"/>
      <c r="I73" s="17"/>
      <c r="J73" s="17"/>
      <c r="K73" s="17"/>
      <c r="L73" s="17"/>
      <c r="M73" s="17"/>
      <c r="N73" s="17"/>
      <c r="O73" s="17"/>
      <c r="P73" s="266"/>
      <c r="Q73" s="17"/>
      <c r="R73" s="17"/>
      <c r="S73" s="27"/>
      <c r="T73" s="27"/>
      <c r="U73" s="27"/>
    </row>
    <row r="74" spans="1:21" x14ac:dyDescent="0.2">
      <c r="A74" s="265">
        <v>1</v>
      </c>
      <c r="B74" s="22" t="s">
        <v>66</v>
      </c>
      <c r="C74" s="23" t="s">
        <v>160</v>
      </c>
      <c r="D74" s="34">
        <f>IF(C74="Critical",ISO90012008!B143,IF(C74="Major",ISO90012008!B144,IF(C74="Minor",ISO90012008!B145,"")))</f>
        <v>1</v>
      </c>
      <c r="E74" s="22"/>
      <c r="F74" s="23" t="s">
        <v>492</v>
      </c>
      <c r="G74" s="23" t="s">
        <v>363</v>
      </c>
      <c r="H74" s="1" t="s">
        <v>611</v>
      </c>
      <c r="I74" s="1"/>
      <c r="J74" s="1" t="s">
        <v>462</v>
      </c>
      <c r="K74" s="1" t="s">
        <v>462</v>
      </c>
      <c r="L74" s="1" t="s">
        <v>462</v>
      </c>
      <c r="M74" s="19"/>
      <c r="N74" s="19"/>
      <c r="O74" s="19"/>
      <c r="P74" s="270"/>
      <c r="Q74" s="29"/>
      <c r="R74" s="29"/>
      <c r="S74" s="37">
        <v>7.1</v>
      </c>
      <c r="T74" s="33"/>
      <c r="U74" s="33"/>
    </row>
    <row r="75" spans="1:21" x14ac:dyDescent="0.2">
      <c r="A75" s="266"/>
      <c r="B75" s="17" t="s">
        <v>289</v>
      </c>
      <c r="C75" s="17"/>
      <c r="D75" s="17"/>
      <c r="E75" s="17"/>
      <c r="F75" s="17"/>
      <c r="G75" s="17"/>
      <c r="H75" s="17"/>
      <c r="I75" s="17"/>
      <c r="J75" s="17"/>
      <c r="K75" s="17"/>
      <c r="L75" s="17"/>
      <c r="M75" s="17"/>
      <c r="N75" s="17"/>
      <c r="O75" s="17"/>
      <c r="P75" s="266"/>
      <c r="Q75" s="17"/>
      <c r="R75" s="17"/>
      <c r="S75" s="27"/>
      <c r="T75" s="27"/>
      <c r="U75" s="27"/>
    </row>
    <row r="76" spans="1:21" ht="25.5" x14ac:dyDescent="0.2">
      <c r="A76" s="265">
        <v>1</v>
      </c>
      <c r="B76" s="22" t="s">
        <v>37</v>
      </c>
      <c r="C76" s="23" t="s">
        <v>159</v>
      </c>
      <c r="D76" s="34">
        <f>IF(C76="Critical",ISO90012008!B143,IF(C76="Major",ISO90012008!B144,IF(C76="Minor",ISO90012008!B145,"")))</f>
        <v>3</v>
      </c>
      <c r="E76" s="22"/>
      <c r="F76" s="23" t="s">
        <v>492</v>
      </c>
      <c r="G76" s="23" t="s">
        <v>376</v>
      </c>
      <c r="H76" s="1" t="s">
        <v>612</v>
      </c>
      <c r="I76" s="1"/>
      <c r="J76" s="1" t="s">
        <v>462</v>
      </c>
      <c r="K76" s="1" t="s">
        <v>462</v>
      </c>
      <c r="L76" s="1" t="s">
        <v>462</v>
      </c>
      <c r="M76" s="23" t="s">
        <v>615</v>
      </c>
      <c r="N76" s="22"/>
      <c r="O76" s="22"/>
      <c r="P76" s="270">
        <v>42305</v>
      </c>
      <c r="Q76" s="31"/>
      <c r="R76" s="31"/>
      <c r="S76" s="38" t="s">
        <v>110</v>
      </c>
      <c r="T76" s="33"/>
      <c r="U76" s="33"/>
    </row>
    <row r="77" spans="1:21" ht="38.25" x14ac:dyDescent="0.2">
      <c r="A77" s="265">
        <v>2</v>
      </c>
      <c r="B77" s="245" t="s">
        <v>377</v>
      </c>
      <c r="C77" s="23" t="s">
        <v>159</v>
      </c>
      <c r="D77" s="34">
        <f>IF(C77="Critical",ISO90012008!B143,IF(C77="Major",ISO90012008!B144,IF(C77="Minor",ISO90012008!B145,"")))</f>
        <v>3</v>
      </c>
      <c r="E77" s="22"/>
      <c r="F77" s="23" t="s">
        <v>494</v>
      </c>
      <c r="G77" s="23" t="s">
        <v>378</v>
      </c>
      <c r="H77" s="1" t="s">
        <v>612</v>
      </c>
      <c r="I77" s="1"/>
      <c r="J77" s="1" t="s">
        <v>462</v>
      </c>
      <c r="K77" s="1" t="s">
        <v>462</v>
      </c>
      <c r="L77" s="1" t="s">
        <v>462</v>
      </c>
      <c r="M77" s="23" t="s">
        <v>616</v>
      </c>
      <c r="N77" s="19"/>
      <c r="O77" s="19"/>
      <c r="P77" s="270">
        <v>42305</v>
      </c>
      <c r="Q77" s="33"/>
      <c r="R77" s="33"/>
      <c r="S77" s="38" t="s">
        <v>110</v>
      </c>
      <c r="T77" s="33"/>
      <c r="U77" s="33"/>
    </row>
    <row r="78" spans="1:21" ht="25.5" x14ac:dyDescent="0.2">
      <c r="A78" s="265">
        <v>3</v>
      </c>
      <c r="B78" s="22" t="s">
        <v>73</v>
      </c>
      <c r="C78" s="23" t="s">
        <v>160</v>
      </c>
      <c r="D78" s="34">
        <f>IF(C78="Critical",ISO90012008!B143,IF(C78="Major",ISO90012008!B144,IF(C78="Minor",ISO90012008!B145,"")))</f>
        <v>1</v>
      </c>
      <c r="E78" s="22"/>
      <c r="F78" s="23" t="s">
        <v>494</v>
      </c>
      <c r="G78" s="23" t="s">
        <v>379</v>
      </c>
      <c r="H78" s="1" t="s">
        <v>612</v>
      </c>
      <c r="I78" s="1"/>
      <c r="J78" s="1" t="s">
        <v>462</v>
      </c>
      <c r="K78" s="1" t="s">
        <v>462</v>
      </c>
      <c r="L78" s="1" t="s">
        <v>462</v>
      </c>
      <c r="M78" s="23" t="s">
        <v>619</v>
      </c>
      <c r="N78" s="22"/>
      <c r="O78" s="22"/>
      <c r="P78" s="270">
        <v>42305</v>
      </c>
      <c r="Q78" s="33"/>
      <c r="R78" s="33"/>
      <c r="S78" s="38" t="s">
        <v>110</v>
      </c>
      <c r="T78" s="33"/>
      <c r="U78" s="33"/>
    </row>
    <row r="79" spans="1:21" ht="25.5" x14ac:dyDescent="0.2">
      <c r="A79" s="265">
        <v>4</v>
      </c>
      <c r="B79" s="23" t="s">
        <v>452</v>
      </c>
      <c r="C79" s="23" t="s">
        <v>159</v>
      </c>
      <c r="D79" s="34">
        <f>IF(C79="Critical",ISO90012008!B143,IF(C79="Major",ISO90012008!B144,IF(C79="Minor",ISO90012008!B145,"")))</f>
        <v>3</v>
      </c>
      <c r="E79" s="23" t="s">
        <v>451</v>
      </c>
      <c r="F79" s="23" t="s">
        <v>494</v>
      </c>
      <c r="G79" s="23" t="s">
        <v>453</v>
      </c>
      <c r="H79" s="1" t="s">
        <v>462</v>
      </c>
      <c r="I79" s="1"/>
      <c r="J79" s="1" t="s">
        <v>462</v>
      </c>
      <c r="K79" s="1" t="s">
        <v>462</v>
      </c>
      <c r="L79" s="1" t="s">
        <v>462</v>
      </c>
      <c r="M79" s="23"/>
      <c r="N79" s="22"/>
      <c r="O79" s="22"/>
      <c r="P79" s="270"/>
      <c r="Q79" s="33"/>
      <c r="R79" s="33"/>
      <c r="S79" s="38" t="s">
        <v>512</v>
      </c>
      <c r="T79" s="33"/>
      <c r="U79" s="33"/>
    </row>
    <row r="80" spans="1:21" x14ac:dyDescent="0.2">
      <c r="A80" s="268"/>
      <c r="B80" s="19"/>
      <c r="C80" s="19"/>
      <c r="D80" s="19"/>
      <c r="E80" s="19"/>
      <c r="F80" s="19"/>
      <c r="G80" s="19"/>
      <c r="H80" s="1"/>
      <c r="I80" s="1"/>
      <c r="J80" s="1"/>
      <c r="K80" s="1"/>
      <c r="L80" s="1"/>
      <c r="M80" s="19"/>
      <c r="N80" s="19"/>
      <c r="O80" s="19"/>
      <c r="P80" s="272"/>
      <c r="Q80" s="33"/>
      <c r="R80" s="33"/>
      <c r="S80" s="30"/>
      <c r="T80" s="33"/>
      <c r="U80" s="33"/>
    </row>
    <row r="81" spans="1:21" x14ac:dyDescent="0.2">
      <c r="A81" s="268"/>
      <c r="B81" s="19"/>
      <c r="C81" s="19"/>
      <c r="D81" s="19"/>
      <c r="E81" s="19"/>
      <c r="F81" s="19"/>
      <c r="G81" s="19"/>
      <c r="H81" s="1"/>
      <c r="I81" s="1"/>
      <c r="J81" s="1"/>
      <c r="K81" s="1"/>
      <c r="L81" s="1"/>
      <c r="M81" s="19"/>
      <c r="N81" s="19"/>
      <c r="O81" s="19"/>
      <c r="P81" s="269"/>
      <c r="Q81" s="33"/>
      <c r="R81" s="33"/>
      <c r="S81" s="30"/>
      <c r="T81" s="33"/>
      <c r="U81" s="33"/>
    </row>
    <row r="82" spans="1:21" x14ac:dyDescent="0.2">
      <c r="A82" s="269"/>
      <c r="B82" s="19"/>
      <c r="C82" s="19"/>
      <c r="D82" s="19"/>
      <c r="E82" s="19"/>
      <c r="F82" s="19"/>
      <c r="G82" s="19"/>
      <c r="H82" s="33"/>
      <c r="I82" s="33"/>
      <c r="J82" s="33"/>
      <c r="K82" s="33"/>
      <c r="L82" s="33"/>
      <c r="M82" s="33"/>
      <c r="N82" s="33"/>
      <c r="O82" s="33"/>
      <c r="P82" s="269"/>
      <c r="Q82" s="33"/>
      <c r="R82" s="33"/>
      <c r="S82" s="35"/>
      <c r="T82" s="33"/>
      <c r="U82" s="33"/>
    </row>
    <row r="83" spans="1:21" x14ac:dyDescent="0.2">
      <c r="A83" s="269"/>
      <c r="B83" s="19"/>
      <c r="C83" s="19"/>
      <c r="D83" s="19"/>
      <c r="E83" s="19"/>
      <c r="F83" s="19"/>
      <c r="G83" s="19"/>
      <c r="H83" s="33"/>
      <c r="I83" s="33"/>
      <c r="J83" s="33"/>
      <c r="K83" s="33"/>
      <c r="L83" s="33"/>
      <c r="M83" s="33"/>
      <c r="N83" s="33"/>
      <c r="O83" s="33"/>
      <c r="P83" s="269"/>
      <c r="Q83" s="33"/>
      <c r="R83" s="33"/>
      <c r="S83" s="35"/>
      <c r="T83" s="33"/>
      <c r="U83" s="33"/>
    </row>
    <row r="84" spans="1:21" x14ac:dyDescent="0.2">
      <c r="A84" s="269"/>
      <c r="B84" s="19"/>
      <c r="C84" s="19"/>
      <c r="D84" s="19"/>
      <c r="E84" s="19"/>
      <c r="F84" s="19"/>
      <c r="G84" s="19"/>
      <c r="H84" s="33"/>
      <c r="I84" s="33"/>
      <c r="J84" s="33"/>
      <c r="K84" s="33"/>
      <c r="L84" s="33"/>
      <c r="M84" s="33"/>
      <c r="N84" s="33"/>
      <c r="O84" s="33"/>
      <c r="P84" s="269"/>
      <c r="Q84" s="33"/>
      <c r="R84" s="33"/>
      <c r="S84" s="35"/>
      <c r="T84" s="33"/>
      <c r="U84" s="33"/>
    </row>
  </sheetData>
  <autoFilter ref="A2:S79"/>
  <phoneticPr fontId="2" type="noConversion"/>
  <conditionalFormatting sqref="P80 S74 S66:S67 S69 S71:S72 M62:O62 S62 S64 Q54:S56 M54:N56 Q60:S60 M58:N58 S33 S43 M43:O43 M38:O39 Q34:S35 Q46:S46 S45:S46 M45:O46 M48:P48 Q50:S52 Q14:S15 Q18:S18 Q21:S21 S25:S27 Q30:S31 S4:S5 M4:M5 S7:S11 S76:S79 M7:O7 M16:O16 M20:O20 M13:M15 M17:N18 M21:N23 M31:N31 M33:N37 M40:N41 S13:S18 S20 S22:S23 Q37:S37 S36 Q40:S41 S38:S39 S48 S58:S59 M10:O11 Q29 S29 M60:N60 M59 M29:O30 M25:N27 M50:N52">
    <cfRule type="cellIs" dxfId="236" priority="310" stopIfTrue="1" operator="equal">
      <formula>"Yes"</formula>
    </cfRule>
    <cfRule type="cellIs" dxfId="235" priority="311" stopIfTrue="1" operator="equal">
      <formula>"No"</formula>
    </cfRule>
    <cfRule type="cellIs" dxfId="234" priority="312" stopIfTrue="1" operator="equal">
      <formula>"N/A"</formula>
    </cfRule>
  </conditionalFormatting>
  <conditionalFormatting sqref="N4:O5">
    <cfRule type="cellIs" dxfId="233" priority="37" stopIfTrue="1" operator="equal">
      <formula>"Yes"</formula>
    </cfRule>
    <cfRule type="cellIs" dxfId="232" priority="38" stopIfTrue="1" operator="equal">
      <formula>"No"</formula>
    </cfRule>
    <cfRule type="cellIs" dxfId="231" priority="39" stopIfTrue="1" operator="equal">
      <formula>"N/A"</formula>
    </cfRule>
  </conditionalFormatting>
  <conditionalFormatting sqref="N13:O14">
    <cfRule type="cellIs" dxfId="230" priority="34" stopIfTrue="1" operator="equal">
      <formula>"Yes"</formula>
    </cfRule>
    <cfRule type="cellIs" dxfId="229" priority="35" stopIfTrue="1" operator="equal">
      <formula>"No"</formula>
    </cfRule>
    <cfRule type="cellIs" dxfId="228" priority="36" stopIfTrue="1" operator="equal">
      <formula>"N/A"</formula>
    </cfRule>
  </conditionalFormatting>
  <conditionalFormatting sqref="N15:O15">
    <cfRule type="cellIs" dxfId="227" priority="31" stopIfTrue="1" operator="equal">
      <formula>"Yes"</formula>
    </cfRule>
    <cfRule type="cellIs" dxfId="226" priority="32" stopIfTrue="1" operator="equal">
      <formula>"No"</formula>
    </cfRule>
    <cfRule type="cellIs" dxfId="225" priority="33" stopIfTrue="1" operator="equal">
      <formula>"N/A"</formula>
    </cfRule>
  </conditionalFormatting>
  <conditionalFormatting sqref="O17:O18">
    <cfRule type="cellIs" dxfId="224" priority="28" stopIfTrue="1" operator="equal">
      <formula>"Yes"</formula>
    </cfRule>
    <cfRule type="cellIs" dxfId="223" priority="29" stopIfTrue="1" operator="equal">
      <formula>"No"</formula>
    </cfRule>
    <cfRule type="cellIs" dxfId="222" priority="30" stopIfTrue="1" operator="equal">
      <formula>"N/A"</formula>
    </cfRule>
  </conditionalFormatting>
  <conditionalFormatting sqref="O21:O23">
    <cfRule type="cellIs" dxfId="221" priority="25" stopIfTrue="1" operator="equal">
      <formula>"Yes"</formula>
    </cfRule>
    <cfRule type="cellIs" dxfId="220" priority="26" stopIfTrue="1" operator="equal">
      <formula>"No"</formula>
    </cfRule>
    <cfRule type="cellIs" dxfId="219" priority="27" stopIfTrue="1" operator="equal">
      <formula>"N/A"</formula>
    </cfRule>
  </conditionalFormatting>
  <conditionalFormatting sqref="O25:O27">
    <cfRule type="cellIs" dxfId="218" priority="22" stopIfTrue="1" operator="equal">
      <formula>"Yes"</formula>
    </cfRule>
    <cfRule type="cellIs" dxfId="217" priority="23" stopIfTrue="1" operator="equal">
      <formula>"No"</formula>
    </cfRule>
    <cfRule type="cellIs" dxfId="216" priority="24" stopIfTrue="1" operator="equal">
      <formula>"N/A"</formula>
    </cfRule>
  </conditionalFormatting>
  <conditionalFormatting sqref="O31">
    <cfRule type="cellIs" dxfId="215" priority="19" stopIfTrue="1" operator="equal">
      <formula>"Yes"</formula>
    </cfRule>
    <cfRule type="cellIs" dxfId="214" priority="20" stopIfTrue="1" operator="equal">
      <formula>"No"</formula>
    </cfRule>
    <cfRule type="cellIs" dxfId="213" priority="21" stopIfTrue="1" operator="equal">
      <formula>"N/A"</formula>
    </cfRule>
  </conditionalFormatting>
  <conditionalFormatting sqref="O33:O37">
    <cfRule type="cellIs" dxfId="212" priority="16" stopIfTrue="1" operator="equal">
      <formula>"Yes"</formula>
    </cfRule>
    <cfRule type="cellIs" dxfId="211" priority="17" stopIfTrue="1" operator="equal">
      <formula>"No"</formula>
    </cfRule>
    <cfRule type="cellIs" dxfId="210" priority="18" stopIfTrue="1" operator="equal">
      <formula>"N/A"</formula>
    </cfRule>
  </conditionalFormatting>
  <conditionalFormatting sqref="O40:O41">
    <cfRule type="cellIs" dxfId="209" priority="13" stopIfTrue="1" operator="equal">
      <formula>"Yes"</formula>
    </cfRule>
    <cfRule type="cellIs" dxfId="208" priority="14" stopIfTrue="1" operator="equal">
      <formula>"No"</formula>
    </cfRule>
    <cfRule type="cellIs" dxfId="207" priority="15" stopIfTrue="1" operator="equal">
      <formula>"N/A"</formula>
    </cfRule>
  </conditionalFormatting>
  <conditionalFormatting sqref="O50:O52">
    <cfRule type="cellIs" dxfId="206" priority="10" stopIfTrue="1" operator="equal">
      <formula>"Yes"</formula>
    </cfRule>
    <cfRule type="cellIs" dxfId="205" priority="11" stopIfTrue="1" operator="equal">
      <formula>"No"</formula>
    </cfRule>
    <cfRule type="cellIs" dxfId="204" priority="12" stopIfTrue="1" operator="equal">
      <formula>"N/A"</formula>
    </cfRule>
  </conditionalFormatting>
  <conditionalFormatting sqref="O54:O56">
    <cfRule type="cellIs" dxfId="203" priority="7" stopIfTrue="1" operator="equal">
      <formula>"Yes"</formula>
    </cfRule>
    <cfRule type="cellIs" dxfId="202" priority="8" stopIfTrue="1" operator="equal">
      <formula>"No"</formula>
    </cfRule>
    <cfRule type="cellIs" dxfId="201" priority="9" stopIfTrue="1" operator="equal">
      <formula>"N/A"</formula>
    </cfRule>
  </conditionalFormatting>
  <conditionalFormatting sqref="O58 O60">
    <cfRule type="cellIs" dxfId="200" priority="4" stopIfTrue="1" operator="equal">
      <formula>"Yes"</formula>
    </cfRule>
    <cfRule type="cellIs" dxfId="199" priority="5" stopIfTrue="1" operator="equal">
      <formula>"No"</formula>
    </cfRule>
    <cfRule type="cellIs" dxfId="198" priority="6" stopIfTrue="1" operator="equal">
      <formula>"N/A"</formula>
    </cfRule>
  </conditionalFormatting>
  <conditionalFormatting sqref="N59:O59">
    <cfRule type="cellIs" dxfId="197" priority="1" stopIfTrue="1" operator="equal">
      <formula>"Yes"</formula>
    </cfRule>
    <cfRule type="cellIs" dxfId="196" priority="2" stopIfTrue="1" operator="equal">
      <formula>"No"</formula>
    </cfRule>
    <cfRule type="cellIs" dxfId="195" priority="3" stopIfTrue="1" operator="equal">
      <formula>"N/A"</formula>
    </cfRule>
  </conditionalFormatting>
  <dataValidations count="2">
    <dataValidation allowBlank="1" showInputMessage="1" showErrorMessage="1" sqref="M66:M67 M13:M18 M69 M10 M74 M54:M55 M58:M60 M56:N56 M43 N39:N40 M33:M41 M45:M46 M48 M29:M31 M62 M64 M71:M72 M76:M81 M4:M5 M50:M52 M20:M23 M7 M25:M27"/>
    <dataValidation type="list" allowBlank="1" showInputMessage="1" showErrorMessage="1" sqref="H58:L60 H54:L56 H71:L72 H4:L5 H76:L79 H29:L31 H66:L67 H33:L41 H43:L43 H7:L11 H48:L48 H69:L69 H13:L18 H62:L62 H45:L46 H25:L27 H64:L64 H20:L23 H74:L74 H50:L52">
      <formula1>"Yes, No, NA"</formula1>
    </dataValidation>
  </dataValidations>
  <pageMargins left="0.75" right="0.75" top="1" bottom="1" header="0.5" footer="0.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8"/>
  </sheetPr>
  <dimension ref="A2:U47"/>
  <sheetViews>
    <sheetView showGridLines="0" zoomScale="90" zoomScaleNormal="90" workbookViewId="0">
      <pane ySplit="2" topLeftCell="A3" activePane="bottomLeft" state="frozen"/>
      <selection pane="bottomLeft" activeCell="N21" sqref="N21"/>
    </sheetView>
  </sheetViews>
  <sheetFormatPr defaultRowHeight="12.75" x14ac:dyDescent="0.2"/>
  <cols>
    <col min="1" max="1" width="8.42578125" style="24" bestFit="1" customWidth="1"/>
    <col min="2" max="2" width="56.28515625" style="24" customWidth="1"/>
    <col min="3" max="3" width="13.140625" style="24" bestFit="1" customWidth="1"/>
    <col min="4" max="4" width="7.85546875" style="24" hidden="1" customWidth="1"/>
    <col min="5" max="6" width="10.28515625" style="24" hidden="1" customWidth="1"/>
    <col min="7" max="7" width="22.85546875" style="24" customWidth="1"/>
    <col min="8" max="8" width="12.28515625" style="24" customWidth="1"/>
    <col min="9" max="12" width="12.28515625" style="24" hidden="1" customWidth="1"/>
    <col min="13" max="13" width="37" style="24" customWidth="1"/>
    <col min="14" max="14" width="24.28515625" style="24" customWidth="1"/>
    <col min="15" max="15" width="28.7109375" style="24" customWidth="1"/>
    <col min="16" max="16" width="21.7109375" style="57" customWidth="1"/>
    <col min="17" max="18" width="21.7109375" style="24" customWidth="1"/>
    <col min="19" max="19" width="21.42578125" style="57" hidden="1" customWidth="1"/>
    <col min="20" max="20" width="21.85546875" style="24" hidden="1" customWidth="1"/>
    <col min="21" max="21" width="22.85546875" style="24" hidden="1" customWidth="1"/>
    <col min="22" max="16384" width="9.140625" style="24"/>
  </cols>
  <sheetData>
    <row r="2" spans="1:21" x14ac:dyDescent="0.2">
      <c r="A2" s="15" t="s">
        <v>14</v>
      </c>
      <c r="B2" s="13" t="s">
        <v>454</v>
      </c>
      <c r="C2" s="13" t="s">
        <v>455</v>
      </c>
      <c r="D2" s="13" t="s">
        <v>158</v>
      </c>
      <c r="E2" s="15" t="s">
        <v>255</v>
      </c>
      <c r="F2" s="15" t="s">
        <v>491</v>
      </c>
      <c r="G2" s="15" t="s">
        <v>358</v>
      </c>
      <c r="H2" s="15" t="s">
        <v>243</v>
      </c>
      <c r="I2" s="15" t="s">
        <v>244</v>
      </c>
      <c r="J2" s="15" t="s">
        <v>251</v>
      </c>
      <c r="K2" s="15" t="s">
        <v>252</v>
      </c>
      <c r="L2" s="15" t="s">
        <v>253</v>
      </c>
      <c r="M2" s="15" t="s">
        <v>4</v>
      </c>
      <c r="N2" s="15" t="s">
        <v>5</v>
      </c>
      <c r="O2" s="15" t="s">
        <v>6</v>
      </c>
      <c r="P2" s="26" t="s">
        <v>91</v>
      </c>
      <c r="Q2" s="13" t="s">
        <v>81</v>
      </c>
      <c r="R2" s="13" t="s">
        <v>564</v>
      </c>
      <c r="S2" s="39" t="s">
        <v>31</v>
      </c>
      <c r="T2" s="13" t="s">
        <v>238</v>
      </c>
      <c r="U2" s="15" t="s">
        <v>239</v>
      </c>
    </row>
    <row r="3" spans="1:21" s="40" customFormat="1" x14ac:dyDescent="0.2">
      <c r="A3" s="17"/>
      <c r="B3" s="17" t="s">
        <v>291</v>
      </c>
      <c r="C3" s="17"/>
      <c r="D3" s="17"/>
      <c r="E3" s="17"/>
      <c r="F3" s="17"/>
      <c r="G3" s="17"/>
      <c r="H3" s="17"/>
      <c r="I3" s="17"/>
      <c r="J3" s="17"/>
      <c r="K3" s="17"/>
      <c r="L3" s="17"/>
      <c r="M3" s="17"/>
      <c r="N3" s="17"/>
      <c r="O3" s="17"/>
      <c r="P3" s="27"/>
      <c r="Q3" s="17"/>
      <c r="R3" s="17"/>
      <c r="S3" s="27"/>
      <c r="T3" s="17"/>
      <c r="U3" s="17"/>
    </row>
    <row r="4" spans="1:21" ht="25.5" x14ac:dyDescent="0.2">
      <c r="A4" s="19">
        <v>1</v>
      </c>
      <c r="B4" s="19" t="s">
        <v>273</v>
      </c>
      <c r="C4" s="23" t="s">
        <v>160</v>
      </c>
      <c r="D4" s="23">
        <f>IF(C4="Critical",ISO90012008!B143,IF(C4="Major",ISO90012008!B144,IF(C4="Minor",ISO90012008!B145,"")))</f>
        <v>1</v>
      </c>
      <c r="E4" s="19"/>
      <c r="F4" s="19" t="s">
        <v>493</v>
      </c>
      <c r="G4" s="23" t="s">
        <v>381</v>
      </c>
      <c r="H4" s="1" t="s">
        <v>611</v>
      </c>
      <c r="I4" s="1"/>
      <c r="J4" s="1"/>
      <c r="K4" s="1"/>
      <c r="L4" s="1"/>
      <c r="M4" s="23"/>
      <c r="N4" s="22"/>
      <c r="O4" s="22"/>
      <c r="P4" s="29"/>
      <c r="Q4" s="29"/>
      <c r="R4" s="29"/>
      <c r="S4" s="38" t="s">
        <v>212</v>
      </c>
      <c r="T4" s="23"/>
      <c r="U4" s="19"/>
    </row>
    <row r="5" spans="1:21" ht="25.5" x14ac:dyDescent="0.2">
      <c r="A5" s="19">
        <v>2</v>
      </c>
      <c r="B5" s="19" t="s">
        <v>274</v>
      </c>
      <c r="C5" s="23" t="s">
        <v>160</v>
      </c>
      <c r="D5" s="23">
        <f>IF(C5="Critical",ISO90012008!B143,IF(C5="Major",ISO90012008!B144,IF(C5="Minor",ISO90012008!B145,"")))</f>
        <v>1</v>
      </c>
      <c r="E5" s="19"/>
      <c r="F5" s="19" t="s">
        <v>493</v>
      </c>
      <c r="G5" s="23" t="s">
        <v>380</v>
      </c>
      <c r="H5" s="1" t="s">
        <v>611</v>
      </c>
      <c r="I5" s="1"/>
      <c r="J5" s="1"/>
      <c r="K5" s="1"/>
      <c r="L5" s="1"/>
      <c r="M5" s="23"/>
      <c r="N5" s="22"/>
      <c r="O5" s="22"/>
      <c r="P5" s="29"/>
      <c r="Q5" s="29"/>
      <c r="R5" s="29"/>
      <c r="S5" s="38" t="s">
        <v>212</v>
      </c>
      <c r="T5" s="23"/>
      <c r="U5" s="19"/>
    </row>
    <row r="6" spans="1:21" ht="25.5" x14ac:dyDescent="0.2">
      <c r="A6" s="19">
        <v>3</v>
      </c>
      <c r="B6" s="19" t="s">
        <v>84</v>
      </c>
      <c r="C6" s="23" t="s">
        <v>109</v>
      </c>
      <c r="D6" s="23">
        <f>IF(C6="Critical",ISO90012008!B143,IF(C6="Major",ISO90012008!B144,IF(C6="Minor",ISO90012008!B145,"")))</f>
        <v>5</v>
      </c>
      <c r="E6" s="20" t="s">
        <v>256</v>
      </c>
      <c r="F6" s="19" t="s">
        <v>493</v>
      </c>
      <c r="G6" s="19" t="s">
        <v>382</v>
      </c>
      <c r="H6" s="1" t="s">
        <v>612</v>
      </c>
      <c r="I6" s="1"/>
      <c r="J6" s="1"/>
      <c r="K6" s="1"/>
      <c r="L6" s="1"/>
      <c r="M6" s="23" t="s">
        <v>633</v>
      </c>
      <c r="N6" s="22"/>
      <c r="O6" s="22"/>
      <c r="P6" s="270"/>
      <c r="Q6" s="29"/>
      <c r="R6" s="29"/>
      <c r="S6" s="38" t="s">
        <v>212</v>
      </c>
      <c r="T6" s="23"/>
      <c r="U6" s="19"/>
    </row>
    <row r="7" spans="1:21" s="40" customFormat="1" x14ac:dyDescent="0.2">
      <c r="A7" s="17"/>
      <c r="B7" s="17" t="s">
        <v>276</v>
      </c>
      <c r="C7" s="17"/>
      <c r="D7" s="17"/>
      <c r="E7" s="17"/>
      <c r="F7" s="17"/>
      <c r="G7" s="17"/>
      <c r="H7" s="17"/>
      <c r="I7" s="17"/>
      <c r="J7" s="17"/>
      <c r="K7" s="17"/>
      <c r="L7" s="17"/>
      <c r="M7" s="17"/>
      <c r="N7" s="17"/>
      <c r="O7" s="17"/>
      <c r="P7" s="27"/>
      <c r="Q7" s="17"/>
      <c r="R7" s="17"/>
      <c r="S7" s="27"/>
      <c r="T7" s="17"/>
      <c r="U7" s="17"/>
    </row>
    <row r="8" spans="1:21" ht="25.5" x14ac:dyDescent="0.2">
      <c r="A8" s="19">
        <v>1</v>
      </c>
      <c r="B8" s="19" t="s">
        <v>278</v>
      </c>
      <c r="C8" s="23" t="s">
        <v>159</v>
      </c>
      <c r="D8" s="23">
        <f>IF(C8="Critical",ISO90012008!B143,IF(C8="Major",ISO90012008!B144,IF(C8="Minor",ISO90012008!B145,"")))</f>
        <v>3</v>
      </c>
      <c r="E8" s="19"/>
      <c r="F8" s="23" t="s">
        <v>493</v>
      </c>
      <c r="G8" s="19" t="s">
        <v>383</v>
      </c>
      <c r="H8" s="1" t="s">
        <v>611</v>
      </c>
      <c r="I8" s="1"/>
      <c r="J8" s="1"/>
      <c r="K8" s="1"/>
      <c r="L8" s="1"/>
      <c r="M8" s="23"/>
      <c r="N8" s="19"/>
      <c r="O8" s="23"/>
      <c r="P8" s="21"/>
      <c r="Q8" s="29"/>
      <c r="R8" s="29"/>
      <c r="S8" s="38" t="s">
        <v>232</v>
      </c>
      <c r="T8" s="23"/>
      <c r="U8" s="19"/>
    </row>
    <row r="9" spans="1:21" s="40" customFormat="1" x14ac:dyDescent="0.2">
      <c r="A9" s="17"/>
      <c r="B9" s="17" t="s">
        <v>294</v>
      </c>
      <c r="C9" s="17"/>
      <c r="D9" s="17"/>
      <c r="E9" s="17"/>
      <c r="F9" s="17"/>
      <c r="G9" s="17"/>
      <c r="H9" s="17"/>
      <c r="I9" s="17"/>
      <c r="J9" s="17"/>
      <c r="K9" s="17"/>
      <c r="L9" s="17"/>
      <c r="M9" s="17"/>
      <c r="N9" s="17"/>
      <c r="O9" s="17"/>
      <c r="P9" s="27"/>
      <c r="Q9" s="17"/>
      <c r="R9" s="17"/>
      <c r="S9" s="27"/>
      <c r="T9" s="17"/>
      <c r="U9" s="17"/>
    </row>
    <row r="10" spans="1:21" x14ac:dyDescent="0.2">
      <c r="A10" s="19">
        <v>1</v>
      </c>
      <c r="B10" s="23" t="s">
        <v>272</v>
      </c>
      <c r="C10" s="23" t="s">
        <v>159</v>
      </c>
      <c r="D10" s="23">
        <f>IF(C10="Critical",ISO90012008!B143,IF(C10="Major",ISO90012008!B144,IF(C10="Minor",ISO90012008!B145,"")))</f>
        <v>3</v>
      </c>
      <c r="E10" s="23"/>
      <c r="F10" s="23" t="s">
        <v>493</v>
      </c>
      <c r="G10" s="23" t="s">
        <v>384</v>
      </c>
      <c r="H10" s="1" t="s">
        <v>612</v>
      </c>
      <c r="I10" s="1"/>
      <c r="J10" s="1"/>
      <c r="K10" s="1"/>
      <c r="L10" s="1"/>
      <c r="M10" s="320" t="s">
        <v>634</v>
      </c>
      <c r="N10" s="19"/>
      <c r="O10" s="23"/>
      <c r="P10" s="238"/>
      <c r="Q10" s="29"/>
      <c r="R10" s="29"/>
      <c r="S10" s="38" t="s">
        <v>232</v>
      </c>
      <c r="T10" s="23"/>
      <c r="U10" s="19"/>
    </row>
    <row r="11" spans="1:21" ht="25.5" x14ac:dyDescent="0.2">
      <c r="A11" s="19">
        <v>2</v>
      </c>
      <c r="B11" s="23" t="s">
        <v>442</v>
      </c>
      <c r="C11" s="23" t="s">
        <v>160</v>
      </c>
      <c r="D11" s="23">
        <f>IF(C11="Critical",ISO90012008!B143,IF(C11="Major",ISO90012008!B144,IF(C11="Minor",ISO90012008!B145,"")))</f>
        <v>1</v>
      </c>
      <c r="E11" s="22"/>
      <c r="F11" s="23" t="s">
        <v>493</v>
      </c>
      <c r="G11" s="23" t="s">
        <v>384</v>
      </c>
      <c r="H11" s="1" t="s">
        <v>612</v>
      </c>
      <c r="I11" s="1"/>
      <c r="J11" s="1"/>
      <c r="K11" s="1"/>
      <c r="L11" s="1"/>
      <c r="M11" s="321"/>
      <c r="N11" s="19"/>
      <c r="O11" s="23"/>
      <c r="P11" s="270"/>
      <c r="Q11" s="29"/>
      <c r="R11" s="29"/>
      <c r="S11" s="38" t="s">
        <v>110</v>
      </c>
      <c r="T11" s="23"/>
      <c r="U11" s="19"/>
    </row>
    <row r="12" spans="1:21" s="16" customFormat="1" x14ac:dyDescent="0.2">
      <c r="A12" s="19">
        <v>3</v>
      </c>
      <c r="B12" s="22" t="s">
        <v>67</v>
      </c>
      <c r="C12" s="23" t="s">
        <v>159</v>
      </c>
      <c r="D12" s="23">
        <f>IF(C12="Critical",ISO90012008!B143,IF(C12="Major",ISO90012008!B144,IF(C12="Minor",ISO90012008!B145,"")))</f>
        <v>3</v>
      </c>
      <c r="E12" s="22"/>
      <c r="F12" s="23" t="s">
        <v>493</v>
      </c>
      <c r="G12" s="23" t="s">
        <v>385</v>
      </c>
      <c r="H12" s="1" t="s">
        <v>462</v>
      </c>
      <c r="I12" s="1"/>
      <c r="J12" s="1"/>
      <c r="K12" s="1"/>
      <c r="L12" s="1"/>
      <c r="M12" s="322"/>
      <c r="N12" s="22"/>
      <c r="O12" s="22"/>
      <c r="P12" s="29"/>
      <c r="Q12" s="33"/>
      <c r="R12" s="33"/>
      <c r="S12" s="38" t="s">
        <v>232</v>
      </c>
      <c r="T12" s="19"/>
      <c r="U12" s="33"/>
    </row>
    <row r="13" spans="1:21" s="47" customFormat="1" x14ac:dyDescent="0.2">
      <c r="A13" s="42"/>
      <c r="B13" s="17" t="s">
        <v>292</v>
      </c>
      <c r="C13" s="61"/>
      <c r="D13" s="61"/>
      <c r="E13" s="61"/>
      <c r="F13" s="61"/>
      <c r="G13" s="61"/>
      <c r="H13" s="44"/>
      <c r="I13" s="44"/>
      <c r="J13" s="44"/>
      <c r="K13" s="44"/>
      <c r="L13" s="44"/>
      <c r="M13" s="44"/>
      <c r="N13" s="44"/>
      <c r="O13" s="43"/>
      <c r="P13" s="45"/>
      <c r="Q13" s="46"/>
      <c r="R13" s="46"/>
      <c r="S13" s="58"/>
      <c r="T13" s="43"/>
      <c r="U13" s="17"/>
    </row>
    <row r="14" spans="1:21" s="47" customFormat="1" x14ac:dyDescent="0.2">
      <c r="A14" s="48">
        <v>1</v>
      </c>
      <c r="B14" s="249" t="s">
        <v>88</v>
      </c>
      <c r="C14" s="23" t="s">
        <v>109</v>
      </c>
      <c r="D14" s="23">
        <f>IF(C14="Critical",ISO90012008!B143,IF(C14="Major",ISO90012008!B144,IF(C14="Minor",ISO90012008!B145,"")))</f>
        <v>5</v>
      </c>
      <c r="E14" s="100"/>
      <c r="F14" s="101" t="s">
        <v>493</v>
      </c>
      <c r="G14" s="90" t="s">
        <v>386</v>
      </c>
      <c r="H14" s="1" t="s">
        <v>462</v>
      </c>
      <c r="I14" s="1"/>
      <c r="J14" s="1"/>
      <c r="K14" s="1"/>
      <c r="L14" s="1"/>
      <c r="M14" s="50"/>
      <c r="N14" s="51"/>
      <c r="O14" s="22"/>
      <c r="P14" s="270"/>
      <c r="Q14" s="19"/>
      <c r="R14" s="19"/>
      <c r="S14" s="38" t="s">
        <v>211</v>
      </c>
      <c r="T14" s="22"/>
      <c r="U14" s="22"/>
    </row>
    <row r="15" spans="1:21" s="53" customFormat="1" ht="25.5" x14ac:dyDescent="0.2">
      <c r="A15" s="48">
        <v>2</v>
      </c>
      <c r="B15" s="49" t="s">
        <v>87</v>
      </c>
      <c r="C15" s="56" t="s">
        <v>160</v>
      </c>
      <c r="D15" s="23">
        <f>IF(C15="Critical",ISO90012008!B143,IF(C15="Major",ISO90012008!B144,IF(C15="Minor",ISO90012008!B145,"")))</f>
        <v>1</v>
      </c>
      <c r="E15" s="89"/>
      <c r="F15" s="101" t="s">
        <v>493</v>
      </c>
      <c r="G15" s="90" t="s">
        <v>386</v>
      </c>
      <c r="H15" s="1" t="s">
        <v>462</v>
      </c>
      <c r="I15" s="1"/>
      <c r="J15" s="1"/>
      <c r="K15" s="1"/>
      <c r="L15" s="1"/>
      <c r="M15" s="50"/>
      <c r="N15" s="51"/>
      <c r="O15" s="51"/>
      <c r="P15" s="29"/>
      <c r="Q15" s="52"/>
      <c r="R15" s="52"/>
      <c r="S15" s="38" t="s">
        <v>211</v>
      </c>
      <c r="T15" s="22"/>
      <c r="U15" s="180"/>
    </row>
    <row r="16" spans="1:21" s="47" customFormat="1" x14ac:dyDescent="0.2">
      <c r="A16" s="48">
        <v>3</v>
      </c>
      <c r="B16" s="49" t="s">
        <v>98</v>
      </c>
      <c r="C16" s="23" t="s">
        <v>109</v>
      </c>
      <c r="D16" s="23">
        <f>IF(C16="Critical",ISO90012008!B143,IF(C16="Major",ISO90012008!B144,IF(C16="Minor",ISO90012008!B145,"")))</f>
        <v>5</v>
      </c>
      <c r="E16" s="89"/>
      <c r="F16" s="101" t="s">
        <v>494</v>
      </c>
      <c r="G16" s="90" t="s">
        <v>387</v>
      </c>
      <c r="H16" s="1" t="s">
        <v>462</v>
      </c>
      <c r="I16" s="1"/>
      <c r="J16" s="1"/>
      <c r="K16" s="1"/>
      <c r="L16" s="1"/>
      <c r="M16" s="50"/>
      <c r="N16" s="22"/>
      <c r="O16" s="22"/>
      <c r="P16" s="29"/>
      <c r="Q16" s="19"/>
      <c r="R16" s="19"/>
      <c r="S16" s="38" t="s">
        <v>211</v>
      </c>
      <c r="T16" s="22"/>
      <c r="U16" s="22"/>
    </row>
    <row r="17" spans="1:21" s="47" customFormat="1" x14ac:dyDescent="0.2">
      <c r="A17" s="48">
        <v>4</v>
      </c>
      <c r="B17" s="56" t="s">
        <v>388</v>
      </c>
      <c r="C17" s="96" t="s">
        <v>159</v>
      </c>
      <c r="D17" s="23">
        <f>IF(C17="Critical",ISO90012008!B143,IF(C17="Major",ISO90012008!B144,IF(C17="Minor",ISO90012008!B145,"")))</f>
        <v>3</v>
      </c>
      <c r="E17" s="101" t="s">
        <v>427</v>
      </c>
      <c r="F17" s="101" t="s">
        <v>494</v>
      </c>
      <c r="G17" s="90" t="s">
        <v>390</v>
      </c>
      <c r="H17" s="1" t="s">
        <v>462</v>
      </c>
      <c r="I17" s="1"/>
      <c r="J17" s="1"/>
      <c r="K17" s="1"/>
      <c r="L17" s="1"/>
      <c r="M17" s="50"/>
      <c r="N17" s="22"/>
      <c r="O17" s="22"/>
      <c r="P17" s="29"/>
      <c r="Q17" s="19"/>
      <c r="R17" s="19"/>
      <c r="S17" s="38" t="s">
        <v>211</v>
      </c>
      <c r="T17" s="22"/>
      <c r="U17" s="22"/>
    </row>
    <row r="18" spans="1:21" s="47" customFormat="1" x14ac:dyDescent="0.2">
      <c r="A18" s="48">
        <v>5</v>
      </c>
      <c r="B18" s="56" t="s">
        <v>389</v>
      </c>
      <c r="C18" s="23" t="s">
        <v>109</v>
      </c>
      <c r="D18" s="23">
        <f>IF(C18="Critical",ISO90012008!B143,IF(C18="Major",ISO90012008!B144,IF(C18="Minor",ISO90012008!B145,"")))</f>
        <v>5</v>
      </c>
      <c r="E18" s="90" t="s">
        <v>427</v>
      </c>
      <c r="F18" s="101" t="s">
        <v>494</v>
      </c>
      <c r="G18" s="90" t="s">
        <v>390</v>
      </c>
      <c r="H18" s="1" t="s">
        <v>462</v>
      </c>
      <c r="I18" s="1"/>
      <c r="J18" s="1"/>
      <c r="K18" s="1"/>
      <c r="L18" s="1"/>
      <c r="M18" s="50"/>
      <c r="N18" s="22"/>
      <c r="O18" s="22"/>
      <c r="P18" s="29"/>
      <c r="Q18" s="19"/>
      <c r="R18" s="19"/>
      <c r="S18" s="38" t="s">
        <v>211</v>
      </c>
      <c r="T18" s="22"/>
      <c r="U18" s="22"/>
    </row>
    <row r="19" spans="1:21" s="47" customFormat="1" ht="25.5" x14ac:dyDescent="0.2">
      <c r="A19" s="48">
        <v>6</v>
      </c>
      <c r="B19" s="49" t="s">
        <v>0</v>
      </c>
      <c r="C19" s="96" t="s">
        <v>160</v>
      </c>
      <c r="D19" s="23">
        <f>IF(C19="Critical",ISO90012008!B143,IF(C19="Major",ISO90012008!B144,IF(C19="Minor",ISO90012008!B145,"")))</f>
        <v>1</v>
      </c>
      <c r="E19" s="100"/>
      <c r="F19" s="101" t="s">
        <v>494</v>
      </c>
      <c r="G19" s="90"/>
      <c r="H19" s="1" t="s">
        <v>462</v>
      </c>
      <c r="I19" s="1"/>
      <c r="J19" s="1"/>
      <c r="K19" s="1"/>
      <c r="L19" s="1"/>
      <c r="M19" s="50"/>
      <c r="N19" s="22"/>
      <c r="O19" s="22"/>
      <c r="P19" s="29"/>
      <c r="Q19" s="54"/>
      <c r="R19" s="54"/>
      <c r="S19" s="38" t="s">
        <v>211</v>
      </c>
      <c r="T19" s="22"/>
      <c r="U19" s="22"/>
    </row>
    <row r="20" spans="1:21" s="47" customFormat="1" x14ac:dyDescent="0.2">
      <c r="A20" s="48">
        <v>7</v>
      </c>
      <c r="B20" s="49" t="s">
        <v>1</v>
      </c>
      <c r="C20" s="56" t="s">
        <v>160</v>
      </c>
      <c r="D20" s="23">
        <f>IF(C20="Critical",ISO90012008!B142,IF(C20="Major",ISO90012008!B143,IF(C20="Minor",ISO90012008!B144,"")))</f>
        <v>3</v>
      </c>
      <c r="E20" s="89"/>
      <c r="F20" s="101" t="s">
        <v>494</v>
      </c>
      <c r="G20" s="90" t="s">
        <v>391</v>
      </c>
      <c r="H20" s="1" t="s">
        <v>462</v>
      </c>
      <c r="I20" s="1"/>
      <c r="J20" s="1"/>
      <c r="K20" s="1"/>
      <c r="L20" s="1"/>
      <c r="M20" s="50"/>
      <c r="N20" s="22"/>
      <c r="O20" s="22"/>
      <c r="P20" s="29"/>
      <c r="Q20" s="19"/>
      <c r="R20" s="19"/>
      <c r="S20" s="38" t="s">
        <v>211</v>
      </c>
      <c r="T20" s="22"/>
      <c r="U20" s="22"/>
    </row>
    <row r="21" spans="1:21" s="47" customFormat="1" x14ac:dyDescent="0.2">
      <c r="A21" s="48">
        <v>8</v>
      </c>
      <c r="B21" s="56" t="s">
        <v>605</v>
      </c>
      <c r="C21" s="56" t="s">
        <v>160</v>
      </c>
      <c r="D21" s="23">
        <f>IF(C21="Critical",ISO90012008!B143,IF(C21="Major",ISO90012008!B144,IF(C21="Minor",ISO90012008!B145,"")))</f>
        <v>1</v>
      </c>
      <c r="E21" s="89"/>
      <c r="F21" s="101" t="s">
        <v>494</v>
      </c>
      <c r="G21" s="90"/>
      <c r="H21" s="1" t="s">
        <v>462</v>
      </c>
      <c r="I21" s="1"/>
      <c r="J21" s="1"/>
      <c r="K21" s="1"/>
      <c r="L21" s="1"/>
      <c r="M21" s="50"/>
      <c r="N21" s="22"/>
      <c r="O21" s="22"/>
      <c r="P21" s="29"/>
      <c r="Q21" s="19"/>
      <c r="R21" s="19"/>
      <c r="S21" s="38" t="s">
        <v>211</v>
      </c>
      <c r="T21" s="22"/>
      <c r="U21" s="22"/>
    </row>
    <row r="22" spans="1:21" s="40" customFormat="1" x14ac:dyDescent="0.2">
      <c r="A22" s="17"/>
      <c r="B22" s="17" t="s">
        <v>293</v>
      </c>
      <c r="C22" s="63"/>
      <c r="D22" s="63"/>
      <c r="E22" s="63"/>
      <c r="F22" s="63"/>
      <c r="G22" s="63"/>
      <c r="H22" s="17"/>
      <c r="I22" s="17"/>
      <c r="J22" s="17"/>
      <c r="K22" s="17"/>
      <c r="L22" s="17"/>
      <c r="M22" s="17"/>
      <c r="N22" s="17"/>
      <c r="O22" s="17"/>
      <c r="P22" s="27"/>
      <c r="Q22" s="17"/>
      <c r="R22" s="17"/>
      <c r="S22" s="27"/>
      <c r="T22" s="17"/>
      <c r="U22" s="17"/>
    </row>
    <row r="23" spans="1:21" ht="25.5" x14ac:dyDescent="0.2">
      <c r="A23" s="19">
        <v>1</v>
      </c>
      <c r="B23" s="250" t="s">
        <v>97</v>
      </c>
      <c r="C23" s="23" t="s">
        <v>109</v>
      </c>
      <c r="D23" s="23">
        <f>IF(C23="Critical",ISO90012008!B143,IF(C23="Major",ISO90012008!B144,IF(C23="Minor",ISO90012008!B145,"")))</f>
        <v>5</v>
      </c>
      <c r="E23" s="19"/>
      <c r="F23" s="23" t="s">
        <v>493</v>
      </c>
      <c r="G23" s="23" t="s">
        <v>374</v>
      </c>
      <c r="H23" s="1" t="s">
        <v>612</v>
      </c>
      <c r="I23" s="1"/>
      <c r="J23" s="1"/>
      <c r="K23" s="1"/>
      <c r="L23" s="1"/>
      <c r="M23" s="41" t="s">
        <v>635</v>
      </c>
      <c r="N23" s="19"/>
      <c r="O23" s="23"/>
      <c r="P23" s="21"/>
      <c r="Q23" s="29"/>
      <c r="R23" s="29"/>
      <c r="S23" s="37">
        <v>8.4</v>
      </c>
      <c r="T23" s="23"/>
      <c r="U23" s="19"/>
    </row>
    <row r="24" spans="1:21" s="47" customFormat="1" x14ac:dyDescent="0.2">
      <c r="A24" s="55">
        <v>2</v>
      </c>
      <c r="B24" s="96" t="s">
        <v>215</v>
      </c>
      <c r="C24" s="23" t="s">
        <v>159</v>
      </c>
      <c r="D24" s="23">
        <f>IF(C24="Critical",ISO90012008!B143,IF(C24="Major",ISO90012008!B144,IF(C24="Minor",ISO90012008!B145,"")))</f>
        <v>3</v>
      </c>
      <c r="E24" s="23"/>
      <c r="F24" s="23" t="s">
        <v>493</v>
      </c>
      <c r="G24" s="23" t="s">
        <v>392</v>
      </c>
      <c r="H24" s="1" t="s">
        <v>612</v>
      </c>
      <c r="I24" s="1"/>
      <c r="J24" s="1"/>
      <c r="K24" s="1"/>
      <c r="L24" s="1"/>
      <c r="M24" s="41" t="s">
        <v>636</v>
      </c>
      <c r="N24" s="29"/>
      <c r="O24" s="29"/>
      <c r="P24" s="270"/>
      <c r="Q24" s="29"/>
      <c r="R24" s="29"/>
      <c r="S24" s="38" t="s">
        <v>513</v>
      </c>
      <c r="T24" s="22"/>
      <c r="U24" s="22"/>
    </row>
    <row r="25" spans="1:21" ht="25.5" x14ac:dyDescent="0.2">
      <c r="A25" s="19">
        <v>3</v>
      </c>
      <c r="B25" s="97" t="s">
        <v>92</v>
      </c>
      <c r="C25" s="23" t="s">
        <v>159</v>
      </c>
      <c r="D25" s="23">
        <f>IF(C25="Critical",ISO90012008!B143,IF(C25="Major",ISO90012008!B144,IF(C25="Minor",ISO90012008!B145,"")))</f>
        <v>3</v>
      </c>
      <c r="E25" s="1"/>
      <c r="F25" s="12" t="s">
        <v>494</v>
      </c>
      <c r="G25" s="23" t="s">
        <v>374</v>
      </c>
      <c r="H25" s="1" t="s">
        <v>612</v>
      </c>
      <c r="I25" s="1"/>
      <c r="J25" s="1"/>
      <c r="K25" s="1"/>
      <c r="L25" s="1"/>
      <c r="M25" s="41" t="s">
        <v>635</v>
      </c>
      <c r="N25" s="22"/>
      <c r="O25" s="22"/>
      <c r="P25" s="29"/>
      <c r="Q25" s="29"/>
      <c r="R25" s="29"/>
      <c r="S25" s="38" t="s">
        <v>169</v>
      </c>
      <c r="T25" s="23"/>
      <c r="U25" s="19"/>
    </row>
    <row r="26" spans="1:21" ht="25.5" x14ac:dyDescent="0.2">
      <c r="A26" s="19">
        <v>4</v>
      </c>
      <c r="B26" s="97" t="s">
        <v>93</v>
      </c>
      <c r="C26" s="23" t="s">
        <v>159</v>
      </c>
      <c r="D26" s="23">
        <f>IF(C26="Critical",ISO90012008!B143,IF(C26="Major",ISO90012008!B144,IF(C26="Minor",ISO90012008!B145,"")))</f>
        <v>3</v>
      </c>
      <c r="E26" s="1"/>
      <c r="F26" s="12" t="s">
        <v>495</v>
      </c>
      <c r="G26" s="23" t="s">
        <v>374</v>
      </c>
      <c r="H26" s="1" t="s">
        <v>612</v>
      </c>
      <c r="I26" s="1"/>
      <c r="J26" s="1"/>
      <c r="K26" s="1"/>
      <c r="L26" s="1"/>
      <c r="M26" s="41" t="s">
        <v>635</v>
      </c>
      <c r="N26" s="22"/>
      <c r="O26" s="22"/>
      <c r="P26" s="29"/>
      <c r="Q26" s="29"/>
      <c r="R26" s="29"/>
      <c r="S26" s="38" t="s">
        <v>169</v>
      </c>
      <c r="T26" s="23"/>
      <c r="U26" s="19"/>
    </row>
    <row r="27" spans="1:21" s="40" customFormat="1" x14ac:dyDescent="0.2">
      <c r="A27" s="17"/>
      <c r="B27" s="17" t="s">
        <v>296</v>
      </c>
      <c r="C27" s="17"/>
      <c r="D27" s="17"/>
      <c r="E27" s="17"/>
      <c r="F27" s="17"/>
      <c r="G27" s="17"/>
      <c r="H27" s="17"/>
      <c r="I27" s="17"/>
      <c r="J27" s="17"/>
      <c r="K27" s="17"/>
      <c r="L27" s="17"/>
      <c r="M27" s="17"/>
      <c r="N27" s="17"/>
      <c r="O27" s="17"/>
      <c r="P27" s="27"/>
      <c r="Q27" s="17"/>
      <c r="R27" s="17"/>
      <c r="S27" s="27"/>
      <c r="T27" s="17"/>
      <c r="U27" s="17"/>
    </row>
    <row r="28" spans="1:21" ht="25.5" x14ac:dyDescent="0.2">
      <c r="A28" s="19">
        <v>1</v>
      </c>
      <c r="B28" s="1" t="s">
        <v>8</v>
      </c>
      <c r="C28" s="23" t="s">
        <v>109</v>
      </c>
      <c r="D28" s="23">
        <f>IF(C28="Critical",ISO90012008!B143,IF(C28="Major",ISO90012008!B144,IF(C28="Minor",ISO90012008!B145,"")))</f>
        <v>5</v>
      </c>
      <c r="E28" s="1"/>
      <c r="F28" s="12" t="s">
        <v>494</v>
      </c>
      <c r="G28" s="12" t="s">
        <v>393</v>
      </c>
      <c r="H28" s="1" t="s">
        <v>612</v>
      </c>
      <c r="I28" s="1"/>
      <c r="J28" s="1"/>
      <c r="K28" s="1"/>
      <c r="L28" s="1"/>
      <c r="M28" s="23" t="s">
        <v>637</v>
      </c>
      <c r="N28" s="23"/>
      <c r="O28" s="23"/>
      <c r="P28" s="270"/>
      <c r="Q28" s="29"/>
      <c r="R28" s="239"/>
      <c r="S28" s="37">
        <v>8.1</v>
      </c>
      <c r="T28" s="23"/>
      <c r="U28" s="19"/>
    </row>
    <row r="29" spans="1:21" s="40" customFormat="1" x14ac:dyDescent="0.2">
      <c r="A29" s="17"/>
      <c r="B29" s="17" t="s">
        <v>297</v>
      </c>
      <c r="C29" s="17"/>
      <c r="D29" s="17"/>
      <c r="E29" s="17"/>
      <c r="F29" s="17"/>
      <c r="G29" s="17"/>
      <c r="H29" s="17"/>
      <c r="I29" s="17"/>
      <c r="J29" s="17"/>
      <c r="K29" s="17"/>
      <c r="L29" s="17"/>
      <c r="M29" s="17"/>
      <c r="N29" s="17"/>
      <c r="O29" s="17"/>
      <c r="P29" s="27"/>
      <c r="Q29" s="17"/>
      <c r="R29" s="17"/>
      <c r="S29" s="27"/>
      <c r="T29" s="17"/>
      <c r="U29" s="17"/>
    </row>
    <row r="30" spans="1:21" ht="25.5" x14ac:dyDescent="0.2">
      <c r="A30" s="19">
        <v>1</v>
      </c>
      <c r="B30" s="1" t="s">
        <v>96</v>
      </c>
      <c r="C30" s="12" t="s">
        <v>159</v>
      </c>
      <c r="D30" s="23">
        <f>IF(C30="Critical",ISO90012008!B143,IF(C30="Major",ISO90012008!B144,IF(C30="Minor",ISO90012008!B145,"")))</f>
        <v>3</v>
      </c>
      <c r="E30" s="1"/>
      <c r="F30" s="12" t="s">
        <v>494</v>
      </c>
      <c r="G30" s="12" t="s">
        <v>394</v>
      </c>
      <c r="H30" s="1" t="s">
        <v>612</v>
      </c>
      <c r="I30" s="1"/>
      <c r="J30" s="1"/>
      <c r="K30" s="1"/>
      <c r="L30" s="1"/>
      <c r="M30" s="41" t="s">
        <v>638</v>
      </c>
      <c r="N30" s="22"/>
      <c r="O30" s="22"/>
      <c r="P30" s="270"/>
      <c r="Q30" s="29"/>
      <c r="R30" s="29"/>
      <c r="S30" s="37">
        <v>8.1</v>
      </c>
      <c r="T30" s="23"/>
      <c r="U30" s="19"/>
    </row>
    <row r="31" spans="1:21" s="40" customFormat="1" x14ac:dyDescent="0.2">
      <c r="A31" s="17"/>
      <c r="B31" s="17" t="s">
        <v>428</v>
      </c>
      <c r="C31" s="17"/>
      <c r="D31" s="17"/>
      <c r="E31" s="17"/>
      <c r="F31" s="17"/>
      <c r="G31" s="17"/>
      <c r="H31" s="17"/>
      <c r="I31" s="17"/>
      <c r="J31" s="17"/>
      <c r="K31" s="17"/>
      <c r="L31" s="17"/>
      <c r="M31" s="17"/>
      <c r="N31" s="17"/>
      <c r="O31" s="17"/>
      <c r="P31" s="27"/>
      <c r="Q31" s="17"/>
      <c r="R31" s="17"/>
      <c r="S31" s="27"/>
      <c r="T31" s="17"/>
      <c r="U31" s="17"/>
    </row>
    <row r="32" spans="1:21" x14ac:dyDescent="0.2">
      <c r="A32" s="19">
        <v>1</v>
      </c>
      <c r="B32" s="12" t="s">
        <v>429</v>
      </c>
      <c r="C32" s="12" t="s">
        <v>160</v>
      </c>
      <c r="D32" s="23">
        <f>IF(C32="Critical",ISO90012008!B143,IF(C32="Major",ISO90012008!B144,IF(C32="Minor",ISO90012008!B145,"")))</f>
        <v>1</v>
      </c>
      <c r="E32" s="1"/>
      <c r="F32" s="12" t="s">
        <v>494</v>
      </c>
      <c r="G32" s="12" t="s">
        <v>362</v>
      </c>
      <c r="H32" s="1" t="s">
        <v>462</v>
      </c>
      <c r="I32" s="1"/>
      <c r="J32" s="1"/>
      <c r="K32" s="1"/>
      <c r="L32" s="1"/>
      <c r="M32" s="23"/>
      <c r="N32" s="19"/>
      <c r="O32" s="19"/>
      <c r="P32" s="29"/>
      <c r="Q32" s="29"/>
      <c r="R32" s="29"/>
      <c r="S32" s="37">
        <v>8.1</v>
      </c>
      <c r="T32" s="23"/>
      <c r="U32" s="19"/>
    </row>
    <row r="33" spans="1:21" s="40" customFormat="1" x14ac:dyDescent="0.2">
      <c r="A33" s="17"/>
      <c r="B33" s="17" t="s">
        <v>430</v>
      </c>
      <c r="C33" s="17"/>
      <c r="D33" s="17"/>
      <c r="E33" s="17"/>
      <c r="F33" s="17"/>
      <c r="G33" s="17"/>
      <c r="H33" s="17"/>
      <c r="I33" s="17"/>
      <c r="J33" s="17"/>
      <c r="K33" s="17"/>
      <c r="L33" s="17"/>
      <c r="M33" s="17"/>
      <c r="N33" s="17"/>
      <c r="O33" s="17"/>
      <c r="P33" s="27"/>
      <c r="Q33" s="17"/>
      <c r="R33" s="17"/>
      <c r="S33" s="27"/>
      <c r="T33" s="17"/>
      <c r="U33" s="17"/>
    </row>
    <row r="34" spans="1:21" ht="29.25" customHeight="1" x14ac:dyDescent="0.2">
      <c r="A34" s="19">
        <v>1</v>
      </c>
      <c r="B34" s="12" t="s">
        <v>431</v>
      </c>
      <c r="C34" s="12" t="s">
        <v>160</v>
      </c>
      <c r="D34" s="23">
        <f>IF(C34="Critical",ISO90012008!B143,IF(C34="Major",ISO90012008!B144,IF(C34="Minor",ISO90012008!B145,"")))</f>
        <v>1</v>
      </c>
      <c r="E34" s="1"/>
      <c r="F34" s="12" t="s">
        <v>494</v>
      </c>
      <c r="G34" s="12" t="s">
        <v>362</v>
      </c>
      <c r="H34" s="1" t="s">
        <v>612</v>
      </c>
      <c r="I34" s="1"/>
      <c r="J34" s="1"/>
      <c r="K34" s="1"/>
      <c r="L34" s="1"/>
      <c r="M34" s="23" t="s">
        <v>639</v>
      </c>
      <c r="N34" s="19"/>
      <c r="O34" s="19"/>
      <c r="P34" s="270"/>
      <c r="Q34" s="29"/>
      <c r="R34" s="29"/>
      <c r="S34" s="37">
        <v>8.1</v>
      </c>
      <c r="T34" s="23"/>
      <c r="U34" s="19"/>
    </row>
    <row r="35" spans="1:21" s="40" customFormat="1" x14ac:dyDescent="0.2">
      <c r="A35" s="17"/>
      <c r="B35" s="17" t="s">
        <v>432</v>
      </c>
      <c r="C35" s="17"/>
      <c r="D35" s="17"/>
      <c r="E35" s="17"/>
      <c r="F35" s="17"/>
      <c r="G35" s="17"/>
      <c r="H35" s="17"/>
      <c r="I35" s="17"/>
      <c r="J35" s="17"/>
      <c r="K35" s="17"/>
      <c r="L35" s="17"/>
      <c r="M35" s="17"/>
      <c r="N35" s="17"/>
      <c r="O35" s="17"/>
      <c r="P35" s="27"/>
      <c r="Q35" s="17"/>
      <c r="R35" s="17"/>
      <c r="S35" s="27"/>
      <c r="T35" s="17"/>
      <c r="U35" s="17"/>
    </row>
    <row r="36" spans="1:21" x14ac:dyDescent="0.2">
      <c r="A36" s="19">
        <v>1</v>
      </c>
      <c r="B36" s="12" t="s">
        <v>433</v>
      </c>
      <c r="C36" s="12" t="s">
        <v>160</v>
      </c>
      <c r="D36" s="23">
        <f>IF(C36="Critical",ISO90012008!B143,IF(C36="Major",ISO90012008!B144,IF(C36="Minor",ISO90012008!B145,"")))</f>
        <v>1</v>
      </c>
      <c r="E36" s="1"/>
      <c r="F36" s="12" t="s">
        <v>494</v>
      </c>
      <c r="G36" s="12" t="s">
        <v>362</v>
      </c>
      <c r="H36" s="1" t="s">
        <v>611</v>
      </c>
      <c r="I36" s="1"/>
      <c r="J36" s="1"/>
      <c r="K36" s="1"/>
      <c r="L36" s="1"/>
      <c r="M36" s="23"/>
      <c r="N36" s="19"/>
      <c r="O36" s="19"/>
      <c r="P36" s="29"/>
      <c r="Q36" s="29"/>
      <c r="R36" s="29"/>
      <c r="S36" s="37">
        <v>8.1</v>
      </c>
      <c r="T36" s="23"/>
      <c r="U36" s="19"/>
    </row>
    <row r="37" spans="1:21" s="40" customFormat="1" x14ac:dyDescent="0.2">
      <c r="A37" s="17"/>
      <c r="B37" s="17" t="s">
        <v>437</v>
      </c>
      <c r="C37" s="17"/>
      <c r="D37" s="17"/>
      <c r="E37" s="17"/>
      <c r="F37" s="17"/>
      <c r="G37" s="17"/>
      <c r="H37" s="17"/>
      <c r="I37" s="17"/>
      <c r="J37" s="17"/>
      <c r="K37" s="17"/>
      <c r="L37" s="17"/>
      <c r="M37" s="17"/>
      <c r="N37" s="17"/>
      <c r="O37" s="17"/>
      <c r="P37" s="27"/>
      <c r="Q37" s="17"/>
      <c r="R37" s="17"/>
      <c r="S37" s="27"/>
      <c r="T37" s="17"/>
      <c r="U37" s="17"/>
    </row>
    <row r="38" spans="1:21" x14ac:dyDescent="0.2">
      <c r="A38" s="19">
        <v>1</v>
      </c>
      <c r="B38" s="12" t="s">
        <v>438</v>
      </c>
      <c r="C38" s="12" t="s">
        <v>160</v>
      </c>
      <c r="D38" s="23">
        <f>IF(C38="Critical",ISO90012008!B143,IF(C38="Major",ISO90012008!B144,IF(C38="Minor",ISO90012008!B145,"")))</f>
        <v>1</v>
      </c>
      <c r="E38" s="1"/>
      <c r="F38" s="12" t="s">
        <v>494</v>
      </c>
      <c r="G38" s="12" t="s">
        <v>439</v>
      </c>
      <c r="H38" s="1" t="s">
        <v>611</v>
      </c>
      <c r="I38" s="1"/>
      <c r="J38" s="1"/>
      <c r="K38" s="1"/>
      <c r="L38" s="1"/>
      <c r="M38" s="23"/>
      <c r="N38" s="19"/>
      <c r="O38" s="19"/>
      <c r="P38" s="21"/>
      <c r="Q38" s="29"/>
      <c r="R38" s="29"/>
      <c r="S38" s="37">
        <v>8.1</v>
      </c>
      <c r="T38" s="23"/>
      <c r="U38" s="19"/>
    </row>
    <row r="39" spans="1:21" s="16" customFormat="1" ht="25.5" x14ac:dyDescent="0.2">
      <c r="A39" s="19">
        <v>2</v>
      </c>
      <c r="B39" s="23" t="s">
        <v>452</v>
      </c>
      <c r="C39" s="23" t="s">
        <v>159</v>
      </c>
      <c r="D39" s="23">
        <f>IF(C39="Critical",ISO90012008!B143,IF(C39="Major",ISO90012008!B144,IF(C39="Minor",ISO90012008!B145,"")))</f>
        <v>3</v>
      </c>
      <c r="E39" s="23" t="s">
        <v>451</v>
      </c>
      <c r="F39" s="12" t="s">
        <v>494</v>
      </c>
      <c r="G39" s="23" t="s">
        <v>453</v>
      </c>
      <c r="H39" s="1" t="s">
        <v>462</v>
      </c>
      <c r="I39" s="1"/>
      <c r="J39" s="1"/>
      <c r="K39" s="1"/>
      <c r="L39" s="1"/>
      <c r="M39" s="23"/>
      <c r="N39" s="22"/>
      <c r="O39" s="22"/>
      <c r="P39" s="21"/>
      <c r="Q39" s="33"/>
      <c r="R39" s="33"/>
      <c r="S39" s="38" t="s">
        <v>512</v>
      </c>
      <c r="T39" s="19"/>
      <c r="U39" s="33"/>
    </row>
    <row r="40" spans="1:21" s="40" customFormat="1" x14ac:dyDescent="0.2">
      <c r="A40" s="17"/>
      <c r="B40" s="17" t="s">
        <v>448</v>
      </c>
      <c r="C40" s="17"/>
      <c r="D40" s="17"/>
      <c r="E40" s="17"/>
      <c r="F40" s="17"/>
      <c r="G40" s="17"/>
      <c r="H40" s="17"/>
      <c r="I40" s="17"/>
      <c r="J40" s="17"/>
      <c r="K40" s="17"/>
      <c r="L40" s="17"/>
      <c r="M40" s="17"/>
      <c r="N40" s="17"/>
      <c r="O40" s="17"/>
      <c r="P40" s="27"/>
      <c r="Q40" s="17"/>
      <c r="R40" s="17"/>
      <c r="S40" s="27"/>
      <c r="T40" s="17"/>
      <c r="U40" s="17"/>
    </row>
    <row r="41" spans="1:21" ht="38.25" x14ac:dyDescent="0.2">
      <c r="A41" s="19">
        <v>1</v>
      </c>
      <c r="B41" s="12" t="s">
        <v>449</v>
      </c>
      <c r="C41" s="12" t="s">
        <v>159</v>
      </c>
      <c r="D41" s="23">
        <f>IF(C41="Critical",ISO90012008!B143,IF(C41="Major",ISO90012008!B144,IF(C41="Minor",ISO90012008!B145,"")))</f>
        <v>3</v>
      </c>
      <c r="E41" s="1"/>
      <c r="F41" s="12" t="s">
        <v>493</v>
      </c>
      <c r="G41" s="12" t="s">
        <v>450</v>
      </c>
      <c r="H41" s="1" t="s">
        <v>611</v>
      </c>
      <c r="I41" s="1"/>
      <c r="J41" s="1"/>
      <c r="K41" s="1"/>
      <c r="L41" s="1"/>
      <c r="M41" s="23"/>
      <c r="N41" s="19"/>
      <c r="O41" s="19"/>
      <c r="P41" s="29"/>
      <c r="Q41" s="29"/>
      <c r="R41" s="29"/>
      <c r="S41" s="38" t="s">
        <v>514</v>
      </c>
      <c r="T41" s="23"/>
      <c r="U41" s="19"/>
    </row>
    <row r="42" spans="1:21" s="40" customFormat="1" x14ac:dyDescent="0.2">
      <c r="A42" s="17"/>
      <c r="B42" s="273" t="s">
        <v>295</v>
      </c>
      <c r="C42" s="17"/>
      <c r="D42" s="17"/>
      <c r="E42" s="17"/>
      <c r="F42" s="17"/>
      <c r="G42" s="17"/>
      <c r="H42" s="17"/>
      <c r="I42" s="17"/>
      <c r="J42" s="17"/>
      <c r="K42" s="17"/>
      <c r="L42" s="17"/>
      <c r="M42" s="17"/>
      <c r="N42" s="17"/>
      <c r="O42" s="17"/>
      <c r="P42" s="27"/>
      <c r="Q42" s="17"/>
      <c r="R42" s="17"/>
      <c r="S42" s="27"/>
      <c r="T42" s="17"/>
      <c r="U42" s="17"/>
    </row>
    <row r="43" spans="1:21" ht="38.25" x14ac:dyDescent="0.2">
      <c r="A43" s="19">
        <v>1</v>
      </c>
      <c r="B43" s="1" t="s">
        <v>168</v>
      </c>
      <c r="C43" s="23" t="s">
        <v>159</v>
      </c>
      <c r="D43" s="23">
        <f>IF(C43="Critical",ISO90012008!B143,IF(C43="Major",ISO90012008!B144,IF(C43="Minor",ISO90012008!B145,"")))</f>
        <v>3</v>
      </c>
      <c r="E43" s="1"/>
      <c r="F43" s="12" t="s">
        <v>494</v>
      </c>
      <c r="G43" s="12" t="s">
        <v>457</v>
      </c>
      <c r="H43" s="1" t="s">
        <v>612</v>
      </c>
      <c r="I43" s="1"/>
      <c r="J43" s="1"/>
      <c r="K43" s="1"/>
      <c r="L43" s="1"/>
      <c r="M43" s="23"/>
      <c r="N43" s="22"/>
      <c r="O43" s="22"/>
      <c r="P43" s="29"/>
      <c r="Q43" s="29"/>
      <c r="R43" s="29"/>
      <c r="S43" s="37">
        <v>8.1</v>
      </c>
      <c r="T43" s="19"/>
      <c r="U43" s="19"/>
    </row>
    <row r="44" spans="1:21" ht="38.25" x14ac:dyDescent="0.2">
      <c r="A44" s="19">
        <v>2</v>
      </c>
      <c r="B44" s="1" t="s">
        <v>102</v>
      </c>
      <c r="C44" s="23" t="s">
        <v>109</v>
      </c>
      <c r="D44" s="23">
        <f>IF(C44="Critical",ISO90012008!B143,IF(C44="Major",ISO90012008!B144,IF(C44="Minor",ISO90012008!B145,"")))</f>
        <v>5</v>
      </c>
      <c r="E44" s="1"/>
      <c r="F44" s="12" t="s">
        <v>494</v>
      </c>
      <c r="G44" s="12" t="s">
        <v>458</v>
      </c>
      <c r="H44" s="1" t="s">
        <v>612</v>
      </c>
      <c r="I44" s="1"/>
      <c r="J44" s="1"/>
      <c r="K44" s="1"/>
      <c r="L44" s="1"/>
      <c r="M44" s="23" t="s">
        <v>640</v>
      </c>
      <c r="N44" s="22"/>
      <c r="O44" s="22"/>
      <c r="P44" s="29"/>
      <c r="Q44" s="29"/>
      <c r="R44" s="29"/>
      <c r="S44" s="37">
        <v>8.1</v>
      </c>
      <c r="T44" s="19"/>
      <c r="U44" s="19"/>
    </row>
    <row r="45" spans="1:21" ht="38.25" x14ac:dyDescent="0.2">
      <c r="A45" s="19">
        <v>3</v>
      </c>
      <c r="B45" s="1" t="s">
        <v>100</v>
      </c>
      <c r="C45" s="23" t="s">
        <v>109</v>
      </c>
      <c r="D45" s="23">
        <f>IF(C45="Critical",ISO90012008!B143,IF(C45="Major",ISO90012008!B144,IF(C45="Minor",ISO90012008!B145,"")))</f>
        <v>5</v>
      </c>
      <c r="E45" s="1"/>
      <c r="F45" s="12" t="s">
        <v>494</v>
      </c>
      <c r="G45" s="12" t="s">
        <v>459</v>
      </c>
      <c r="H45" s="1" t="s">
        <v>612</v>
      </c>
      <c r="I45" s="1"/>
      <c r="J45" s="1"/>
      <c r="K45" s="1"/>
      <c r="L45" s="1"/>
      <c r="M45" s="23" t="s">
        <v>641</v>
      </c>
      <c r="N45" s="22"/>
      <c r="O45" s="22"/>
      <c r="P45" s="21"/>
      <c r="Q45" s="29"/>
      <c r="R45" s="29"/>
      <c r="S45" s="37">
        <v>8.1</v>
      </c>
      <c r="T45" s="19"/>
      <c r="U45" s="19"/>
    </row>
    <row r="46" spans="1:21" ht="38.25" x14ac:dyDescent="0.2">
      <c r="A46" s="19">
        <v>4</v>
      </c>
      <c r="B46" s="1" t="s">
        <v>101</v>
      </c>
      <c r="C46" s="23" t="s">
        <v>109</v>
      </c>
      <c r="D46" s="23">
        <f>IF(C46="Critical",ISO90012008!B143,IF(C46="Major",ISO90012008!B144,IF(C46="Minor",ISO90012008!B145,"")))</f>
        <v>5</v>
      </c>
      <c r="E46" s="1"/>
      <c r="F46" s="12" t="s">
        <v>494</v>
      </c>
      <c r="G46" s="12" t="s">
        <v>460</v>
      </c>
      <c r="H46" s="1" t="s">
        <v>612</v>
      </c>
      <c r="I46" s="1"/>
      <c r="J46" s="1"/>
      <c r="K46" s="1"/>
      <c r="L46" s="1"/>
      <c r="M46" s="23"/>
      <c r="N46" s="23"/>
      <c r="O46" s="23"/>
      <c r="P46" s="238"/>
      <c r="Q46" s="21"/>
      <c r="R46" s="29"/>
      <c r="S46" s="37">
        <v>8.1</v>
      </c>
      <c r="T46" s="19"/>
      <c r="U46" s="19"/>
    </row>
    <row r="47" spans="1:21" ht="25.5" x14ac:dyDescent="0.2">
      <c r="A47" s="19">
        <v>5</v>
      </c>
      <c r="B47" s="22" t="s">
        <v>94</v>
      </c>
      <c r="C47" s="23" t="s">
        <v>159</v>
      </c>
      <c r="D47" s="23">
        <f>IF(C47="Critical",ISO90012008!B143,IF(C47="Major",ISO90012008!B144,IF(C47="Minor",ISO90012008!B145,"")))</f>
        <v>3</v>
      </c>
      <c r="E47" s="22"/>
      <c r="F47" s="12" t="s">
        <v>494</v>
      </c>
      <c r="G47" s="23" t="s">
        <v>461</v>
      </c>
      <c r="H47" s="1" t="s">
        <v>462</v>
      </c>
      <c r="I47" s="1"/>
      <c r="J47" s="1"/>
      <c r="K47" s="1"/>
      <c r="L47" s="1"/>
      <c r="M47" s="23"/>
      <c r="N47" s="22"/>
      <c r="O47" s="22"/>
      <c r="P47" s="270"/>
      <c r="Q47" s="19"/>
      <c r="R47" s="19"/>
      <c r="S47" s="38" t="s">
        <v>110</v>
      </c>
      <c r="T47" s="19"/>
      <c r="U47" s="19"/>
    </row>
  </sheetData>
  <autoFilter ref="A2:T47"/>
  <mergeCells count="1">
    <mergeCell ref="M10:M12"/>
  </mergeCells>
  <phoneticPr fontId="2" type="noConversion"/>
  <conditionalFormatting sqref="Q43:R47 P13:R13 N12:O12 Q12:S12 P8 P31 H37:L37 H13:L13 H31:L31 H33:L33 H35:L35 H40:L40 Q14:R19 P33 P37:P40 Q21:R21 P35">
    <cfRule type="cellIs" dxfId="194" priority="394" stopIfTrue="1" operator="equal">
      <formula>"Yes"</formula>
    </cfRule>
    <cfRule type="cellIs" dxfId="193" priority="395" stopIfTrue="1" operator="equal">
      <formula>"No"</formula>
    </cfRule>
    <cfRule type="cellIs" dxfId="192" priority="396" stopIfTrue="1" operator="equal">
      <formula>"N/A"</formula>
    </cfRule>
  </conditionalFormatting>
  <conditionalFormatting sqref="M39:T39">
    <cfRule type="cellIs" dxfId="191" priority="13" stopIfTrue="1" operator="equal">
      <formula>"Yes"</formula>
    </cfRule>
    <cfRule type="cellIs" dxfId="190" priority="14" stopIfTrue="1" operator="equal">
      <formula>"No"</formula>
    </cfRule>
    <cfRule type="cellIs" dxfId="189" priority="15" stopIfTrue="1" operator="equal">
      <formula>"N/A"</formula>
    </cfRule>
  </conditionalFormatting>
  <conditionalFormatting sqref="Q20:R20">
    <cfRule type="cellIs" dxfId="188" priority="10" stopIfTrue="1" operator="equal">
      <formula>"Yes"</formula>
    </cfRule>
    <cfRule type="cellIs" dxfId="187" priority="11" stopIfTrue="1" operator="equal">
      <formula>"No"</formula>
    </cfRule>
    <cfRule type="cellIs" dxfId="186" priority="12" stopIfTrue="1" operator="equal">
      <formula>"N/A"</formula>
    </cfRule>
  </conditionalFormatting>
  <conditionalFormatting sqref="P23">
    <cfRule type="cellIs" dxfId="185" priority="7" stopIfTrue="1" operator="equal">
      <formula>"Yes"</formula>
    </cfRule>
    <cfRule type="cellIs" dxfId="184" priority="8" stopIfTrue="1" operator="equal">
      <formula>"No"</formula>
    </cfRule>
    <cfRule type="cellIs" dxfId="183" priority="9" stopIfTrue="1" operator="equal">
      <formula>"N/A"</formula>
    </cfRule>
  </conditionalFormatting>
  <conditionalFormatting sqref="P45">
    <cfRule type="cellIs" dxfId="182" priority="4" stopIfTrue="1" operator="equal">
      <formula>"Yes"</formula>
    </cfRule>
    <cfRule type="cellIs" dxfId="181" priority="5" stopIfTrue="1" operator="equal">
      <formula>"No"</formula>
    </cfRule>
    <cfRule type="cellIs" dxfId="180" priority="6" stopIfTrue="1" operator="equal">
      <formula>"N/A"</formula>
    </cfRule>
  </conditionalFormatting>
  <dataValidations count="3">
    <dataValidation allowBlank="1" showInputMessage="1" showErrorMessage="1" sqref="M38:M39 M10 M23 N15:O15 M30 M28 M32 M34 M36 M8 M14:M21 M4:M6 M41 M43:M47 M25:M26"/>
    <dataValidation type="list" allowBlank="1" showInputMessage="1" showErrorMessage="1" sqref="T12 T39">
      <formula1>"Open,Closed"</formula1>
    </dataValidation>
    <dataValidation type="list" allowBlank="1" showInputMessage="1" showErrorMessage="1" sqref="H34:L34 H32:L32 H30:L30 H28:L28 H10:L12 H14:L21 H41:L41 H8:L8 H4:L6 H38:L39 H36:L36 H43:L47 H23:L26">
      <formula1>"Yes, No, NA"</formula1>
    </dataValidation>
  </dataValidations>
  <pageMargins left="0.75" right="0.75" top="1" bottom="1" header="0.5" footer="0.5"/>
  <pageSetup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32A327F600A4046A3535357823E7E95" ma:contentTypeVersion="1" ma:contentTypeDescription="Create a new document." ma:contentTypeScope="" ma:versionID="eded2ea21029c2647dc03dbcf23ce0cb">
  <xsd:schema xmlns:xsd="http://www.w3.org/2001/XMLSchema" xmlns:xs="http://www.w3.org/2001/XMLSchema" xmlns:p="http://schemas.microsoft.com/office/2006/metadata/properties" targetNamespace="http://schemas.microsoft.com/office/2006/metadata/properties" ma:root="true" ma:fieldsID="f3e687d5f98ee29b9cfcc2ff24550dc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548B6E8-27A2-46D0-BFC2-B9E3D5CDA0E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77DF25AB-0BAC-4529-A143-C898845BE7B9}">
  <ds:schemaRefs>
    <ds:schemaRef ds:uri="http://schemas.microsoft.com/sharepoint/v3/contenttype/forms"/>
  </ds:schemaRefs>
</ds:datastoreItem>
</file>

<file path=customXml/itemProps3.xml><?xml version="1.0" encoding="utf-8"?>
<ds:datastoreItem xmlns:ds="http://schemas.openxmlformats.org/officeDocument/2006/customXml" ds:itemID="{6BF4E456-07FA-4524-B003-7970B7BE658C}">
  <ds:schemaRefs>
    <ds:schemaRef ds:uri="http://schemas.microsoft.com/office/2006/documentManagement/types"/>
    <ds:schemaRef ds:uri="http://purl.org/dc/terms/"/>
    <ds:schemaRef ds:uri="http://purl.org/dc/elements/1.1/"/>
    <ds:schemaRef ds:uri="http://schemas.microsoft.com/office/2006/metadata/properties"/>
    <ds:schemaRef ds:uri="http://purl.org/dc/dcmitype/"/>
    <ds:schemaRef ds:uri="http://schemas.microsoft.com/office/infopath/2007/PartnerControl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Guidelines</vt:lpstr>
      <vt:lpstr>PC Dashboard</vt:lpstr>
      <vt:lpstr>Summary</vt:lpstr>
      <vt:lpstr>Process Area wise</vt:lpstr>
      <vt:lpstr>Severity wise</vt:lpstr>
      <vt:lpstr>Risks</vt:lpstr>
      <vt:lpstr>Project Initiation</vt:lpstr>
      <vt:lpstr>Project Management</vt:lpstr>
      <vt:lpstr>Monitoring &amp; Control</vt:lpstr>
      <vt:lpstr>Requirements</vt:lpstr>
      <vt:lpstr>Design</vt:lpstr>
      <vt:lpstr>Testing</vt:lpstr>
      <vt:lpstr>Delivery</vt:lpstr>
      <vt:lpstr>Project Closure</vt:lpstr>
      <vt:lpstr>ISO90012008</vt:lpstr>
      <vt:lpstr>Usage Guidelines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Umamahesh</dc:creator>
  <cp:lastModifiedBy>Devi Prasad</cp:lastModifiedBy>
  <cp:lastPrinted>2009-10-27T08:36:00Z</cp:lastPrinted>
  <dcterms:created xsi:type="dcterms:W3CDTF">2005-08-09T07:33:33Z</dcterms:created>
  <dcterms:modified xsi:type="dcterms:W3CDTF">2015-10-15T08:35:36Z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y fmtid="{D5CDD505-2E9C-101B-9397-08002B2CF9AE}" pid="3" name="ContentTypeId">
    <vt:lpwstr>0x0101003DE0705569353349B5363607255E6D8E</vt:lpwstr>
  </property>
</Properties>
</file>