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O292393\Downloads\"/>
    </mc:Choice>
  </mc:AlternateContent>
  <xr:revisionPtr revIDLastSave="0" documentId="13_ncr:1_{4715F042-FF06-4214-A97F-8AB1DDBE80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Planificac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" i="1" l="1"/>
  <c r="B17" i="1"/>
  <c r="B16" i="1"/>
  <c r="B15" i="1"/>
  <c r="B14" i="1"/>
  <c r="B13" i="1"/>
  <c r="B12" i="1"/>
  <c r="B11" i="1"/>
  <c r="B10" i="1"/>
  <c r="B9" i="1"/>
  <c r="B8" i="1"/>
  <c r="B28" i="1" s="1" a="1"/>
  <c r="B28" i="1" s="1"/>
  <c r="B7" i="1"/>
  <c r="B6" i="1"/>
  <c r="B25" i="1" s="1" a="1"/>
  <c r="B25" i="1" s="1"/>
  <c r="B22" i="1" l="1" a="1"/>
  <c r="B22" i="1" s="1"/>
  <c r="B27" i="1" a="1"/>
  <c r="B27" i="1" s="1"/>
  <c r="B23" i="1" a="1"/>
  <c r="B23" i="1" s="1"/>
  <c r="B30" i="1" a="1"/>
  <c r="B30" i="1" s="1"/>
  <c r="C15" i="1" a="1"/>
  <c r="C15" i="1" s="1"/>
  <c r="D15" i="1" s="1"/>
  <c r="B26" i="1" a="1"/>
  <c r="B26" i="1" s="1"/>
  <c r="C10" i="1" a="1"/>
  <c r="C10" i="1" s="1"/>
  <c r="D10" i="1" s="1"/>
  <c r="C7" i="1" a="1"/>
  <c r="C7" i="1" s="1"/>
  <c r="D7" i="1" s="1"/>
  <c r="J9" i="1"/>
  <c r="E10" i="1" s="1"/>
  <c r="B19" i="1" a="1"/>
  <c r="B19" i="1" s="1"/>
  <c r="B29" i="1" a="1"/>
  <c r="B29" i="1" s="1"/>
  <c r="B21" i="1" a="1"/>
  <c r="B21" i="1" s="1"/>
  <c r="B24" i="1" a="1"/>
  <c r="B24" i="1" s="1"/>
  <c r="B20" i="1" a="1"/>
  <c r="B20" i="1" s="1"/>
  <c r="C9" i="1" a="1"/>
  <c r="C9" i="1" s="1"/>
  <c r="D9" i="1" s="1"/>
  <c r="C6" i="1" a="1"/>
  <c r="C6" i="1" s="1"/>
  <c r="D6" i="1" s="1"/>
  <c r="C17" i="1" a="1"/>
  <c r="C17" i="1" s="1"/>
  <c r="D17" i="1" s="1"/>
  <c r="C8" i="1" a="1"/>
  <c r="C8" i="1" s="1"/>
  <c r="D8" i="1" s="1"/>
  <c r="C16" i="1" a="1"/>
  <c r="C16" i="1" s="1"/>
  <c r="D16" i="1" s="1"/>
  <c r="C14" i="1" a="1"/>
  <c r="C14" i="1" s="1"/>
  <c r="D14" i="1" s="1"/>
  <c r="C12" i="1" a="1"/>
  <c r="C12" i="1" s="1"/>
  <c r="D12" i="1" s="1"/>
  <c r="C13" i="1" a="1"/>
  <c r="C13" i="1" s="1"/>
  <c r="D13" i="1" s="1"/>
  <c r="C11" i="1" a="1"/>
  <c r="C11" i="1" s="1"/>
  <c r="D11" i="1" s="1"/>
  <c r="E9" i="1" l="1"/>
  <c r="J8" i="1"/>
  <c r="J13" i="1" s="1"/>
  <c r="E8" i="1"/>
  <c r="E15" i="1"/>
  <c r="E13" i="1"/>
  <c r="E12" i="1"/>
  <c r="E11" i="1"/>
  <c r="E14" i="1"/>
  <c r="E16" i="1"/>
  <c r="E6" i="1"/>
  <c r="E7" i="1"/>
  <c r="E17" i="1"/>
  <c r="J7" i="1" l="1"/>
  <c r="J12" i="1" s="1"/>
  <c r="C20" i="1"/>
  <c r="D20" i="1" s="1"/>
  <c r="C22" i="1"/>
  <c r="D22" i="1" s="1"/>
  <c r="C21" i="1"/>
  <c r="D21" i="1" s="1"/>
  <c r="C27" i="1"/>
  <c r="D27" i="1" s="1"/>
  <c r="C24" i="1"/>
  <c r="D24" i="1" s="1"/>
  <c r="C26" i="1"/>
  <c r="D26" i="1" s="1"/>
  <c r="C28" i="1"/>
  <c r="D28" i="1" s="1"/>
  <c r="C30" i="1"/>
  <c r="D30" i="1" s="1"/>
  <c r="C23" i="1"/>
  <c r="D23" i="1" s="1"/>
  <c r="C25" i="1"/>
  <c r="D25" i="1" s="1"/>
  <c r="C29" i="1"/>
  <c r="D29" i="1" s="1"/>
  <c r="C19" i="1"/>
  <c r="D19" i="1" s="1"/>
  <c r="F25" i="1" l="1"/>
  <c r="E25" i="1"/>
  <c r="F23" i="1"/>
  <c r="E23" i="1"/>
  <c r="E30" i="1"/>
  <c r="F30" i="1"/>
  <c r="F19" i="1"/>
  <c r="E19" i="1"/>
  <c r="E28" i="1"/>
  <c r="F28" i="1"/>
  <c r="E26" i="1"/>
  <c r="F26" i="1"/>
  <c r="E24" i="1"/>
  <c r="F24" i="1"/>
  <c r="F27" i="1"/>
  <c r="E27" i="1"/>
  <c r="E29" i="1"/>
  <c r="F29" i="1"/>
  <c r="E21" i="1"/>
  <c r="F21" i="1"/>
  <c r="F22" i="1"/>
  <c r="E22" i="1"/>
  <c r="F20" i="1"/>
  <c r="E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<sst xmlns="http://schemas.openxmlformats.org/spreadsheetml/2006/main" count="20" uniqueCount="18">
  <si>
    <t>Número de usuarios en el punto de trabajo nominal de la práctica 3:</t>
  </si>
  <si>
    <t>Mes</t>
  </si>
  <si>
    <t>Número de usuarios</t>
  </si>
  <si>
    <t>Tendencia</t>
  </si>
  <si>
    <t>Errores</t>
  </si>
  <si>
    <t>SSE</t>
  </si>
  <si>
    <t>Media Y</t>
  </si>
  <si>
    <t>Media X</t>
  </si>
  <si>
    <t>Nº muestras</t>
  </si>
  <si>
    <t>Y-Ymedia</t>
  </si>
  <si>
    <t>SST</t>
  </si>
  <si>
    <t>R2</t>
  </si>
  <si>
    <t>Se</t>
  </si>
  <si>
    <t>Symp</t>
  </si>
  <si>
    <t>luego hay que poner 70</t>
  </si>
  <si>
    <t>Margen error</t>
  </si>
  <si>
    <t>Lim inf</t>
  </si>
  <si>
    <t>Lim 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</si>
</sst>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indexed="9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1" xfId="0" applyFill="1" applyBorder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33CC33"/>
      <rgbColor rgb="00FF33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DatosPlanificacion!$B$5</c:f>
              <c:strCache>
                <c:ptCount val="1"/>
                <c:pt idx="0">
                  <c:v>Número de usuarios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186652827176744"/>
                  <c:y val="-2.378651708546263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DatosPlanificacion!$A$6:$A$17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DatosPlanificacion!$B$6:$B$17</c:f>
              <c:numCache>
                <c:formatCode>General</c:formatCode>
                <c:ptCount val="12"/>
                <c:pt idx="0">
                  <c:v>76</c:v>
                </c:pt>
                <c:pt idx="1">
                  <c:v>100</c:v>
                </c:pt>
                <c:pt idx="2">
                  <c:v>102</c:v>
                </c:pt>
                <c:pt idx="3">
                  <c:v>119</c:v>
                </c:pt>
                <c:pt idx="4">
                  <c:v>159</c:v>
                </c:pt>
                <c:pt idx="5">
                  <c:v>173</c:v>
                </c:pt>
                <c:pt idx="6">
                  <c:v>211</c:v>
                </c:pt>
                <c:pt idx="7">
                  <c:v>204</c:v>
                </c:pt>
                <c:pt idx="8">
                  <c:v>210</c:v>
                </c:pt>
                <c:pt idx="9">
                  <c:v>228</c:v>
                </c:pt>
                <c:pt idx="10">
                  <c:v>267</c:v>
                </c:pt>
                <c:pt idx="11">
                  <c:v>284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86-479C-B8F1-692F6F460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171792"/>
        <c:axId val="495167856"/>
      </c:scatterChart>
      <c:valAx>
        <c:axId val="49517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5167856"/>
        <c:crosses val="autoZero"/>
        <c:crossBetween val="midCat"/>
      </c:valAx>
      <c:valAx>
        <c:axId val="49516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5171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DatosPlanificacion!$B$18</c:f>
              <c:strCache>
                <c:ptCount val="1"/>
                <c:pt idx="0">
                  <c:v>Tendencia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DatosPlanificacion!$A$19:$A$30</c:f>
              <c:numCache>
                <c:formatCode>General</c:formatCode>
                <c:ptCount val="12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23</c:v>
                </c:pt>
                <c:pt idx="11">
                  <c:v>24</c:v>
                </c:pt>
              </c:numCache>
            </c:numRef>
          </c:xVal>
          <c:yVal>
            <c:numRef>
              <c:f>DatosPlanificacion!$B$19:$B$30</c:f>
              <c:numCache>
                <c:formatCode>General</c:formatCode>
                <c:ptCount val="12"/>
                <c:pt idx="0">
                  <c:v>298.22727272727269</c:v>
                </c:pt>
                <c:pt idx="1">
                  <c:v>316.7622377622377</c:v>
                </c:pt>
                <c:pt idx="2">
                  <c:v>335.29720279720277</c:v>
                </c:pt>
                <c:pt idx="3">
                  <c:v>353.83216783216778</c:v>
                </c:pt>
                <c:pt idx="4">
                  <c:v>372.3671328671328</c:v>
                </c:pt>
                <c:pt idx="5">
                  <c:v>390.90209790209786</c:v>
                </c:pt>
                <c:pt idx="6">
                  <c:v>409.43706293706288</c:v>
                </c:pt>
                <c:pt idx="7">
                  <c:v>427.97202797202789</c:v>
                </c:pt>
                <c:pt idx="8">
                  <c:v>446.50699300699296</c:v>
                </c:pt>
                <c:pt idx="9">
                  <c:v>465.04195804195797</c:v>
                </c:pt>
                <c:pt idx="10">
                  <c:v>483.57692307692298</c:v>
                </c:pt>
                <c:pt idx="11">
                  <c:v>502.11188811188805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FB-4923-AA38-58EBCF18DF00}"/>
            </c:ext>
          </c:extLst>
        </c:ser>
        <c:ser>
          <c:idx val="1"/>
          <c:order val="1"/>
          <c:tx>
            <c:strRef>
              <c:f>DatosPlanificacion!$E$18</c:f>
              <c:strCache>
                <c:ptCount val="1"/>
                <c:pt idx="0">
                  <c:v>Lim inf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DatosPlanificacion!$A$19:$A$30</c:f>
              <c:numCache>
                <c:formatCode>General</c:formatCode>
                <c:ptCount val="12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23</c:v>
                </c:pt>
                <c:pt idx="11">
                  <c:v>24</c:v>
                </c:pt>
              </c:numCache>
            </c:numRef>
          </c:xVal>
          <c:yVal>
            <c:numRef>
              <c:f>DatosPlanificacion!$E$19:$E$30</c:f>
              <c:numCache>
                <c:formatCode>General</c:formatCode>
                <c:ptCount val="12"/>
                <c:pt idx="0">
                  <c:v>266.72993132205175</c:v>
                </c:pt>
                <c:pt idx="1">
                  <c:v>284.16582316622453</c:v>
                </c:pt>
                <c:pt idx="2">
                  <c:v>301.48842637333968</c:v>
                </c:pt>
                <c:pt idx="3">
                  <c:v>318.70947044304648</c:v>
                </c:pt>
                <c:pt idx="4">
                  <c:v>335.83991328580873</c:v>
                </c:pt>
                <c:pt idx="5">
                  <c:v>352.88979649002613</c:v>
                </c:pt>
                <c:pt idx="6">
                  <c:v>369.86818960476342</c:v>
                </c:pt>
                <c:pt idx="7">
                  <c:v>386.78319690366203</c:v>
                </c:pt>
                <c:pt idx="8">
                  <c:v>403.64200423276549</c:v>
                </c:pt>
                <c:pt idx="9">
                  <c:v>420.45094874303805</c:v>
                </c:pt>
                <c:pt idx="10">
                  <c:v>437.21559924095465</c:v>
                </c:pt>
                <c:pt idx="11">
                  <c:v>453.94083897242945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6FB-4923-AA38-58EBCF18DF00}"/>
            </c:ext>
          </c:extLst>
        </c:ser>
        <c:ser>
          <c:idx val="2"/>
          <c:order val="2"/>
          <c:tx>
            <c:strRef>
              <c:f>DatosPlanificacion!$F$18</c:f>
              <c:strCache>
                <c:ptCount val="1"/>
                <c:pt idx="0">
                  <c:v>Lim Sup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DatosPlanificacion!$A$19:$A$30</c:f>
              <c:numCache>
                <c:formatCode>General</c:formatCode>
                <c:ptCount val="12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23</c:v>
                </c:pt>
                <c:pt idx="11">
                  <c:v>24</c:v>
                </c:pt>
              </c:numCache>
            </c:numRef>
          </c:xVal>
          <c:yVal>
            <c:numRef>
              <c:f>DatosPlanificacion!$F$19:$F$30</c:f>
              <c:numCache>
                <c:formatCode>General</c:formatCode>
                <c:ptCount val="12"/>
                <c:pt idx="0">
                  <c:v>329.72461413249363</c:v>
                </c:pt>
                <c:pt idx="1">
                  <c:v>349.35865235825088</c:v>
                </c:pt>
                <c:pt idx="2">
                  <c:v>369.10597922106587</c:v>
                </c:pt>
                <c:pt idx="3">
                  <c:v>388.95486522128908</c:v>
                </c:pt>
                <c:pt idx="4">
                  <c:v>408.89435244845686</c:v>
                </c:pt>
                <c:pt idx="5">
                  <c:v>428.9143993141696</c:v>
                </c:pt>
                <c:pt idx="6">
                  <c:v>449.00593626936234</c:v>
                </c:pt>
                <c:pt idx="7">
                  <c:v>469.16085904039375</c:v>
                </c:pt>
                <c:pt idx="8">
                  <c:v>489.37198178122043</c:v>
                </c:pt>
                <c:pt idx="9">
                  <c:v>509.63296734087788</c:v>
                </c:pt>
                <c:pt idx="10">
                  <c:v>529.93824691289126</c:v>
                </c:pt>
                <c:pt idx="11">
                  <c:v>550.28293725134665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6FB-4923-AA38-58EBCF18D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950528"/>
        <c:axId val="494947904"/>
      </c:scatterChart>
      <c:valAx>
        <c:axId val="494950528"/>
        <c:scaling>
          <c:orientation val="minMax"/>
          <c:max val="24"/>
          <c:min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4947904"/>
        <c:crosses val="autoZero"/>
        <c:crossBetween val="midCat"/>
      </c:valAx>
      <c:valAx>
        <c:axId val="49494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4950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0</xdr:row>
      <xdr:rowOff>126206</xdr:rowOff>
    </xdr:from>
    <xdr:to>
      <xdr:col>9</xdr:col>
      <xdr:colOff>134541</xdr:colOff>
      <xdr:row>4</xdr:row>
      <xdr:rowOff>3571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rrowheads="1"/>
        </xdr:cNvSpPr>
      </xdr:nvSpPr>
      <xdr:spPr bwMode="auto">
        <a:xfrm>
          <a:off x="5769769" y="126206"/>
          <a:ext cx="1609725" cy="53220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Introducir en la celda </a:t>
          </a: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F1</a:t>
          </a: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el número de usuarios en el punto de trabajo nominal</a:t>
          </a:r>
        </a:p>
      </xdr:txBody>
    </xdr:sp>
    <xdr:clientData/>
  </xdr:twoCellAnchor>
  <xdr:twoCellAnchor>
    <xdr:from>
      <xdr:col>11</xdr:col>
      <xdr:colOff>1942</xdr:colOff>
      <xdr:row>3</xdr:row>
      <xdr:rowOff>12471</xdr:rowOff>
    </xdr:from>
    <xdr:to>
      <xdr:col>17</xdr:col>
      <xdr:colOff>438</xdr:colOff>
      <xdr:row>19</xdr:row>
      <xdr:rowOff>116054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3EEFCA5-346F-43B9-95AA-7EA08A4C23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23556</xdr:colOff>
      <xdr:row>21</xdr:row>
      <xdr:rowOff>9867</xdr:rowOff>
    </xdr:from>
    <xdr:to>
      <xdr:col>12</xdr:col>
      <xdr:colOff>660541</xdr:colOff>
      <xdr:row>38</xdr:row>
      <xdr:rowOff>20581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45E8F42-FF97-4E4E-8026-F050F87DA5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zoomScale="85" zoomScaleNormal="85" workbookViewId="0">
      <selection activeCell="V41" sqref="V41"/>
    </sheetView>
  </sheetViews>
  <sheetFormatPr baseColWidth="10" defaultRowHeight="12.75" x14ac:dyDescent="0.2"/>
  <cols>
    <col min="1" max="1" width="6.140625" customWidth="1"/>
    <col min="2" max="2" width="19.42578125" customWidth="1"/>
    <col min="3" max="3" width="12.5703125" bestFit="1" customWidth="1"/>
    <col min="4" max="4" width="12.28515625" bestFit="1" customWidth="1"/>
    <col min="9" max="9" width="12.42578125" bestFit="1" customWidth="1"/>
    <col min="10" max="10" width="12.28515625" customWidth="1"/>
  </cols>
  <sheetData>
    <row r="1" spans="1:10" ht="13.5" thickBot="1" x14ac:dyDescent="0.25">
      <c r="A1" s="1" t="s">
        <v>0</v>
      </c>
      <c r="F1" s="4">
        <v>70</v>
      </c>
    </row>
    <row r="2" spans="1:10" x14ac:dyDescent="0.2">
      <c r="F2" t="s">
        <v>14</v>
      </c>
    </row>
    <row r="5" spans="1:10" ht="16.5" customHeight="1" x14ac:dyDescent="0.2">
      <c r="A5" s="3" t="s">
        <v>1</v>
      </c>
      <c r="B5" s="3" t="s">
        <v>2</v>
      </c>
      <c r="C5" t="s">
        <v>3</v>
      </c>
      <c r="D5" t="s">
        <v>4</v>
      </c>
      <c r="E5" t="s">
        <v>9</v>
      </c>
    </row>
    <row r="6" spans="1:10" x14ac:dyDescent="0.2">
      <c r="A6" s="2">
        <v>1</v>
      </c>
      <c r="B6" s="2">
        <f>ROUNDUP($F$1*1.21-9,0)</f>
        <v>76</v>
      </c>
      <c r="C6" cm="1">
        <f t="array" ref="C6">TREND($B$6:$B$17,$A$6:$A$17,A6)</f>
        <v>75.807692307692335</v>
      </c>
      <c r="D6">
        <f>B6-C6</f>
        <v>0.19230769230766498</v>
      </c>
      <c r="E6">
        <f>B6-$J$9</f>
        <v>-101.75</v>
      </c>
    </row>
    <row r="7" spans="1:10" x14ac:dyDescent="0.2">
      <c r="A7" s="2">
        <v>2</v>
      </c>
      <c r="B7" s="2">
        <f>ROUNDUP($F$1*1.39+2,0)</f>
        <v>100</v>
      </c>
      <c r="C7" cm="1">
        <f t="array" ref="C7">TREND($B$6:$B$17,$A$6:$A$17,A7)</f>
        <v>94.342657342657361</v>
      </c>
      <c r="D7">
        <f t="shared" ref="D7:D17" si="0">B7-C7</f>
        <v>5.6573426573426389</v>
      </c>
      <c r="E7">
        <f t="shared" ref="E7:E17" si="1">B7-$J$9</f>
        <v>-77.75</v>
      </c>
      <c r="I7" t="s">
        <v>10</v>
      </c>
      <c r="J7">
        <f>SUMSQ(E6:E17)</f>
        <v>50576.25</v>
      </c>
    </row>
    <row r="8" spans="1:10" x14ac:dyDescent="0.2">
      <c r="A8" s="2">
        <v>3</v>
      </c>
      <c r="B8" s="2">
        <f>ROUNDUP($F$1*1.65 -14,0)</f>
        <v>102</v>
      </c>
      <c r="C8" cm="1">
        <f t="array" ref="C8">TREND($B$6:$B$17,$A$6:$A$17,A8)</f>
        <v>112.8776223776224</v>
      </c>
      <c r="D8">
        <f t="shared" si="0"/>
        <v>-10.877622377622401</v>
      </c>
      <c r="E8">
        <f t="shared" si="1"/>
        <v>-75.75</v>
      </c>
      <c r="I8" t="s">
        <v>5</v>
      </c>
      <c r="J8">
        <f>SUMSQ(D6:D17)</f>
        <v>1449.3251748251755</v>
      </c>
    </row>
    <row r="9" spans="1:10" x14ac:dyDescent="0.2">
      <c r="A9" s="2">
        <v>4</v>
      </c>
      <c r="B9" s="2">
        <f>ROUNDUP($F$1*1.9-14,0)</f>
        <v>119</v>
      </c>
      <c r="C9" cm="1">
        <f t="array" ref="C9">TREND($B$6:$B$17,$A$6:$A$17,A9)</f>
        <v>131.41258741258741</v>
      </c>
      <c r="D9">
        <f t="shared" si="0"/>
        <v>-12.412587412587413</v>
      </c>
      <c r="E9">
        <f t="shared" si="1"/>
        <v>-58.75</v>
      </c>
      <c r="I9" t="s">
        <v>6</v>
      </c>
      <c r="J9">
        <f>AVERAGE(B6:B17)</f>
        <v>177.75</v>
      </c>
    </row>
    <row r="10" spans="1:10" x14ac:dyDescent="0.2">
      <c r="A10" s="2">
        <v>5</v>
      </c>
      <c r="B10" s="2">
        <f>ROUNDUP($F$1*2.31-3,0)</f>
        <v>159</v>
      </c>
      <c r="C10" cm="1">
        <f t="array" ref="C10">TREND($B$6:$B$17,$A$6:$A$17,A10)</f>
        <v>149.94755244755245</v>
      </c>
      <c r="D10">
        <f t="shared" si="0"/>
        <v>9.0524475524475463</v>
      </c>
      <c r="E10">
        <f t="shared" si="1"/>
        <v>-18.75</v>
      </c>
      <c r="I10" t="s">
        <v>7</v>
      </c>
      <c r="J10">
        <f>AVERAGE(A6:A17)</f>
        <v>6.5</v>
      </c>
    </row>
    <row r="11" spans="1:10" x14ac:dyDescent="0.2">
      <c r="A11" s="2">
        <v>6</v>
      </c>
      <c r="B11" s="2">
        <f>ROUNDUP($F$1*2.7-16,0)</f>
        <v>173</v>
      </c>
      <c r="C11" cm="1">
        <f t="array" ref="C11">TREND($B$6:$B$17,$A$6:$A$17,A11)</f>
        <v>168.48251748251749</v>
      </c>
      <c r="D11">
        <f t="shared" si="0"/>
        <v>4.517482517482506</v>
      </c>
      <c r="E11">
        <f t="shared" si="1"/>
        <v>-4.75</v>
      </c>
      <c r="I11" t="s">
        <v>8</v>
      </c>
      <c r="J11">
        <v>12</v>
      </c>
    </row>
    <row r="12" spans="1:10" x14ac:dyDescent="0.2">
      <c r="A12" s="2">
        <v>7</v>
      </c>
      <c r="B12" s="2">
        <f>ROUNDUP($F$1*2.95+4,0)</f>
        <v>211</v>
      </c>
      <c r="C12" cm="1">
        <f t="array" ref="C12">TREND($B$6:$B$17,$A$6:$A$17,A12)</f>
        <v>187.01748251748251</v>
      </c>
      <c r="D12">
        <f t="shared" si="0"/>
        <v>23.982517482517494</v>
      </c>
      <c r="E12">
        <f t="shared" si="1"/>
        <v>33.25</v>
      </c>
      <c r="I12" t="s">
        <v>11</v>
      </c>
      <c r="J12">
        <f>(J7-J8)/J7</f>
        <v>0.97134375967326203</v>
      </c>
    </row>
    <row r="13" spans="1:10" x14ac:dyDescent="0.2">
      <c r="A13" s="2">
        <v>8</v>
      </c>
      <c r="B13" s="2">
        <f>ROUNDUP($F$1*2.93-2,0)</f>
        <v>204</v>
      </c>
      <c r="C13" cm="1">
        <f t="array" ref="C13">TREND($B$6:$B$17,$A$6:$A$17,A13)</f>
        <v>205.55244755244755</v>
      </c>
      <c r="D13">
        <f t="shared" si="0"/>
        <v>-1.5524475524475463</v>
      </c>
      <c r="E13">
        <f t="shared" si="1"/>
        <v>26.25</v>
      </c>
      <c r="I13" t="s">
        <v>12</v>
      </c>
      <c r="J13">
        <f>SQRT(J8/(J11-2))</f>
        <v>12.038792193676139</v>
      </c>
    </row>
    <row r="14" spans="1:10" x14ac:dyDescent="0.2">
      <c r="A14" s="2">
        <v>9</v>
      </c>
      <c r="B14" s="2">
        <f>ROUNDUP($F$1*3.05-4,0)</f>
        <v>210</v>
      </c>
      <c r="C14" cm="1">
        <f t="array" ref="C14">TREND($B$6:$B$17,$A$6:$A$17,A14)</f>
        <v>224.08741258741259</v>
      </c>
      <c r="D14">
        <f t="shared" si="0"/>
        <v>-14.087412587412587</v>
      </c>
      <c r="E14">
        <f t="shared" si="1"/>
        <v>32.25</v>
      </c>
    </row>
    <row r="15" spans="1:10" x14ac:dyDescent="0.2">
      <c r="A15" s="2">
        <v>10</v>
      </c>
      <c r="B15" s="2">
        <f>ROUNDUP($F$1*3.2+4,0)</f>
        <v>228</v>
      </c>
      <c r="C15" cm="1">
        <f t="array" ref="C15">TREND($B$6:$B$17,$A$6:$A$17,A15)</f>
        <v>242.6223776223776</v>
      </c>
      <c r="D15">
        <f t="shared" si="0"/>
        <v>-14.622377622377599</v>
      </c>
      <c r="E15">
        <f t="shared" si="1"/>
        <v>50.25</v>
      </c>
    </row>
    <row r="16" spans="1:10" x14ac:dyDescent="0.2">
      <c r="A16" s="2">
        <v>11</v>
      </c>
      <c r="B16" s="2">
        <f>ROUNDUP($F$1*3.7 + 8,0)</f>
        <v>267</v>
      </c>
      <c r="C16" cm="1">
        <f t="array" ref="C16">TREND($B$6:$B$17,$A$6:$A$17,A16)</f>
        <v>261.15734265734261</v>
      </c>
      <c r="D16">
        <f t="shared" si="0"/>
        <v>5.8426573426573896</v>
      </c>
      <c r="E16">
        <f t="shared" si="1"/>
        <v>89.25</v>
      </c>
    </row>
    <row r="17" spans="1:6" x14ac:dyDescent="0.2">
      <c r="A17" s="2">
        <v>12</v>
      </c>
      <c r="B17" s="2">
        <f>ROUNDUP($F$1*3.9+11,0)</f>
        <v>284</v>
      </c>
      <c r="C17" cm="1">
        <f t="array" ref="C17">TREND($B$6:$B$17,$A$6:$A$17,A17)</f>
        <v>279.69230769230768</v>
      </c>
      <c r="D17">
        <f t="shared" si="0"/>
        <v>4.3076923076923208</v>
      </c>
      <c r="E17">
        <f t="shared" si="1"/>
        <v>106.25</v>
      </c>
    </row>
    <row r="18" spans="1:6" x14ac:dyDescent="0.2">
      <c r="A18" s="5" t="s">
        <v>1</v>
      </c>
      <c r="B18" s="5" t="s">
        <v>3</v>
      </c>
      <c r="C18" t="s">
        <v>13</v>
      </c>
      <c r="D18" t="s">
        <v>15</v>
      </c>
      <c r="E18" t="s">
        <v>16</v>
      </c>
      <c r="F18" t="s">
        <v>17</v>
      </c>
    </row>
    <row r="19" spans="1:6" x14ac:dyDescent="0.2">
      <c r="A19" s="2">
        <v>13</v>
      </c>
      <c r="B19" cm="1">
        <f t="array" ref="B19">TREND($B$6:$B$17,$A$6:$A$17,A19)</f>
        <v>298.22727272727269</v>
      </c>
      <c r="C19">
        <f>$J$13*SQRT(1+1/$J$11+POWER(A19-$J$10,2)/(SUMSQ($A$6:$A$17)-$J$11*$J$10*$J$10))</f>
        <v>14.136166324258761</v>
      </c>
      <c r="D19">
        <f>C19*TINV(0.05,$J$11-2)</f>
        <v>31.497341405220947</v>
      </c>
      <c r="E19">
        <f>B19-D19</f>
        <v>266.72993132205175</v>
      </c>
      <c r="F19">
        <f>B19+D19</f>
        <v>329.72461413249363</v>
      </c>
    </row>
    <row r="20" spans="1:6" x14ac:dyDescent="0.2">
      <c r="A20" s="2">
        <v>14</v>
      </c>
      <c r="B20" cm="1">
        <f t="array" ref="B20">TREND($B$6:$B$17,$A$6:$A$17,A20)</f>
        <v>316.7622377622377</v>
      </c>
      <c r="C20">
        <f t="shared" ref="C20:C30" si="2">$J$13*SQRT(1+1/$J$11+POWER(A20-$J$10,2)/(SUMSQ($A$6:$A$17)-$J$11*$J$10*$J$10))</f>
        <v>14.6294359379601</v>
      </c>
      <c r="D20">
        <f t="shared" ref="D20:D30" si="3">C20*TINV(0.05,$J$11-2)</f>
        <v>32.596414596013162</v>
      </c>
      <c r="E20">
        <f t="shared" ref="E20:E30" si="4">B20-D20</f>
        <v>284.16582316622453</v>
      </c>
      <c r="F20">
        <f t="shared" ref="F20:F30" si="5">B20+D20</f>
        <v>349.35865235825088</v>
      </c>
    </row>
    <row r="21" spans="1:6" x14ac:dyDescent="0.2">
      <c r="A21" s="2">
        <v>15</v>
      </c>
      <c r="B21" cm="1">
        <f t="array" ref="B21">TREND($B$6:$B$17,$A$6:$A$17,A21)</f>
        <v>335.29720279720277</v>
      </c>
      <c r="C21">
        <f t="shared" si="2"/>
        <v>15.173550065663212</v>
      </c>
      <c r="D21">
        <f t="shared" si="3"/>
        <v>33.808776423863087</v>
      </c>
      <c r="E21">
        <f t="shared" si="4"/>
        <v>301.48842637333968</v>
      </c>
      <c r="F21">
        <f t="shared" si="5"/>
        <v>369.10597922106587</v>
      </c>
    </row>
    <row r="22" spans="1:6" x14ac:dyDescent="0.2">
      <c r="A22" s="2">
        <v>16</v>
      </c>
      <c r="B22" cm="1">
        <f t="array" ref="B22">TREND($B$6:$B$17,$A$6:$A$17,A22)</f>
        <v>353.83216783216778</v>
      </c>
      <c r="C22">
        <f t="shared" si="2"/>
        <v>15.763244448527608</v>
      </c>
      <c r="D22">
        <f t="shared" si="3"/>
        <v>35.122697389121321</v>
      </c>
      <c r="E22">
        <f t="shared" si="4"/>
        <v>318.70947044304648</v>
      </c>
      <c r="F22">
        <f t="shared" si="5"/>
        <v>388.95486522128908</v>
      </c>
    </row>
    <row r="23" spans="1:6" x14ac:dyDescent="0.2">
      <c r="A23" s="2">
        <v>17</v>
      </c>
      <c r="B23" cm="1">
        <f t="array" ref="B23">TREND($B$6:$B$17,$A$6:$A$17,A23)</f>
        <v>372.3671328671328</v>
      </c>
      <c r="C23">
        <f t="shared" si="2"/>
        <v>16.393601120846622</v>
      </c>
      <c r="D23">
        <f t="shared" si="3"/>
        <v>36.52721958132409</v>
      </c>
      <c r="E23">
        <f t="shared" si="4"/>
        <v>335.83991328580873</v>
      </c>
      <c r="F23">
        <f t="shared" si="5"/>
        <v>408.89435244845686</v>
      </c>
    </row>
    <row r="24" spans="1:6" x14ac:dyDescent="0.2">
      <c r="A24" s="2">
        <v>18</v>
      </c>
      <c r="B24" cm="1">
        <f t="array" ref="B24">TREND($B$6:$B$17,$A$6:$A$17,A24)</f>
        <v>390.90209790209786</v>
      </c>
      <c r="C24">
        <f t="shared" si="2"/>
        <v>17.060113366896168</v>
      </c>
      <c r="D24">
        <f t="shared" si="3"/>
        <v>38.012301412071722</v>
      </c>
      <c r="E24">
        <f t="shared" si="4"/>
        <v>352.88979649002613</v>
      </c>
      <c r="F24">
        <f t="shared" si="5"/>
        <v>428.9143993141696</v>
      </c>
    </row>
    <row r="25" spans="1:6" x14ac:dyDescent="0.2">
      <c r="A25" s="2">
        <v>19</v>
      </c>
      <c r="B25" cm="1">
        <f t="array" ref="B25">TREND($B$6:$B$17,$A$6:$A$17,A25)</f>
        <v>409.43706293706288</v>
      </c>
      <c r="C25">
        <f t="shared" si="2"/>
        <v>17.758710727128076</v>
      </c>
      <c r="D25">
        <f t="shared" si="3"/>
        <v>39.568873332299489</v>
      </c>
      <c r="E25">
        <f t="shared" si="4"/>
        <v>369.86818960476342</v>
      </c>
      <c r="F25">
        <f t="shared" si="5"/>
        <v>449.00593626936234</v>
      </c>
    </row>
    <row r="26" spans="1:6" x14ac:dyDescent="0.2">
      <c r="A26" s="2">
        <v>20</v>
      </c>
      <c r="B26" cm="1">
        <f t="array" ref="B26">TREND($B$6:$B$17,$A$6:$A$17,A26)</f>
        <v>427.97202797202789</v>
      </c>
      <c r="C26">
        <f t="shared" si="2"/>
        <v>18.485755962492231</v>
      </c>
      <c r="D26">
        <f t="shared" si="3"/>
        <v>41.188831068365864</v>
      </c>
      <c r="E26">
        <f t="shared" si="4"/>
        <v>386.78319690366203</v>
      </c>
      <c r="F26">
        <f t="shared" si="5"/>
        <v>469.16085904039375</v>
      </c>
    </row>
    <row r="27" spans="1:6" x14ac:dyDescent="0.2">
      <c r="A27" s="2">
        <v>21</v>
      </c>
      <c r="B27" cm="1">
        <f t="array" ref="B27">TREND($B$6:$B$17,$A$6:$A$17,A27)</f>
        <v>446.50699300699296</v>
      </c>
      <c r="C27">
        <f t="shared" si="2"/>
        <v>19.238024028895452</v>
      </c>
      <c r="D27">
        <f t="shared" si="3"/>
        <v>42.864988774227477</v>
      </c>
      <c r="E27">
        <f t="shared" si="4"/>
        <v>403.64200423276549</v>
      </c>
      <c r="F27">
        <f t="shared" si="5"/>
        <v>489.37198178122043</v>
      </c>
    </row>
    <row r="28" spans="1:6" x14ac:dyDescent="0.2">
      <c r="A28" s="2">
        <v>22</v>
      </c>
      <c r="B28" cm="1">
        <f t="array" ref="B28">TREND($B$6:$B$17,$A$6:$A$17,A28)</f>
        <v>465.04195804195797</v>
      </c>
      <c r="C28">
        <f t="shared" si="2"/>
        <v>20.012670780893774</v>
      </c>
      <c r="D28">
        <f t="shared" si="3"/>
        <v>44.591009298919914</v>
      </c>
      <c r="E28">
        <f t="shared" si="4"/>
        <v>420.45094874303805</v>
      </c>
      <c r="F28">
        <f t="shared" si="5"/>
        <v>509.63296734087788</v>
      </c>
    </row>
    <row r="29" spans="1:6" x14ac:dyDescent="0.2">
      <c r="A29" s="2">
        <v>23</v>
      </c>
      <c r="B29" cm="1">
        <f t="array" ref="B29">TREND($B$6:$B$17,$A$6:$A$17,A29)</f>
        <v>483.57692307692298</v>
      </c>
      <c r="C29">
        <f t="shared" si="2"/>
        <v>20.807196909941013</v>
      </c>
      <c r="D29">
        <f t="shared" si="3"/>
        <v>46.361323835968321</v>
      </c>
      <c r="E29">
        <f t="shared" si="4"/>
        <v>437.21559924095465</v>
      </c>
      <c r="F29">
        <f t="shared" si="5"/>
        <v>529.93824691289126</v>
      </c>
    </row>
    <row r="30" spans="1:6" x14ac:dyDescent="0.2">
      <c r="A30" s="2">
        <v>24</v>
      </c>
      <c r="B30" cm="1">
        <f t="array" ref="B30">TREND($B$6:$B$17,$A$6:$A$17,A30)</f>
        <v>502.11188811188805</v>
      </c>
      <c r="C30">
        <f t="shared" si="2"/>
        <v>21.6194107905423</v>
      </c>
      <c r="D30">
        <f t="shared" si="3"/>
        <v>48.171049139458596</v>
      </c>
      <c r="E30">
        <f t="shared" si="4"/>
        <v>453.94083897242945</v>
      </c>
      <c r="F30">
        <f t="shared" si="5"/>
        <v>550.28293725134665</v>
      </c>
    </row>
  </sheetData>
  <phoneticPr fontId="2" type="noConversion"/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DatosPlanificacion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Entrialgo Castaño</dc:creator>
  <cp:lastModifiedBy>Pelayo Calleja Villafañe</cp:lastModifiedBy>
  <dcterms:created xsi:type="dcterms:W3CDTF">2002-04-30T07:38:41Z</dcterms:created>
  <dcterms:modified xsi:type="dcterms:W3CDTF">2024-12-11T13:41:17Z</dcterms:modified>
</cp:coreProperties>
</file>