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/>
  </bookViews>
  <sheets>
    <sheet name="82" sheetId="1" r:id="rId1"/>
    <sheet name="82.1" sheetId="2" r:id="rId2"/>
    <sheet name="83" sheetId="3" r:id="rId3"/>
    <sheet name="83.1" sheetId="5" r:id="rId4"/>
    <sheet name="84" sheetId="6" r:id="rId5"/>
    <sheet name="85" sheetId="7" r:id="rId6"/>
    <sheet name="86" sheetId="8" r:id="rId7"/>
    <sheet name="86.1" sheetId="9" r:id="rId8"/>
    <sheet name="87" sheetId="10" r:id="rId9"/>
    <sheet name="87.1" sheetId="11" r:id="rId10"/>
    <sheet name="88" sheetId="12" r:id="rId11"/>
    <sheet name="88.1" sheetId="13" r:id="rId12"/>
    <sheet name="88.2" sheetId="14" r:id="rId13"/>
    <sheet name="89" sheetId="15" r:id="rId14"/>
    <sheet name="89.1" sheetId="16" r:id="rId15"/>
    <sheet name="90" sheetId="17" r:id="rId16"/>
    <sheet name="90.1" sheetId="18" r:id="rId17"/>
    <sheet name="91" sheetId="19" r:id="rId18"/>
    <sheet name="92" sheetId="20" r:id="rId19"/>
  </sheets>
  <definedNames>
    <definedName name="solver_adj" localSheetId="4" hidden="1">'84'!$H$2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'84'!$G$28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xlCOMMA">","</definedName>
    <definedName name="xlDOUBLE">""""</definedName>
    <definedName name="xlSINGLE">"'"</definedName>
    <definedName name="xlSPACE">" "</definedName>
  </definedNames>
  <calcPr calcId="145621"/>
</workbook>
</file>

<file path=xl/calcChain.xml><?xml version="1.0" encoding="utf-8"?>
<calcChain xmlns="http://schemas.openxmlformats.org/spreadsheetml/2006/main">
  <c r="D64" i="20" l="1"/>
  <c r="D65" i="20"/>
  <c r="D66" i="20"/>
  <c r="D67" i="20"/>
  <c r="E67" i="20" s="1"/>
  <c r="D68" i="20"/>
  <c r="E68" i="20" s="1"/>
  <c r="D69" i="20"/>
  <c r="E69" i="20" s="1"/>
  <c r="D70" i="20"/>
  <c r="E70" i="20" s="1"/>
  <c r="D71" i="20"/>
  <c r="E71" i="20" s="1"/>
  <c r="D72" i="20"/>
  <c r="D73" i="20"/>
  <c r="D74" i="20"/>
  <c r="D63" i="20"/>
  <c r="E63" i="20"/>
  <c r="E64" i="20"/>
  <c r="E65" i="20"/>
  <c r="E66" i="20"/>
  <c r="E72" i="20"/>
  <c r="E73" i="20"/>
  <c r="E74" i="20"/>
  <c r="D60" i="20"/>
  <c r="D57" i="20"/>
  <c r="D56" i="20"/>
  <c r="D55" i="20"/>
  <c r="D49" i="20"/>
  <c r="D48" i="20"/>
  <c r="D47" i="20"/>
  <c r="D41" i="20"/>
  <c r="D40" i="20"/>
  <c r="D39" i="20"/>
  <c r="D36" i="20"/>
  <c r="D33" i="20"/>
  <c r="D32" i="20"/>
  <c r="D31" i="20"/>
  <c r="D25" i="20"/>
  <c r="D24" i="20"/>
  <c r="D23" i="20"/>
  <c r="D17" i="20"/>
  <c r="D16" i="20"/>
  <c r="H15" i="20"/>
  <c r="D62" i="20" s="1"/>
  <c r="H14" i="20"/>
  <c r="D61" i="20" s="1"/>
  <c r="H13" i="20"/>
  <c r="D13" i="20"/>
  <c r="H12" i="20"/>
  <c r="D11" i="20" s="1"/>
  <c r="D12" i="20"/>
  <c r="H11" i="20"/>
  <c r="D46" i="20" s="1"/>
  <c r="H10" i="20"/>
  <c r="D45" i="20" s="1"/>
  <c r="H9" i="20"/>
  <c r="D44" i="20" s="1"/>
  <c r="D9" i="20"/>
  <c r="H8" i="20"/>
  <c r="D7" i="20" s="1"/>
  <c r="D8" i="20"/>
  <c r="H7" i="20"/>
  <c r="D54" i="20" s="1"/>
  <c r="H6" i="20"/>
  <c r="D53" i="20" s="1"/>
  <c r="H5" i="20"/>
  <c r="D52" i="20" s="1"/>
  <c r="D5" i="20"/>
  <c r="H4" i="20"/>
  <c r="D15" i="20" s="1"/>
  <c r="D4" i="20"/>
  <c r="D3" i="20"/>
  <c r="H5" i="19"/>
  <c r="H6" i="19"/>
  <c r="H7" i="19"/>
  <c r="H8" i="19"/>
  <c r="H9" i="19"/>
  <c r="D44" i="19" s="1"/>
  <c r="H10" i="19"/>
  <c r="D9" i="19" s="1"/>
  <c r="H11" i="19"/>
  <c r="D34" i="19" s="1"/>
  <c r="H12" i="19"/>
  <c r="D47" i="19" s="1"/>
  <c r="H13" i="19"/>
  <c r="H14" i="19"/>
  <c r="D13" i="19" s="1"/>
  <c r="H15" i="19"/>
  <c r="D50" i="19" s="1"/>
  <c r="H4" i="19"/>
  <c r="D39" i="19" s="1"/>
  <c r="D40" i="19"/>
  <c r="D12" i="19"/>
  <c r="D5" i="19"/>
  <c r="D6" i="19"/>
  <c r="D7" i="19"/>
  <c r="D17" i="19"/>
  <c r="D18" i="19"/>
  <c r="D19" i="19"/>
  <c r="D26" i="19"/>
  <c r="D29" i="19"/>
  <c r="D30" i="19"/>
  <c r="D31" i="19"/>
  <c r="D41" i="19"/>
  <c r="D42" i="19"/>
  <c r="D43" i="19"/>
  <c r="D53" i="19"/>
  <c r="D54" i="19"/>
  <c r="D55" i="19"/>
  <c r="D18" i="20" l="1"/>
  <c r="D34" i="20"/>
  <c r="D50" i="20"/>
  <c r="D19" i="20"/>
  <c r="D27" i="20"/>
  <c r="D35" i="20"/>
  <c r="D43" i="20"/>
  <c r="D51" i="20"/>
  <c r="D59" i="20"/>
  <c r="D6" i="20"/>
  <c r="D10" i="20"/>
  <c r="D14" i="20"/>
  <c r="D20" i="20"/>
  <c r="D28" i="20"/>
  <c r="D21" i="20"/>
  <c r="D29" i="20"/>
  <c r="D37" i="20"/>
  <c r="D26" i="20"/>
  <c r="D42" i="20"/>
  <c r="D58" i="20"/>
  <c r="D22" i="20"/>
  <c r="D30" i="20"/>
  <c r="D38" i="20"/>
  <c r="D59" i="19"/>
  <c r="D46" i="19"/>
  <c r="D10" i="19"/>
  <c r="D35" i="19"/>
  <c r="D38" i="19"/>
  <c r="D58" i="19"/>
  <c r="D8" i="19"/>
  <c r="D56" i="19"/>
  <c r="D25" i="19"/>
  <c r="D22" i="19"/>
  <c r="D14" i="19"/>
  <c r="D62" i="19"/>
  <c r="D37" i="19"/>
  <c r="D61" i="19"/>
  <c r="D33" i="19"/>
  <c r="D24" i="19"/>
  <c r="D16" i="19"/>
  <c r="D49" i="19"/>
  <c r="D32" i="19"/>
  <c r="D23" i="19"/>
  <c r="D48" i="19"/>
  <c r="D20" i="19"/>
  <c r="D11" i="19"/>
  <c r="D21" i="19"/>
  <c r="D4" i="19"/>
  <c r="D45" i="19"/>
  <c r="D36" i="19"/>
  <c r="D28" i="19"/>
  <c r="D60" i="19"/>
  <c r="D52" i="19"/>
  <c r="D57" i="19"/>
  <c r="D27" i="19"/>
  <c r="D51" i="19"/>
  <c r="D15" i="19"/>
  <c r="D3" i="19"/>
  <c r="E4" i="17"/>
  <c r="E5" i="17"/>
  <c r="E6" i="17"/>
  <c r="E7" i="17"/>
  <c r="E8" i="17"/>
  <c r="E9" i="17"/>
  <c r="E10" i="17"/>
  <c r="E11" i="17"/>
  <c r="E12" i="17"/>
  <c r="E3" i="17"/>
  <c r="G4" i="18"/>
  <c r="G5" i="18"/>
  <c r="G6" i="18"/>
  <c r="G7" i="18"/>
  <c r="G8" i="18"/>
  <c r="G9" i="18"/>
  <c r="G10" i="18"/>
  <c r="G11" i="18"/>
  <c r="G12" i="18"/>
  <c r="G3" i="18"/>
  <c r="E4" i="18"/>
  <c r="E5" i="18"/>
  <c r="E6" i="18"/>
  <c r="E7" i="18"/>
  <c r="E8" i="18"/>
  <c r="E9" i="18"/>
  <c r="E10" i="18"/>
  <c r="E11" i="18"/>
  <c r="E12" i="18"/>
  <c r="E3" i="18"/>
  <c r="G5" i="17"/>
  <c r="G6" i="17"/>
  <c r="G7" i="17"/>
  <c r="G8" i="17"/>
  <c r="G9" i="17"/>
  <c r="G10" i="17"/>
  <c r="G3" i="17" a="1"/>
  <c r="G3" i="17" s="1"/>
  <c r="G12" i="17"/>
  <c r="G5" i="14"/>
  <c r="G6" i="14"/>
  <c r="G4" i="14"/>
  <c r="D4" i="14" s="1"/>
  <c r="K13" i="13"/>
  <c r="K14" i="13"/>
  <c r="K12" i="13"/>
  <c r="K3" i="13"/>
  <c r="D31" i="13" s="1"/>
  <c r="K4" i="13"/>
  <c r="K5" i="13"/>
  <c r="K6" i="13"/>
  <c r="G4" i="12"/>
  <c r="G5" i="12"/>
  <c r="G6" i="12"/>
  <c r="G3" i="12"/>
  <c r="D3" i="11" a="1"/>
  <c r="D4" i="11" s="1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G6" i="10"/>
  <c r="G5" i="10"/>
  <c r="G4" i="10"/>
  <c r="G4" i="9"/>
  <c r="G5" i="9"/>
  <c r="G3" i="9"/>
  <c r="H3" i="9" s="1"/>
  <c r="D4" i="9"/>
  <c r="D5" i="9"/>
  <c r="D6" i="9"/>
  <c r="D7" i="9"/>
  <c r="D8" i="9"/>
  <c r="D9" i="9"/>
  <c r="D10" i="9"/>
  <c r="D11" i="9"/>
  <c r="D12" i="9"/>
  <c r="D13" i="9"/>
  <c r="D14" i="9"/>
  <c r="D3" i="9"/>
  <c r="H5" i="9"/>
  <c r="H4" i="9"/>
  <c r="G5" i="8"/>
  <c r="F4" i="8"/>
  <c r="G4" i="8" s="1"/>
  <c r="F5" i="8"/>
  <c r="F3" i="8"/>
  <c r="G3" i="8" s="1"/>
  <c r="F7" i="7"/>
  <c r="E7" i="7"/>
  <c r="F5" i="7"/>
  <c r="E5" i="7"/>
  <c r="G4" i="17" l="1"/>
  <c r="G11" i="17"/>
  <c r="K5" i="16"/>
  <c r="K4" i="16"/>
  <c r="G5" i="15"/>
  <c r="G4" i="15"/>
  <c r="D18" i="14"/>
  <c r="D25" i="14"/>
  <c r="D17" i="14"/>
  <c r="D32" i="14"/>
  <c r="D24" i="14"/>
  <c r="D16" i="14"/>
  <c r="D8" i="14"/>
  <c r="D31" i="14"/>
  <c r="D23" i="14"/>
  <c r="D15" i="14"/>
  <c r="D7" i="14"/>
  <c r="D30" i="14"/>
  <c r="D22" i="14"/>
  <c r="D14" i="14"/>
  <c r="D6" i="14"/>
  <c r="D27" i="14"/>
  <c r="D19" i="14"/>
  <c r="D11" i="14"/>
  <c r="D26" i="14"/>
  <c r="D10" i="14"/>
  <c r="D3" i="14"/>
  <c r="D9" i="14"/>
  <c r="D29" i="14"/>
  <c r="D21" i="14"/>
  <c r="D13" i="14"/>
  <c r="D5" i="14"/>
  <c r="D28" i="14"/>
  <c r="D20" i="14"/>
  <c r="D12" i="14"/>
  <c r="D4" i="12"/>
  <c r="D22" i="13"/>
  <c r="D24" i="13"/>
  <c r="D30" i="13"/>
  <c r="D32" i="13"/>
  <c r="D11" i="13"/>
  <c r="D4" i="13"/>
  <c r="D16" i="13"/>
  <c r="D5" i="13"/>
  <c r="D6" i="13"/>
  <c r="D9" i="13"/>
  <c r="D26" i="13"/>
  <c r="D12" i="13"/>
  <c r="D17" i="13"/>
  <c r="D25" i="13"/>
  <c r="D13" i="13"/>
  <c r="D19" i="13"/>
  <c r="D27" i="13"/>
  <c r="D3" i="13"/>
  <c r="D7" i="13"/>
  <c r="D20" i="13"/>
  <c r="D28" i="13"/>
  <c r="D18" i="13"/>
  <c r="D8" i="13"/>
  <c r="D14" i="13"/>
  <c r="D21" i="13"/>
  <c r="D29" i="13"/>
  <c r="D10" i="13"/>
  <c r="D15" i="13"/>
  <c r="D23" i="13"/>
  <c r="D11" i="12"/>
  <c r="D6" i="12"/>
  <c r="D19" i="12"/>
  <c r="D27" i="12"/>
  <c r="D26" i="12"/>
  <c r="D18" i="12"/>
  <c r="D10" i="12"/>
  <c r="D3" i="12"/>
  <c r="D25" i="12"/>
  <c r="D17" i="12"/>
  <c r="D9" i="12"/>
  <c r="D32" i="12"/>
  <c r="D24" i="12"/>
  <c r="D16" i="12"/>
  <c r="D8" i="12"/>
  <c r="D31" i="12"/>
  <c r="D23" i="12"/>
  <c r="D15" i="12"/>
  <c r="D7" i="12"/>
  <c r="D30" i="12"/>
  <c r="D22" i="12"/>
  <c r="D14" i="12"/>
  <c r="D29" i="12"/>
  <c r="D21" i="12"/>
  <c r="D13" i="12"/>
  <c r="D5" i="12"/>
  <c r="D28" i="12"/>
  <c r="D20" i="12"/>
  <c r="D12" i="12"/>
  <c r="D5" i="11"/>
  <c r="D3" i="11"/>
  <c r="E4" i="6"/>
  <c r="E5" i="6" s="1"/>
  <c r="E6" i="6" s="1"/>
  <c r="E7" i="6" s="1"/>
  <c r="E8" i="6" s="1"/>
  <c r="E9" i="6" s="1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9" i="6"/>
  <c r="E3" i="6"/>
  <c r="E26" i="5"/>
  <c r="K6" i="16" l="1"/>
  <c r="K9" i="16" s="1"/>
  <c r="G6" i="15"/>
  <c r="G10" i="15" s="1"/>
  <c r="E10" i="6"/>
  <c r="K10" i="16" l="1"/>
  <c r="D8" i="16" s="1"/>
  <c r="K14" i="16"/>
  <c r="K13" i="16"/>
  <c r="D14" i="15"/>
  <c r="D16" i="15"/>
  <c r="D10" i="15"/>
  <c r="G9" i="15"/>
  <c r="D4" i="15" s="1"/>
  <c r="E11" i="6"/>
  <c r="D9" i="16" l="1"/>
  <c r="D21" i="16"/>
  <c r="D20" i="16"/>
  <c r="D10" i="16"/>
  <c r="D22" i="16"/>
  <c r="D17" i="16"/>
  <c r="D15" i="16"/>
  <c r="D11" i="16"/>
  <c r="D14" i="16"/>
  <c r="D3" i="16"/>
  <c r="D16" i="16"/>
  <c r="D5" i="16"/>
  <c r="D12" i="16"/>
  <c r="D7" i="16"/>
  <c r="D4" i="16"/>
  <c r="D6" i="16"/>
  <c r="D19" i="16"/>
  <c r="D18" i="16"/>
  <c r="D13" i="16"/>
  <c r="D17" i="15"/>
  <c r="D9" i="15"/>
  <c r="D6" i="15"/>
  <c r="D21" i="15"/>
  <c r="D8" i="15"/>
  <c r="D13" i="15"/>
  <c r="D19" i="15"/>
  <c r="D3" i="15"/>
  <c r="D5" i="15"/>
  <c r="D11" i="15"/>
  <c r="D15" i="15"/>
  <c r="D20" i="15"/>
  <c r="D18" i="15"/>
  <c r="D7" i="15"/>
  <c r="D12" i="15"/>
  <c r="D22" i="15"/>
  <c r="E12" i="6"/>
  <c r="E13" i="6" l="1"/>
  <c r="E62" i="5"/>
  <c r="E61" i="5"/>
  <c r="B61" i="5"/>
  <c r="E60" i="5"/>
  <c r="B60" i="5"/>
  <c r="B59" i="5" s="1"/>
  <c r="B58" i="5" s="1"/>
  <c r="B57" i="5" s="1"/>
  <c r="B56" i="5" s="1"/>
  <c r="B55" i="5" s="1"/>
  <c r="B54" i="5" s="1"/>
  <c r="B53" i="5" s="1"/>
  <c r="B52" i="5" s="1"/>
  <c r="B51" i="5" s="1"/>
  <c r="B50" i="5" s="1"/>
  <c r="B49" i="5" s="1"/>
  <c r="B48" i="5" s="1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B13" i="5" s="1"/>
  <c r="B12" i="5" s="1"/>
  <c r="B11" i="5" s="1"/>
  <c r="B10" i="5" s="1"/>
  <c r="B9" i="5" s="1"/>
  <c r="B8" i="5" s="1"/>
  <c r="B7" i="5" s="1"/>
  <c r="B6" i="5" s="1"/>
  <c r="B5" i="5" s="1"/>
  <c r="B4" i="5" s="1"/>
  <c r="B3" i="5" s="1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B60" i="3"/>
  <c r="B59" i="3" s="1"/>
  <c r="B58" i="3" s="1"/>
  <c r="B57" i="3" s="1"/>
  <c r="B56" i="3" s="1"/>
  <c r="B55" i="3" s="1"/>
  <c r="B54" i="3" s="1"/>
  <c r="B53" i="3" s="1"/>
  <c r="B52" i="3" s="1"/>
  <c r="B51" i="3" s="1"/>
  <c r="B50" i="3" s="1"/>
  <c r="B49" i="3" s="1"/>
  <c r="B48" i="3" s="1"/>
  <c r="B47" i="3" s="1"/>
  <c r="B46" i="3" s="1"/>
  <c r="B45" i="3" s="1"/>
  <c r="B44" i="3" s="1"/>
  <c r="B43" i="3" s="1"/>
  <c r="B42" i="3" s="1"/>
  <c r="B41" i="3" s="1"/>
  <c r="B40" i="3" s="1"/>
  <c r="B39" i="3" s="1"/>
  <c r="B38" i="3" s="1"/>
  <c r="B37" i="3" s="1"/>
  <c r="B36" i="3" s="1"/>
  <c r="B35" i="3" s="1"/>
  <c r="B34" i="3" s="1"/>
  <c r="B33" i="3" s="1"/>
  <c r="B32" i="3" s="1"/>
  <c r="B31" i="3" s="1"/>
  <c r="B30" i="3" s="1"/>
  <c r="B29" i="3" s="1"/>
  <c r="B28" i="3" s="1"/>
  <c r="B27" i="3" s="1"/>
  <c r="B26" i="3" s="1"/>
  <c r="B25" i="3" s="1"/>
  <c r="B24" i="3" s="1"/>
  <c r="B23" i="3" s="1"/>
  <c r="B22" i="3" s="1"/>
  <c r="B21" i="3" s="1"/>
  <c r="B20" i="3" s="1"/>
  <c r="B19" i="3" s="1"/>
  <c r="B18" i="3" s="1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7" i="3" s="1"/>
  <c r="B6" i="3" s="1"/>
  <c r="B5" i="3" s="1"/>
  <c r="B4" i="3" s="1"/>
  <c r="B3" i="3" s="1"/>
  <c r="B61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E14" i="6" l="1"/>
  <c r="F8" i="2"/>
  <c r="F4" i="2"/>
  <c r="F5" i="2"/>
  <c r="F6" i="2"/>
  <c r="F7" i="2"/>
  <c r="F3" i="2"/>
  <c r="E4" i="2"/>
  <c r="E5" i="2"/>
  <c r="E6" i="2"/>
  <c r="E7" i="2"/>
  <c r="E3" i="2"/>
  <c r="C8" i="2"/>
  <c r="D8" i="1"/>
  <c r="C8" i="1"/>
  <c r="E15" i="6" l="1"/>
  <c r="E16" i="6" l="1"/>
  <c r="E17" i="6" l="1"/>
  <c r="E18" i="6" l="1"/>
  <c r="E19" i="6" l="1"/>
  <c r="E20" i="6" l="1"/>
  <c r="E21" i="6" l="1"/>
  <c r="E22" i="6" l="1"/>
  <c r="E23" i="6" l="1"/>
  <c r="E24" i="6" l="1"/>
  <c r="E25" i="6" l="1"/>
  <c r="E26" i="6" l="1"/>
  <c r="E27" i="6" l="1"/>
  <c r="E28" i="6" l="1"/>
</calcChain>
</file>

<file path=xl/sharedStrings.xml><?xml version="1.0" encoding="utf-8"?>
<sst xmlns="http://schemas.openxmlformats.org/spreadsheetml/2006/main" count="540" uniqueCount="216">
  <si>
    <t>Investment</t>
  </si>
  <si>
    <t>Rate of Return</t>
  </si>
  <si>
    <t>Roboto Bond Fund</t>
  </si>
  <si>
    <t>Duff Small Cap Fund</t>
  </si>
  <si>
    <t>Ziff Value Investor Fund A</t>
  </si>
  <si>
    <t>Cogswell International Fund</t>
  </si>
  <si>
    <t>Sparkle Growth and Income Fund</t>
  </si>
  <si>
    <t>Weighted Average Return</t>
  </si>
  <si>
    <t>Value</t>
  </si>
  <si>
    <t>Weight</t>
  </si>
  <si>
    <t>Contribution</t>
  </si>
  <si>
    <t>Date</t>
  </si>
  <si>
    <t>Course</t>
  </si>
  <si>
    <t>Score</t>
  </si>
  <si>
    <t>Colbert Hills</t>
  </si>
  <si>
    <t>Iron Horse Golf Club</t>
  </si>
  <si>
    <t>Indian Creek Golf Course</t>
  </si>
  <si>
    <t>Bent Tree</t>
  </si>
  <si>
    <t xml:space="preserve">Eagle Hills Golf Course </t>
  </si>
  <si>
    <t xml:space="preserve">Tregaron Golf Course </t>
  </si>
  <si>
    <t>Tiburon Golf Club</t>
  </si>
  <si>
    <t>Woodland Hills</t>
  </si>
  <si>
    <t>Moving Avg</t>
  </si>
  <si>
    <t>Week</t>
  </si>
  <si>
    <t>Demand</t>
  </si>
  <si>
    <t>Moving Average</t>
  </si>
  <si>
    <t>Exponential Forecast</t>
  </si>
  <si>
    <t>Alpha: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</si>
  <si>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</si>
  <si>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</si>
  <si>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</si>
  <si>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</si>
  <si>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</si>
  <si>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</si>
  <si>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</si>
  <si>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</si>
  <si>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</si>
  <si>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</si>
  <si>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</si>
  <si>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</si>
  <si>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Month</t>
  </si>
  <si>
    <t>Avg Low Temp</t>
  </si>
  <si>
    <t>Max</t>
  </si>
  <si>
    <t>Min</t>
  </si>
  <si>
    <t>Max Month</t>
  </si>
  <si>
    <t>Min Month</t>
  </si>
  <si>
    <t>Bowler</t>
  </si>
  <si>
    <t>Julian Murray</t>
  </si>
  <si>
    <t>Aidan Knight</t>
  </si>
  <si>
    <t>Dylan Hill</t>
  </si>
  <si>
    <t>Olivia Dunn</t>
  </si>
  <si>
    <t>Justin Mitchell</t>
  </si>
  <si>
    <t>Hannah Weaver</t>
  </si>
  <si>
    <t>Carlos White</t>
  </si>
  <si>
    <t>Vanessa Jackson</t>
  </si>
  <si>
    <t>Josiah Stone</t>
  </si>
  <si>
    <t>Jack Price</t>
  </si>
  <si>
    <t>Makayla Simmons</t>
  </si>
  <si>
    <t>Alexa Lee</t>
  </si>
  <si>
    <t>1st Place</t>
  </si>
  <si>
    <t>2nd Place</t>
  </si>
  <si>
    <t>3rd Place</t>
  </si>
  <si>
    <t>Position</t>
  </si>
  <si>
    <t>Gianna Ruiz</t>
  </si>
  <si>
    <t>Jessica Powell</t>
  </si>
  <si>
    <t>Chase Ellis</t>
  </si>
  <si>
    <t>Ayden Taylor</t>
  </si>
  <si>
    <t>Addison West</t>
  </si>
  <si>
    <t>Alexandra Mitchell</t>
  </si>
  <si>
    <t>Natalie Greene</t>
  </si>
  <si>
    <t>Jose Harper</t>
  </si>
  <si>
    <t>Isaiah Peters</t>
  </si>
  <si>
    <t>Carlos Pierce</t>
  </si>
  <si>
    <t>Alexis Coleman</t>
  </si>
  <si>
    <t>Jeremiah Dunn</t>
  </si>
  <si>
    <t>Competitor</t>
  </si>
  <si>
    <t>Time</t>
  </si>
  <si>
    <t>Rank</t>
  </si>
  <si>
    <t>Student</t>
  </si>
  <si>
    <t>Grade</t>
  </si>
  <si>
    <t>Ella Bradley</t>
  </si>
  <si>
    <t>Sophia Nichols</t>
  </si>
  <si>
    <t>Lily Harrison</t>
  </si>
  <si>
    <t>Ryan Long</t>
  </si>
  <si>
    <t>Isaac Rice</t>
  </si>
  <si>
    <t>Connor Hill</t>
  </si>
  <si>
    <t>Joshua Thomas</t>
  </si>
  <si>
    <t>Dylan Edwards</t>
  </si>
  <si>
    <t>Alex Palmer</t>
  </si>
  <si>
    <t>Chloe Carpenter</t>
  </si>
  <si>
    <t>Addison Gray</t>
  </si>
  <si>
    <t>Kimberly Morales</t>
  </si>
  <si>
    <t>Christopher Rose</t>
  </si>
  <si>
    <t>Bryan Wilson</t>
  </si>
  <si>
    <t>Andrew Stone</t>
  </si>
  <si>
    <t>Charles Alexander</t>
  </si>
  <si>
    <t>Grace Mitchell</t>
  </si>
  <si>
    <t>Madison Ortiz</t>
  </si>
  <si>
    <t>Sarah Cunningham</t>
  </si>
  <si>
    <t>Juan Armstrong</t>
  </si>
  <si>
    <t>Average</t>
  </si>
  <si>
    <t>Median</t>
  </si>
  <si>
    <t>Mode</t>
  </si>
  <si>
    <t>Count of Grades</t>
  </si>
  <si>
    <t>Employee</t>
  </si>
  <si>
    <t>Defects per 1000</t>
  </si>
  <si>
    <t>Alyssa Cook</t>
  </si>
  <si>
    <t>Anna Garcia</t>
  </si>
  <si>
    <t>Samuel Chavez</t>
  </si>
  <si>
    <t>Joseph Morgan</t>
  </si>
  <si>
    <t>Victoria Freeman</t>
  </si>
  <si>
    <t>Amelia Rivera</t>
  </si>
  <si>
    <t>Lillian Matthews</t>
  </si>
  <si>
    <t>Alex Cox</t>
  </si>
  <si>
    <t>Evan Stone</t>
  </si>
  <si>
    <t>Eli Green</t>
  </si>
  <si>
    <t>Genesis Bailey</t>
  </si>
  <si>
    <t>Evelyn Harris</t>
  </si>
  <si>
    <t>Nathaniel Griffin</t>
  </si>
  <si>
    <t>Kyle Washington</t>
  </si>
  <si>
    <t>Chloe Marshall</t>
  </si>
  <si>
    <t>Gabriella Davis</t>
  </si>
  <si>
    <t>William Cox</t>
  </si>
  <si>
    <t>Lauren Allen</t>
  </si>
  <si>
    <t>Katelyn Howard</t>
  </si>
  <si>
    <t>Jeremiah Palmer</t>
  </si>
  <si>
    <t>Gabriel Webb</t>
  </si>
  <si>
    <t>Eric Greene</t>
  </si>
  <si>
    <t>Layla Gardner</t>
  </si>
  <si>
    <t>Adam Jordan</t>
  </si>
  <si>
    <t>Sean Gomez</t>
  </si>
  <si>
    <t>Alexa Gonzalez</t>
  </si>
  <si>
    <t>Jaden Hart</t>
  </si>
  <si>
    <t>Audrey Cox</t>
  </si>
  <si>
    <t>Isabella Marshall</t>
  </si>
  <si>
    <t>Mason Marshall</t>
  </si>
  <si>
    <t>Quartile</t>
  </si>
  <si>
    <t>75th percentile</t>
  </si>
  <si>
    <t>50th percentile</t>
  </si>
  <si>
    <t>25th percentile</t>
  </si>
  <si>
    <t>Top quarter</t>
  </si>
  <si>
    <t>7.25: 23+((23-23)*.25)=23</t>
  </si>
  <si>
    <t>21.75: 43+((45-43)*.75)=44.5</t>
  </si>
  <si>
    <t>Percentile</t>
  </si>
  <si>
    <t>Demarcation</t>
  </si>
  <si>
    <t>14.50: 31+((31-31)*.50)=31</t>
  </si>
  <si>
    <t>Maximum</t>
  </si>
  <si>
    <t>QUARTILE.EXC</t>
  </si>
  <si>
    <t>Interquartile Range</t>
  </si>
  <si>
    <t>Lower Fence</t>
  </si>
  <si>
    <t>Upper Fence</t>
  </si>
  <si>
    <t>Outliers</t>
  </si>
  <si>
    <t>Fence Factor</t>
  </si>
  <si>
    <t>25th Percentile</t>
  </si>
  <si>
    <t>Non-leveraged IQR
Upper Fence</t>
  </si>
  <si>
    <t>Non-leveraged IQR
Lower Fence</t>
  </si>
  <si>
    <t>Leveraged IQR
Lower Fence</t>
  </si>
  <si>
    <t>Leveraged IQR
Upper Fence</t>
  </si>
  <si>
    <t>Invoice #</t>
  </si>
  <si>
    <t>Total Sale</t>
  </si>
  <si>
    <t>IN3534</t>
  </si>
  <si>
    <t>IN4742</t>
  </si>
  <si>
    <t>IN4154</t>
  </si>
  <si>
    <t>IN9747</t>
  </si>
  <si>
    <t>IN5668</t>
  </si>
  <si>
    <t>IN6245</t>
  </si>
  <si>
    <t>IN5185</t>
  </si>
  <si>
    <t>IN1288</t>
  </si>
  <si>
    <t>IN4399</t>
  </si>
  <si>
    <t>IN2239</t>
  </si>
  <si>
    <t>IN6887</t>
  </si>
  <si>
    <t>IN2379</t>
  </si>
  <si>
    <t>IN2782</t>
  </si>
  <si>
    <t>IN4378</t>
  </si>
  <si>
    <t>IN1860</t>
  </si>
  <si>
    <t>IN6538</t>
  </si>
  <si>
    <t>IN7321</t>
  </si>
  <si>
    <t>IN4956</t>
  </si>
  <si>
    <t>IN4787</t>
  </si>
  <si>
    <t>IN4024</t>
  </si>
  <si>
    <t>IN7307</t>
  </si>
  <si>
    <t>IN2917</t>
  </si>
  <si>
    <t>IN1395</t>
  </si>
  <si>
    <t>IN8974</t>
  </si>
  <si>
    <t>IN1388</t>
  </si>
  <si>
    <t>IN5128</t>
  </si>
  <si>
    <t>IN7650</t>
  </si>
  <si>
    <t>IN7797</t>
  </si>
  <si>
    <t>IN8403</t>
  </si>
  <si>
    <t>IN2887</t>
  </si>
  <si>
    <t>IN5218</t>
  </si>
  <si>
    <t>IN8812</t>
  </si>
  <si>
    <t>IN8455</t>
  </si>
  <si>
    <t>IN4693</t>
  </si>
  <si>
    <t>IN5162</t>
  </si>
  <si>
    <t>IN4139</t>
  </si>
  <si>
    <t>IN3243</t>
  </si>
  <si>
    <t>IN8263</t>
  </si>
  <si>
    <t>IN5898</t>
  </si>
  <si>
    <t>IN5844</t>
  </si>
  <si>
    <t>IN6640</t>
  </si>
  <si>
    <t>IN1793</t>
  </si>
  <si>
    <t>IN7399</t>
  </si>
  <si>
    <t>IN3321</t>
  </si>
  <si>
    <t>IN1518</t>
  </si>
  <si>
    <t>IN3476</t>
  </si>
  <si>
    <t>IN9645</t>
  </si>
  <si>
    <t>IN3942</t>
  </si>
  <si>
    <t>IN6829</t>
  </si>
  <si>
    <t>IN4271</t>
  </si>
  <si>
    <t>Bins</t>
  </si>
  <si>
    <t>Frequency</t>
  </si>
  <si>
    <t>Sales</t>
  </si>
  <si>
    <t>Seasonal Factor</t>
  </si>
  <si>
    <t>De-seasonal</t>
  </si>
  <si>
    <t>Re-seasonal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</si>
</sst>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%_)"/>
    <numFmt numFmtId="165" formatCode="0.000%_)"/>
    <numFmt numFmtId="166" formatCode="0.00000%"/>
    <numFmt numFmtId="167" formatCode="_(* #,##0_);_(* \(#,##0\);_(* &quot;-&quot;??_);_(@_)"/>
    <numFmt numFmtId="168" formatCode="_(* #,##0.0_);_(* \(#,##0.0\);_(* &quot;-&quot;??_);_(@_)"/>
    <numFmt numFmtId="173" formatCode="h:mm:ss_);@"/>
    <numFmt numFmtId="176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165" fontId="0" fillId="0" borderId="2" xfId="0" applyNumberFormat="1" applyBorder="1"/>
    <xf numFmtId="0" fontId="2" fillId="0" borderId="0" xfId="0" applyFont="1"/>
    <xf numFmtId="43" fontId="0" fillId="0" borderId="0" xfId="1" applyFont="1"/>
    <xf numFmtId="43" fontId="0" fillId="0" borderId="2" xfId="1" applyFont="1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14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167" fontId="0" fillId="0" borderId="0" xfId="1" applyNumberFormat="1" applyFont="1"/>
    <xf numFmtId="0" fontId="2" fillId="0" borderId="1" xfId="0" applyFont="1" applyBorder="1" applyAlignment="1">
      <alignment horizontal="center" wrapText="1"/>
    </xf>
    <xf numFmtId="43" fontId="3" fillId="2" borderId="3" xfId="1" applyFont="1" applyFill="1" applyBorder="1"/>
    <xf numFmtId="0" fontId="0" fillId="0" borderId="0" xfId="0" applyAlignment="1">
      <alignment horizontal="right" indent="1"/>
    </xf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3" fontId="0" fillId="0" borderId="0" xfId="1" applyNumberFormat="1" applyFont="1"/>
    <xf numFmtId="0" fontId="0" fillId="0" borderId="4" xfId="0" applyBorder="1"/>
    <xf numFmtId="167" fontId="0" fillId="0" borderId="4" xfId="1" applyNumberFormat="1" applyFont="1" applyBorder="1"/>
    <xf numFmtId="0" fontId="0" fillId="0" borderId="0" xfId="0" applyAlignment="1"/>
    <xf numFmtId="0" fontId="4" fillId="0" borderId="5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right" vertical="center" indent="1"/>
    </xf>
    <xf numFmtId="0" fontId="0" fillId="0" borderId="0" xfId="0" applyBorder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168" fontId="0" fillId="0" borderId="8" xfId="1" applyNumberFormat="1" applyFont="1" applyBorder="1"/>
    <xf numFmtId="168" fontId="0" fillId="0" borderId="10" xfId="1" applyNumberFormat="1" applyFont="1" applyBorder="1"/>
    <xf numFmtId="168" fontId="0" fillId="0" borderId="12" xfId="1" applyNumberFormat="1" applyFont="1" applyBorder="1"/>
    <xf numFmtId="43" fontId="0" fillId="0" borderId="10" xfId="0" applyNumberFormat="1" applyBorder="1"/>
    <xf numFmtId="43" fontId="0" fillId="0" borderId="12" xfId="0" applyNumberFormat="1" applyBorder="1"/>
    <xf numFmtId="0" fontId="4" fillId="0" borderId="0" xfId="0" applyFont="1" applyBorder="1" applyAlignment="1">
      <alignment horizontal="right" vertical="center" wrapText="1" indent="1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5" xfId="0" applyBorder="1"/>
    <xf numFmtId="0" fontId="0" fillId="0" borderId="16" xfId="0" applyBorder="1"/>
    <xf numFmtId="167" fontId="0" fillId="0" borderId="16" xfId="1" applyNumberFormat="1" applyFont="1" applyBorder="1"/>
    <xf numFmtId="0" fontId="0" fillId="0" borderId="17" xfId="0" applyBorder="1"/>
    <xf numFmtId="0" fontId="0" fillId="0" borderId="15" xfId="0" applyBorder="1"/>
    <xf numFmtId="167" fontId="0" fillId="0" borderId="17" xfId="1" applyNumberFormat="1" applyFont="1" applyBorder="1"/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right" indent="1"/>
    </xf>
    <xf numFmtId="0" fontId="0" fillId="0" borderId="9" xfId="0" applyBorder="1" applyAlignment="1">
      <alignment horizontal="right" indent="1"/>
    </xf>
    <xf numFmtId="0" fontId="0" fillId="0" borderId="11" xfId="0" applyBorder="1" applyAlignment="1">
      <alignment horizontal="right" indent="1"/>
    </xf>
    <xf numFmtId="0" fontId="4" fillId="0" borderId="0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Continuous"/>
    </xf>
    <xf numFmtId="176" fontId="0" fillId="0" borderId="0" xfId="0" applyNumberForma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Golf Score History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40581465778314E-2"/>
          <c:y val="0.13869815770765792"/>
          <c:w val="0.73060004037956794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'83'!$D$2</c:f>
              <c:strCache>
                <c:ptCount val="1"/>
                <c:pt idx="0">
                  <c:v>Score</c:v>
                </c:pt>
              </c:strCache>
            </c:strRef>
          </c:tx>
          <c:marker>
            <c:symbol val="none"/>
          </c:marker>
          <c:xVal>
            <c:numRef>
              <c:f>'83'!$B$3:$B$62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99072"/>
        <c:axId val="285701632"/>
      </c:scatterChart>
      <c:valAx>
        <c:axId val="28569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85701632"/>
        <c:crosses val="autoZero"/>
        <c:crossBetween val="midCat"/>
      </c:valAx>
      <c:valAx>
        <c:axId val="285701632"/>
        <c:scaling>
          <c:orientation val="minMax"/>
          <c:max val="110"/>
          <c:min val="72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569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Golf Score History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040581465778314E-2"/>
          <c:y val="0.13869815770765792"/>
          <c:w val="0.69970291146761732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'83.1'!$D$2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xVal>
            <c:numRef>
              <c:f>'83.1'!$B$3:$B$62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'83.1'!$E$2</c:f>
              <c:strCache>
                <c:ptCount val="1"/>
                <c:pt idx="0">
                  <c:v>Moving Avg</c:v>
                </c:pt>
              </c:strCache>
            </c:strRef>
          </c:tx>
          <c:marker>
            <c:symbol val="none"/>
          </c:marker>
          <c:xVal>
            <c:numRef>
              <c:f>'83.1'!$B$3:$B$62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'83.1'!$E$3:$E$62</c:f>
              <c:numCache>
                <c:formatCode>_(* #,##0.0_);_(* \(#,##0.0\);_(* "-"??_);_(@_)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89.1</c:v>
                </c:pt>
                <c:pt idx="10">
                  <c:v>89</c:v>
                </c:pt>
                <c:pt idx="11">
                  <c:v>88.6</c:v>
                </c:pt>
                <c:pt idx="12">
                  <c:v>88.8</c:v>
                </c:pt>
                <c:pt idx="13">
                  <c:v>88.3</c:v>
                </c:pt>
                <c:pt idx="14">
                  <c:v>88.7</c:v>
                </c:pt>
                <c:pt idx="15">
                  <c:v>89.2</c:v>
                </c:pt>
                <c:pt idx="16">
                  <c:v>89.3</c:v>
                </c:pt>
                <c:pt idx="17">
                  <c:v>89.9</c:v>
                </c:pt>
                <c:pt idx="18">
                  <c:v>90</c:v>
                </c:pt>
                <c:pt idx="19">
                  <c:v>89.3</c:v>
                </c:pt>
                <c:pt idx="20">
                  <c:v>89</c:v>
                </c:pt>
                <c:pt idx="21">
                  <c:v>89.9</c:v>
                </c:pt>
                <c:pt idx="22">
                  <c:v>90.3</c:v>
                </c:pt>
                <c:pt idx="23">
                  <c:v>91.4</c:v>
                </c:pt>
                <c:pt idx="24">
                  <c:v>92.1</c:v>
                </c:pt>
                <c:pt idx="25">
                  <c:v>92</c:v>
                </c:pt>
                <c:pt idx="26">
                  <c:v>90.9</c:v>
                </c:pt>
                <c:pt idx="27">
                  <c:v>89.7</c:v>
                </c:pt>
                <c:pt idx="28">
                  <c:v>89.7</c:v>
                </c:pt>
                <c:pt idx="29">
                  <c:v>88.9</c:v>
                </c:pt>
                <c:pt idx="30">
                  <c:v>87.8</c:v>
                </c:pt>
                <c:pt idx="31">
                  <c:v>86.8</c:v>
                </c:pt>
                <c:pt idx="32">
                  <c:v>86.5</c:v>
                </c:pt>
                <c:pt idx="33">
                  <c:v>85.5</c:v>
                </c:pt>
                <c:pt idx="34">
                  <c:v>84.7</c:v>
                </c:pt>
                <c:pt idx="35">
                  <c:v>85.1</c:v>
                </c:pt>
                <c:pt idx="36">
                  <c:v>85.9</c:v>
                </c:pt>
                <c:pt idx="37">
                  <c:v>86.5</c:v>
                </c:pt>
                <c:pt idx="38">
                  <c:v>85.5</c:v>
                </c:pt>
                <c:pt idx="39">
                  <c:v>85.6</c:v>
                </c:pt>
                <c:pt idx="40">
                  <c:v>86.5</c:v>
                </c:pt>
                <c:pt idx="41">
                  <c:v>86.7</c:v>
                </c:pt>
                <c:pt idx="42">
                  <c:v>87.1</c:v>
                </c:pt>
                <c:pt idx="43">
                  <c:v>87.6</c:v>
                </c:pt>
                <c:pt idx="44">
                  <c:v>87.9</c:v>
                </c:pt>
                <c:pt idx="45">
                  <c:v>87</c:v>
                </c:pt>
                <c:pt idx="46">
                  <c:v>86.6</c:v>
                </c:pt>
                <c:pt idx="47">
                  <c:v>86.2</c:v>
                </c:pt>
                <c:pt idx="48">
                  <c:v>87.4</c:v>
                </c:pt>
                <c:pt idx="49">
                  <c:v>87.6</c:v>
                </c:pt>
                <c:pt idx="50">
                  <c:v>86.4</c:v>
                </c:pt>
                <c:pt idx="51">
                  <c:v>85.7</c:v>
                </c:pt>
                <c:pt idx="52">
                  <c:v>84.4</c:v>
                </c:pt>
                <c:pt idx="53">
                  <c:v>83.2</c:v>
                </c:pt>
                <c:pt idx="54">
                  <c:v>82.5</c:v>
                </c:pt>
                <c:pt idx="55">
                  <c:v>82.2</c:v>
                </c:pt>
                <c:pt idx="56">
                  <c:v>82</c:v>
                </c:pt>
                <c:pt idx="57">
                  <c:v>82.7</c:v>
                </c:pt>
                <c:pt idx="58">
                  <c:v>83.4</c:v>
                </c:pt>
                <c:pt idx="59">
                  <c:v>82.9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882240"/>
        <c:axId val="285883776"/>
      </c:scatterChart>
      <c:valAx>
        <c:axId val="285882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285883776"/>
        <c:crosses val="autoZero"/>
        <c:crossBetween val="midCat"/>
      </c:valAx>
      <c:valAx>
        <c:axId val="285883776"/>
        <c:scaling>
          <c:orientation val="minMax"/>
          <c:max val="110"/>
          <c:min val="72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5882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'84'!$C$2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'84'!$C$3:$C$28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634.48</c:v>
                </c:pt>
                <c:pt idx="2">
                  <c:v>989.79</c:v>
                </c:pt>
                <c:pt idx="3">
                  <c:v>1326.32</c:v>
                </c:pt>
                <c:pt idx="4">
                  <c:v>1485.48</c:v>
                </c:pt>
                <c:pt idx="5">
                  <c:v>1589.46</c:v>
                </c:pt>
                <c:pt idx="6">
                  <c:v>1780.2</c:v>
                </c:pt>
                <c:pt idx="7">
                  <c:v>2510.08</c:v>
                </c:pt>
                <c:pt idx="8">
                  <c:v>3463.91</c:v>
                </c:pt>
                <c:pt idx="9">
                  <c:v>5057.3100000000004</c:v>
                </c:pt>
                <c:pt idx="10">
                  <c:v>4956.16</c:v>
                </c:pt>
                <c:pt idx="11">
                  <c:v>7087.31</c:v>
                </c:pt>
                <c:pt idx="12">
                  <c:v>10985.33</c:v>
                </c:pt>
                <c:pt idx="13">
                  <c:v>14830.2</c:v>
                </c:pt>
                <c:pt idx="14">
                  <c:v>14830.2</c:v>
                </c:pt>
                <c:pt idx="15">
                  <c:v>17944.54</c:v>
                </c:pt>
                <c:pt idx="16">
                  <c:v>17406.2</c:v>
                </c:pt>
                <c:pt idx="17">
                  <c:v>27675.86</c:v>
                </c:pt>
                <c:pt idx="18">
                  <c:v>21310.41</c:v>
                </c:pt>
                <c:pt idx="19">
                  <c:v>19605.580000000002</c:v>
                </c:pt>
                <c:pt idx="20">
                  <c:v>18821.36</c:v>
                </c:pt>
                <c:pt idx="21">
                  <c:v>14116.02</c:v>
                </c:pt>
                <c:pt idx="22">
                  <c:v>13833.7</c:v>
                </c:pt>
                <c:pt idx="23">
                  <c:v>11896.98</c:v>
                </c:pt>
                <c:pt idx="24">
                  <c:v>13919.47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'84'!$D$2</c:f>
              <c:strCache>
                <c:ptCount val="1"/>
                <c:pt idx="0">
                  <c:v>Moving Average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'84'!$D$3:$D$28</c:f>
              <c:numCache>
                <c:formatCode>_(* #,##0_);_(* \(#,##0\);_(* "-"??_);_(@_)</c:formatCode>
                <c:ptCount val="26"/>
                <c:pt idx="6">
                  <c:v>1072.9216666666666</c:v>
                </c:pt>
                <c:pt idx="7">
                  <c:v>1300.9549999999999</c:v>
                </c:pt>
                <c:pt idx="8">
                  <c:v>1613.5549999999996</c:v>
                </c:pt>
                <c:pt idx="9">
                  <c:v>2025.9083333333335</c:v>
                </c:pt>
                <c:pt idx="10">
                  <c:v>2647.7400000000002</c:v>
                </c:pt>
                <c:pt idx="11">
                  <c:v>3226.1866666666665</c:v>
                </c:pt>
                <c:pt idx="12">
                  <c:v>4142.4949999999999</c:v>
                </c:pt>
                <c:pt idx="13">
                  <c:v>5676.6833333333334</c:v>
                </c:pt>
                <c:pt idx="14">
                  <c:v>7730.0366666666669</c:v>
                </c:pt>
                <c:pt idx="15">
                  <c:v>9624.4183333333331</c:v>
                </c:pt>
                <c:pt idx="16">
                  <c:v>11772.289999999999</c:v>
                </c:pt>
                <c:pt idx="17">
                  <c:v>13847.296666666663</c:v>
                </c:pt>
                <c:pt idx="18">
                  <c:v>17278.721666666668</c:v>
                </c:pt>
                <c:pt idx="19">
                  <c:v>18999.568333333333</c:v>
                </c:pt>
                <c:pt idx="20">
                  <c:v>19795.465</c:v>
                </c:pt>
                <c:pt idx="21">
                  <c:v>20460.658333333336</c:v>
                </c:pt>
                <c:pt idx="22">
                  <c:v>19822.571666666667</c:v>
                </c:pt>
                <c:pt idx="23">
                  <c:v>19227.155000000002</c:v>
                </c:pt>
                <c:pt idx="24">
                  <c:v>16597.341666666667</c:v>
                </c:pt>
                <c:pt idx="25">
                  <c:v>15365.518333333333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'84'!$E$2</c:f>
              <c:strCache>
                <c:ptCount val="1"/>
                <c:pt idx="0">
                  <c:v>Exponential Forecast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'84'!$E$3:$E$28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412</c:v>
                </c:pt>
                <c:pt idx="2">
                  <c:v>478.74399999999997</c:v>
                </c:pt>
                <c:pt idx="3">
                  <c:v>632.05779999999993</c:v>
                </c:pt>
                <c:pt idx="4">
                  <c:v>840.33645999999987</c:v>
                </c:pt>
                <c:pt idx="5">
                  <c:v>1033.8795219999997</c:v>
                </c:pt>
                <c:pt idx="6">
                  <c:v>1200.5536653999998</c:v>
                </c:pt>
                <c:pt idx="7">
                  <c:v>1374.4475657799999</c:v>
                </c:pt>
                <c:pt idx="8">
                  <c:v>1715.1372960459998</c:v>
                </c:pt>
                <c:pt idx="9">
                  <c:v>2239.7691072321995</c:v>
                </c:pt>
                <c:pt idx="10">
                  <c:v>3085.0313750625396</c:v>
                </c:pt>
                <c:pt idx="11">
                  <c:v>3646.3699625437775</c:v>
                </c:pt>
                <c:pt idx="12">
                  <c:v>4678.6519737806448</c:v>
                </c:pt>
                <c:pt idx="13">
                  <c:v>6570.6553816464511</c:v>
                </c:pt>
                <c:pt idx="14">
                  <c:v>9048.5187671525164</c:v>
                </c:pt>
                <c:pt idx="15">
                  <c:v>10783.023137006761</c:v>
                </c:pt>
                <c:pt idx="16">
                  <c:v>12931.478195904732</c:v>
                </c:pt>
                <c:pt idx="17">
                  <c:v>14273.894737133312</c:v>
                </c:pt>
                <c:pt idx="18">
                  <c:v>18294.484315993315</c:v>
                </c:pt>
                <c:pt idx="19">
                  <c:v>19199.262021195318</c:v>
                </c:pt>
                <c:pt idx="20">
                  <c:v>19321.157414836722</c:v>
                </c:pt>
                <c:pt idx="21">
                  <c:v>19171.218190385705</c:v>
                </c:pt>
                <c:pt idx="22">
                  <c:v>17654.658733269993</c:v>
                </c:pt>
                <c:pt idx="23">
                  <c:v>16508.371113288995</c:v>
                </c:pt>
                <c:pt idx="24">
                  <c:v>15124.953779302296</c:v>
                </c:pt>
                <c:pt idx="25">
                  <c:v>14763.308645511606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06752"/>
        <c:axId val="286108672"/>
      </c:scatterChart>
      <c:valAx>
        <c:axId val="28610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108672"/>
        <c:crosses val="autoZero"/>
        <c:crossBetween val="midCat"/>
      </c:valAx>
      <c:valAx>
        <c:axId val="286108672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286106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'91'!$C$2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'91'!$B$3:$B$62</c:f>
              <c:numCache>
                <c:formatCode>[$-409]mmm\-yy;@</c:formatCode>
                <c:ptCount val="60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</c:numCache>
            </c:numRef>
          </c:xVal>
          <c:yVal>
            <c:numRef>
              <c:f>'91'!$C$3:$C$62</c:f>
              <c:numCache>
                <c:formatCode>_(* #,##0.00_);_(* \(#,##0.00\);_(* "-"??_);_(@_)</c:formatCode>
                <c:ptCount val="60"/>
                <c:pt idx="0">
                  <c:v>6938.24</c:v>
                </c:pt>
                <c:pt idx="1">
                  <c:v>6246.32</c:v>
                </c:pt>
                <c:pt idx="2">
                  <c:v>8205.83</c:v>
                </c:pt>
                <c:pt idx="3">
                  <c:v>23612.639999999999</c:v>
                </c:pt>
                <c:pt idx="4">
                  <c:v>28427.85</c:v>
                </c:pt>
                <c:pt idx="5">
                  <c:v>22472.73</c:v>
                </c:pt>
                <c:pt idx="6">
                  <c:v>7542.89</c:v>
                </c:pt>
                <c:pt idx="7">
                  <c:v>9248.89</c:v>
                </c:pt>
                <c:pt idx="8">
                  <c:v>10591.71</c:v>
                </c:pt>
                <c:pt idx="9">
                  <c:v>8096.57</c:v>
                </c:pt>
                <c:pt idx="10">
                  <c:v>8147.39</c:v>
                </c:pt>
                <c:pt idx="11">
                  <c:v>9755.07</c:v>
                </c:pt>
                <c:pt idx="12">
                  <c:v>7947.75</c:v>
                </c:pt>
                <c:pt idx="13">
                  <c:v>9984.2199999999993</c:v>
                </c:pt>
                <c:pt idx="14">
                  <c:v>7943.24</c:v>
                </c:pt>
                <c:pt idx="15">
                  <c:v>35029.589999999997</c:v>
                </c:pt>
                <c:pt idx="16">
                  <c:v>26306.25</c:v>
                </c:pt>
                <c:pt idx="17">
                  <c:v>26650.91</c:v>
                </c:pt>
                <c:pt idx="18">
                  <c:v>8928.7000000000007</c:v>
                </c:pt>
                <c:pt idx="19">
                  <c:v>8458.3700000000008</c:v>
                </c:pt>
                <c:pt idx="20">
                  <c:v>9905.2999999999993</c:v>
                </c:pt>
                <c:pt idx="21">
                  <c:v>10339.23</c:v>
                </c:pt>
                <c:pt idx="22">
                  <c:v>11062.61</c:v>
                </c:pt>
                <c:pt idx="23">
                  <c:v>6681.89</c:v>
                </c:pt>
                <c:pt idx="24">
                  <c:v>7710.3</c:v>
                </c:pt>
                <c:pt idx="25">
                  <c:v>8325.25</c:v>
                </c:pt>
                <c:pt idx="26">
                  <c:v>9858.31</c:v>
                </c:pt>
                <c:pt idx="27">
                  <c:v>26274.43</c:v>
                </c:pt>
                <c:pt idx="28">
                  <c:v>26713.65</c:v>
                </c:pt>
                <c:pt idx="29">
                  <c:v>35178.129999999997</c:v>
                </c:pt>
                <c:pt idx="30">
                  <c:v>11632.31</c:v>
                </c:pt>
                <c:pt idx="31">
                  <c:v>13022.25</c:v>
                </c:pt>
                <c:pt idx="32">
                  <c:v>11089.04</c:v>
                </c:pt>
                <c:pt idx="33">
                  <c:v>9778.5400000000009</c:v>
                </c:pt>
                <c:pt idx="34">
                  <c:v>11645.14</c:v>
                </c:pt>
                <c:pt idx="35">
                  <c:v>10420.52</c:v>
                </c:pt>
                <c:pt idx="36">
                  <c:v>9549.4500000000007</c:v>
                </c:pt>
                <c:pt idx="37">
                  <c:v>14001.55</c:v>
                </c:pt>
                <c:pt idx="38">
                  <c:v>8651.92</c:v>
                </c:pt>
                <c:pt idx="39">
                  <c:v>39520.18</c:v>
                </c:pt>
                <c:pt idx="40">
                  <c:v>40130.25</c:v>
                </c:pt>
                <c:pt idx="41">
                  <c:v>34224.639999999999</c:v>
                </c:pt>
                <c:pt idx="42">
                  <c:v>11463.86</c:v>
                </c:pt>
                <c:pt idx="43">
                  <c:v>13852.64</c:v>
                </c:pt>
                <c:pt idx="44">
                  <c:v>13164.01</c:v>
                </c:pt>
                <c:pt idx="45">
                  <c:v>14063.12</c:v>
                </c:pt>
                <c:pt idx="46">
                  <c:v>13940.6</c:v>
                </c:pt>
                <c:pt idx="47">
                  <c:v>12352.67</c:v>
                </c:pt>
                <c:pt idx="48">
                  <c:v>8049.99</c:v>
                </c:pt>
                <c:pt idx="49">
                  <c:v>13695.38</c:v>
                </c:pt>
                <c:pt idx="50">
                  <c:v>8753.31</c:v>
                </c:pt>
                <c:pt idx="51">
                  <c:v>45567.24</c:v>
                </c:pt>
                <c:pt idx="52">
                  <c:v>34309.440000000002</c:v>
                </c:pt>
                <c:pt idx="53">
                  <c:v>35072.11</c:v>
                </c:pt>
                <c:pt idx="54">
                  <c:v>10669.91</c:v>
                </c:pt>
                <c:pt idx="55">
                  <c:v>10617.79</c:v>
                </c:pt>
                <c:pt idx="56">
                  <c:v>14963.68</c:v>
                </c:pt>
                <c:pt idx="57">
                  <c:v>9801.7900000000009</c:v>
                </c:pt>
                <c:pt idx="58">
                  <c:v>11733.87</c:v>
                </c:pt>
                <c:pt idx="59">
                  <c:v>10739.17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887168"/>
        <c:axId val="292885248"/>
      </c:scatterChart>
      <c:valAx>
        <c:axId val="292887168"/>
        <c:scaling>
          <c:orientation val="minMax"/>
          <c:max val="41275"/>
          <c:min val="39477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292885248"/>
        <c:crosses val="autoZero"/>
        <c:crossBetween val="midCat"/>
      </c:valAx>
      <c:valAx>
        <c:axId val="2928852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,&quot;k&quot;" sourceLinked="0"/>
        <c:majorTickMark val="out"/>
        <c:minorTickMark val="none"/>
        <c:tickLblPos val="nextTo"/>
        <c:crossAx val="292887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'92'!$C$2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xVal>
            <c:numRef>
              <c:f>'92'!$B$3:$B$62</c:f>
              <c:numCache>
                <c:formatCode>[$-409]mmm\-yy;@</c:formatCode>
                <c:ptCount val="60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</c:numCache>
            </c:numRef>
          </c:xVal>
          <c:yVal>
            <c:numRef>
              <c:f>'92'!$C$3:$C$62</c:f>
              <c:numCache>
                <c:formatCode>_(* #,##0.00_);_(* \(#,##0.00\);_(* "-"??_);_(@_)</c:formatCode>
                <c:ptCount val="60"/>
                <c:pt idx="0">
                  <c:v>6938.24</c:v>
                </c:pt>
                <c:pt idx="1">
                  <c:v>6246.32</c:v>
                </c:pt>
                <c:pt idx="2">
                  <c:v>8205.83</c:v>
                </c:pt>
                <c:pt idx="3">
                  <c:v>23612.639999999999</c:v>
                </c:pt>
                <c:pt idx="4">
                  <c:v>28427.85</c:v>
                </c:pt>
                <c:pt idx="5">
                  <c:v>22472.73</c:v>
                </c:pt>
                <c:pt idx="6">
                  <c:v>7542.89</c:v>
                </c:pt>
                <c:pt idx="7">
                  <c:v>9248.89</c:v>
                </c:pt>
                <c:pt idx="8">
                  <c:v>10591.71</c:v>
                </c:pt>
                <c:pt idx="9">
                  <c:v>8096.57</c:v>
                </c:pt>
                <c:pt idx="10">
                  <c:v>8147.39</c:v>
                </c:pt>
                <c:pt idx="11">
                  <c:v>9755.07</c:v>
                </c:pt>
                <c:pt idx="12">
                  <c:v>7947.75</c:v>
                </c:pt>
                <c:pt idx="13">
                  <c:v>9984.2199999999993</c:v>
                </c:pt>
                <c:pt idx="14">
                  <c:v>7943.24</c:v>
                </c:pt>
                <c:pt idx="15">
                  <c:v>35029.589999999997</c:v>
                </c:pt>
                <c:pt idx="16">
                  <c:v>26306.25</c:v>
                </c:pt>
                <c:pt idx="17">
                  <c:v>26650.91</c:v>
                </c:pt>
                <c:pt idx="18">
                  <c:v>8928.7000000000007</c:v>
                </c:pt>
                <c:pt idx="19">
                  <c:v>8458.3700000000008</c:v>
                </c:pt>
                <c:pt idx="20">
                  <c:v>9905.2999999999993</c:v>
                </c:pt>
                <c:pt idx="21">
                  <c:v>10339.23</c:v>
                </c:pt>
                <c:pt idx="22">
                  <c:v>11062.61</c:v>
                </c:pt>
                <c:pt idx="23">
                  <c:v>6681.89</c:v>
                </c:pt>
                <c:pt idx="24">
                  <c:v>7710.3</c:v>
                </c:pt>
                <c:pt idx="25">
                  <c:v>8325.25</c:v>
                </c:pt>
                <c:pt idx="26">
                  <c:v>9858.31</c:v>
                </c:pt>
                <c:pt idx="27">
                  <c:v>26274.43</c:v>
                </c:pt>
                <c:pt idx="28">
                  <c:v>26713.65</c:v>
                </c:pt>
                <c:pt idx="29">
                  <c:v>35178.129999999997</c:v>
                </c:pt>
                <c:pt idx="30">
                  <c:v>11632.31</c:v>
                </c:pt>
                <c:pt idx="31">
                  <c:v>13022.25</c:v>
                </c:pt>
                <c:pt idx="32">
                  <c:v>11089.04</c:v>
                </c:pt>
                <c:pt idx="33">
                  <c:v>9778.5400000000009</c:v>
                </c:pt>
                <c:pt idx="34">
                  <c:v>11645.14</c:v>
                </c:pt>
                <c:pt idx="35">
                  <c:v>10420.52</c:v>
                </c:pt>
                <c:pt idx="36">
                  <c:v>9549.4500000000007</c:v>
                </c:pt>
                <c:pt idx="37">
                  <c:v>14001.55</c:v>
                </c:pt>
                <c:pt idx="38">
                  <c:v>8651.92</c:v>
                </c:pt>
                <c:pt idx="39">
                  <c:v>39520.18</c:v>
                </c:pt>
                <c:pt idx="40">
                  <c:v>40130.25</c:v>
                </c:pt>
                <c:pt idx="41">
                  <c:v>34224.639999999999</c:v>
                </c:pt>
                <c:pt idx="42">
                  <c:v>11463.86</c:v>
                </c:pt>
                <c:pt idx="43">
                  <c:v>13852.64</c:v>
                </c:pt>
                <c:pt idx="44">
                  <c:v>13164.01</c:v>
                </c:pt>
                <c:pt idx="45">
                  <c:v>14063.12</c:v>
                </c:pt>
                <c:pt idx="46">
                  <c:v>13940.6</c:v>
                </c:pt>
                <c:pt idx="47">
                  <c:v>12352.67</c:v>
                </c:pt>
                <c:pt idx="48">
                  <c:v>8049.99</c:v>
                </c:pt>
                <c:pt idx="49">
                  <c:v>13695.38</c:v>
                </c:pt>
                <c:pt idx="50">
                  <c:v>8753.31</c:v>
                </c:pt>
                <c:pt idx="51">
                  <c:v>45567.24</c:v>
                </c:pt>
                <c:pt idx="52">
                  <c:v>34309.440000000002</c:v>
                </c:pt>
                <c:pt idx="53">
                  <c:v>35072.11</c:v>
                </c:pt>
                <c:pt idx="54">
                  <c:v>10669.91</c:v>
                </c:pt>
                <c:pt idx="55">
                  <c:v>10617.79</c:v>
                </c:pt>
                <c:pt idx="56">
                  <c:v>14963.68</c:v>
                </c:pt>
                <c:pt idx="57">
                  <c:v>9801.7900000000009</c:v>
                </c:pt>
                <c:pt idx="58">
                  <c:v>11733.87</c:v>
                </c:pt>
                <c:pt idx="59">
                  <c:v>10739.17</c:v>
                </c:pt>
              </c:numCache>
            </c:numRef>
          </c:yVal>
          <c:smooth val="0"/>
        </c:ser>
        <c:ser>
          <c:idx val="1"/>
          <c:order val="1"/>
          <c:spPr>
            <a:ln>
              <a:prstDash val="dash"/>
            </a:ln>
          </c:spPr>
          <c:marker>
            <c:symbol val="none"/>
          </c:marker>
          <c:xVal>
            <c:numRef>
              <c:f>'92'!$B$3:$B$74</c:f>
              <c:numCache>
                <c:formatCode>[$-409]mmm\-yy;@</c:formatCode>
                <c:ptCount val="72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  <c:pt idx="60">
                  <c:v>41305</c:v>
                </c:pt>
                <c:pt idx="61">
                  <c:v>41333</c:v>
                </c:pt>
                <c:pt idx="62">
                  <c:v>41364</c:v>
                </c:pt>
                <c:pt idx="63">
                  <c:v>41394</c:v>
                </c:pt>
                <c:pt idx="64">
                  <c:v>41425</c:v>
                </c:pt>
                <c:pt idx="65">
                  <c:v>41455</c:v>
                </c:pt>
                <c:pt idx="66">
                  <c:v>41486</c:v>
                </c:pt>
                <c:pt idx="67">
                  <c:v>41517</c:v>
                </c:pt>
                <c:pt idx="68">
                  <c:v>41547</c:v>
                </c:pt>
                <c:pt idx="69">
                  <c:v>41578</c:v>
                </c:pt>
                <c:pt idx="70">
                  <c:v>41608</c:v>
                </c:pt>
                <c:pt idx="71">
                  <c:v>41639</c:v>
                </c:pt>
              </c:numCache>
            </c:numRef>
          </c:xVal>
          <c:yVal>
            <c:numRef>
              <c:f>'92'!$E$3:$E$74</c:f>
              <c:numCache>
                <c:formatCode>General</c:formatCode>
                <c:ptCount val="72"/>
                <c:pt idx="60" formatCode="_(* #,##0.00_);_(* \(#,##0.00\);_(* &quot;-&quot;??_);_(@_)">
                  <c:v>9800.9748683988637</c:v>
                </c:pt>
                <c:pt idx="61" formatCode="_(* #,##0.00_);_(* \(#,##0.00\);_(* &quot;-&quot;??_);_(@_)">
                  <c:v>12809.807245388472</c:v>
                </c:pt>
                <c:pt idx="62" formatCode="_(* #,##0.00_);_(* \(#,##0.00\);_(* &quot;-&quot;??_);_(@_)">
                  <c:v>10706.078631005134</c:v>
                </c:pt>
                <c:pt idx="63" formatCode="_(* #,##0.00_);_(* \(#,##0.00\);_(* &quot;-&quot;??_);_(@_)">
                  <c:v>42165.469913568646</c:v>
                </c:pt>
                <c:pt idx="64" formatCode="_(* #,##0.00_);_(* \(#,##0.00\);_(* &quot;-&quot;??_);_(@_)">
                  <c:v>38891.951434903145</c:v>
                </c:pt>
                <c:pt idx="65" formatCode="_(* #,##0.00_);_(* \(#,##0.00\);_(* &quot;-&quot;??_);_(@_)">
                  <c:v>38538.088861093114</c:v>
                </c:pt>
                <c:pt idx="66" formatCode="_(* #,##0.00_);_(* \(#,##0.00\);_(* &quot;-&quot;??_);_(@_)">
                  <c:v>12678.109319284744</c:v>
                </c:pt>
                <c:pt idx="67" formatCode="_(* #,##0.00_);_(* \(#,##0.00\);_(* &quot;-&quot;??_);_(@_)">
                  <c:v>14011.057337497894</c:v>
                </c:pt>
                <c:pt idx="68" formatCode="_(* #,##0.00_);_(* \(#,##0.00\);_(* &quot;-&quot;??_);_(@_)">
                  <c:v>15241.204594987994</c:v>
                </c:pt>
                <c:pt idx="69" formatCode="_(* #,##0.00_);_(* \(#,##0.00\);_(* &quot;-&quot;??_);_(@_)">
                  <c:v>13368.690802885176</c:v>
                </c:pt>
                <c:pt idx="70" formatCode="_(* #,##0.00_);_(* \(#,##0.00\);_(* &quot;-&quot;??_);_(@_)">
                  <c:v>14591.028720235488</c:v>
                </c:pt>
                <c:pt idx="71" formatCode="_(* #,##0.00_);_(* \(#,##0.00\);_(* &quot;-&quot;??_);_(@_)">
                  <c:v>12965.554721897041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144320"/>
        <c:axId val="299145856"/>
      </c:scatterChart>
      <c:valAx>
        <c:axId val="299144320"/>
        <c:scaling>
          <c:orientation val="minMax"/>
          <c:max val="41650"/>
          <c:min val="39477"/>
        </c:scaling>
        <c:delete val="0"/>
        <c:axPos val="b"/>
        <c:numFmt formatCode="[$-409]mmm\-yy;@" sourceLinked="1"/>
        <c:majorTickMark val="out"/>
        <c:minorTickMark val="none"/>
        <c:tickLblPos val="nextTo"/>
        <c:crossAx val="299145856"/>
        <c:crosses val="autoZero"/>
        <c:crossBetween val="midCat"/>
      </c:valAx>
      <c:valAx>
        <c:axId val="2991458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,&quot;k&quot;" sourceLinked="0"/>
        <c:majorTickMark val="out"/>
        <c:minorTickMark val="none"/>
        <c:tickLblPos val="nextTo"/>
        <c:crossAx val="299144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80961</xdr:rowOff>
    </xdr:from>
    <xdr:to>
      <xdr:col>15</xdr:col>
      <xdr:colOff>57150</xdr:colOff>
      <xdr:row>25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5</xdr:row>
      <xdr:rowOff>80961</xdr:rowOff>
    </xdr:from>
    <xdr:to>
      <xdr:col>15</xdr:col>
      <xdr:colOff>447674</xdr:colOff>
      <xdr:row>25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438149</xdr:colOff>
      <xdr:row>4</xdr:row>
      <xdr:rowOff>80961</xdr:rowOff>
    </xdr:from>
    <xdr:to>
      <xdr:col>19</xdr:col>
      <xdr:colOff>371474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22</xdr:row>
      <xdr:rowOff>80962</xdr:rowOff>
    </xdr:from>
    <xdr:to>
      <xdr:col>17</xdr:col>
      <xdr:colOff>28575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21</xdr:row>
      <xdr:rowOff>161924</xdr:rowOff>
    </xdr:from>
    <xdr:to>
      <xdr:col>17</xdr:col>
      <xdr:colOff>28575</xdr:colOff>
      <xdr:row>37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9"/>
  <sheetViews>
    <sheetView tabSelected="1" workbookViewId="0">
      <selection activeCell="D8" sqref="D8"/>
    </sheetView>
  </sheetViews>
  <sheetFormatPr defaultRowHeight="15" x14ac:dyDescent="0.25"/>
  <cols>
    <col min="1" max="1" width="4.140625" customWidth="1"/>
    <col min="2" max="2" width="30.85546875" bestFit="1" customWidth="1"/>
    <col min="3" max="3" width="11.5703125" bestFit="1" customWidth="1"/>
    <col min="4" max="4" width="13.85546875" bestFit="1" customWidth="1"/>
  </cols>
  <sheetData>
    <row r="2" spans="2:5" x14ac:dyDescent="0.25">
      <c r="B2" s="4" t="s">
        <v>0</v>
      </c>
      <c r="C2" s="4" t="s">
        <v>8</v>
      </c>
      <c r="D2" s="4" t="s">
        <v>1</v>
      </c>
    </row>
    <row r="3" spans="2:5" x14ac:dyDescent="0.25">
      <c r="B3" t="s">
        <v>2</v>
      </c>
      <c r="C3" s="7">
        <v>72021.350000000006</v>
      </c>
      <c r="D3" s="2">
        <v>2.5000000000000001E-2</v>
      </c>
      <c r="E3" s="3"/>
    </row>
    <row r="4" spans="2:5" x14ac:dyDescent="0.25">
      <c r="B4" t="s">
        <v>3</v>
      </c>
      <c r="C4" s="7">
        <v>25419.31</v>
      </c>
      <c r="D4" s="2">
        <v>7.4099999999999999E-2</v>
      </c>
      <c r="E4" s="3"/>
    </row>
    <row r="5" spans="2:5" x14ac:dyDescent="0.25">
      <c r="B5" t="s">
        <v>4</v>
      </c>
      <c r="C5" s="7">
        <v>97440.65</v>
      </c>
      <c r="D5" s="2">
        <v>4.3999999999999997E-2</v>
      </c>
      <c r="E5" s="3"/>
    </row>
    <row r="6" spans="2:5" x14ac:dyDescent="0.25">
      <c r="B6" t="s">
        <v>5</v>
      </c>
      <c r="C6" s="7">
        <v>88967.56</v>
      </c>
      <c r="D6" s="2">
        <v>5.0999999999999997E-2</v>
      </c>
      <c r="E6" s="3"/>
    </row>
    <row r="7" spans="2:5" x14ac:dyDescent="0.25">
      <c r="B7" t="s">
        <v>6</v>
      </c>
      <c r="C7" s="7">
        <v>139806.15</v>
      </c>
      <c r="D7" s="2">
        <v>0.1012</v>
      </c>
      <c r="E7" s="3"/>
    </row>
    <row r="8" spans="2:5" ht="15.75" thickBot="1" x14ac:dyDescent="0.3">
      <c r="B8" s="6" t="s">
        <v>7</v>
      </c>
      <c r="C8" s="8">
        <f>SUM(C3:C7)</f>
        <v>423655.02</v>
      </c>
      <c r="D8" s="5">
        <f>SUMPRODUCT((C3:C7/$C$8),D3:D7)</f>
        <v>6.292199998243854E-2</v>
      </c>
    </row>
    <row r="9" spans="2:5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9"/>
  <sheetViews>
    <sheetView workbookViewId="0">
      <selection activeCell="F8" sqref="F8"/>
    </sheetView>
  </sheetViews>
  <sheetFormatPr defaultRowHeight="15" x14ac:dyDescent="0.25"/>
  <cols>
    <col min="1" max="1" width="4.140625" customWidth="1"/>
    <col min="2" max="2" width="30.85546875" bestFit="1" customWidth="1"/>
    <col min="3" max="3" width="11.5703125" bestFit="1" customWidth="1"/>
    <col min="4" max="4" width="13.85546875" bestFit="1" customWidth="1"/>
    <col min="5" max="5" width="10.28515625" customWidth="1"/>
    <col min="6" max="6" width="12.28515625" customWidth="1"/>
  </cols>
  <sheetData>
    <row r="2" spans="2:6" x14ac:dyDescent="0.25">
      <c r="B2" s="4" t="s">
        <v>0</v>
      </c>
      <c r="C2" s="4" t="s">
        <v>8</v>
      </c>
      <c r="D2" s="4" t="s">
        <v>1</v>
      </c>
      <c r="E2" s="10" t="s">
        <v>9</v>
      </c>
      <c r="F2" s="10" t="s">
        <v>10</v>
      </c>
    </row>
    <row r="3" spans="2:6" x14ac:dyDescent="0.25">
      <c r="B3" t="s">
        <v>2</v>
      </c>
      <c r="C3" s="7">
        <v>72021.350000000006</v>
      </c>
      <c r="D3" s="2">
        <v>2.5000000000000001E-2</v>
      </c>
      <c r="E3" s="1">
        <f>C3/$C$8</f>
        <v>0.16999999197460236</v>
      </c>
      <c r="F3" s="2">
        <f>D3*E3</f>
        <v>4.2499997993650594E-3</v>
      </c>
    </row>
    <row r="4" spans="2:6" x14ac:dyDescent="0.25">
      <c r="B4" t="s">
        <v>3</v>
      </c>
      <c r="C4" s="7">
        <v>25419.31</v>
      </c>
      <c r="D4" s="2">
        <v>7.4099999999999999E-2</v>
      </c>
      <c r="E4" s="1">
        <f t="shared" ref="E4:E7" si="0">C4/$C$8</f>
        <v>6.0000020771617438E-2</v>
      </c>
      <c r="F4" s="2">
        <f t="shared" ref="F4:F7" si="1">D4*E4</f>
        <v>4.4460015391768522E-3</v>
      </c>
    </row>
    <row r="5" spans="2:6" x14ac:dyDescent="0.25">
      <c r="B5" t="s">
        <v>4</v>
      </c>
      <c r="C5" s="7">
        <v>97440.65</v>
      </c>
      <c r="D5" s="2">
        <v>4.3999999999999997E-2</v>
      </c>
      <c r="E5" s="1">
        <f t="shared" si="0"/>
        <v>0.22999998914210903</v>
      </c>
      <c r="F5" s="2">
        <f t="shared" si="1"/>
        <v>1.0119999522252798E-2</v>
      </c>
    </row>
    <row r="6" spans="2:6" x14ac:dyDescent="0.25">
      <c r="B6" t="s">
        <v>5</v>
      </c>
      <c r="C6" s="7">
        <v>88967.56</v>
      </c>
      <c r="D6" s="2">
        <v>5.0999999999999997E-2</v>
      </c>
      <c r="E6" s="1">
        <f t="shared" si="0"/>
        <v>0.21000001369038421</v>
      </c>
      <c r="F6" s="2">
        <f t="shared" si="1"/>
        <v>1.0710000698209593E-2</v>
      </c>
    </row>
    <row r="7" spans="2:6" x14ac:dyDescent="0.25">
      <c r="B7" t="s">
        <v>6</v>
      </c>
      <c r="C7" s="7">
        <v>139806.15</v>
      </c>
      <c r="D7" s="2">
        <v>0.1012</v>
      </c>
      <c r="E7" s="1">
        <f t="shared" si="0"/>
        <v>0.32999998442128692</v>
      </c>
      <c r="F7" s="2">
        <f t="shared" si="1"/>
        <v>3.3395998423434235E-2</v>
      </c>
    </row>
    <row r="8" spans="2:6" ht="15.75" thickBot="1" x14ac:dyDescent="0.3">
      <c r="B8" s="6" t="s">
        <v>7</v>
      </c>
      <c r="C8" s="8">
        <f>SUM(C3:C7)</f>
        <v>423655.02</v>
      </c>
      <c r="D8" s="5"/>
      <c r="E8" s="9"/>
      <c r="F8" s="5">
        <f>SUM(F3:F7)</f>
        <v>6.292199998243854E-2</v>
      </c>
    </row>
    <row r="9" spans="2:6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62"/>
  <sheetViews>
    <sheetView workbookViewId="0">
      <selection activeCell="E3" sqref="E3"/>
    </sheetView>
  </sheetViews>
  <sheetFormatPr defaultRowHeight="15" x14ac:dyDescent="0.25"/>
  <cols>
    <col min="2" max="2" width="10.7109375" bestFit="1" customWidth="1"/>
    <col min="3" max="3" width="32.5703125" bestFit="1" customWidth="1"/>
    <col min="4" max="4" width="5.85546875" bestFit="1" customWidth="1"/>
    <col min="5" max="5" width="11.28515625" bestFit="1" customWidth="1"/>
  </cols>
  <sheetData>
    <row r="2" spans="2:5" x14ac:dyDescent="0.25">
      <c r="B2" t="s">
        <v>11</v>
      </c>
      <c r="C2" t="s">
        <v>12</v>
      </c>
      <c r="D2" t="s">
        <v>13</v>
      </c>
      <c r="E2" t="s">
        <v>22</v>
      </c>
    </row>
    <row r="3" spans="2:5" x14ac:dyDescent="0.25">
      <c r="B3" s="11">
        <f>B4-7</f>
        <v>41407</v>
      </c>
      <c r="C3" t="s">
        <v>20</v>
      </c>
      <c r="D3" s="12">
        <v>98</v>
      </c>
      <c r="E3" s="13" t="e">
        <f ca="1">IF(ROW()&lt;12,NA(),AVERAGE(OFFSET(D3,-9,0,10,1)))</f>
        <v>#N/A</v>
      </c>
    </row>
    <row r="4" spans="2:5" x14ac:dyDescent="0.25">
      <c r="B4" s="11">
        <f t="shared" ref="B4:B60" si="0">B5-7</f>
        <v>41414</v>
      </c>
      <c r="C4" t="s">
        <v>14</v>
      </c>
      <c r="D4" s="12">
        <v>88</v>
      </c>
      <c r="E4" s="13" t="e">
        <f t="shared" ref="E4:E62" ca="1" si="1">IF(ROW()&lt;12,NA(),AVERAGE(OFFSET(D4,-9,0,10,1)))</f>
        <v>#N/A</v>
      </c>
    </row>
    <row r="5" spans="2:5" x14ac:dyDescent="0.25">
      <c r="B5" s="11">
        <f t="shared" si="0"/>
        <v>41421</v>
      </c>
      <c r="C5" t="s">
        <v>14</v>
      </c>
      <c r="D5" s="12">
        <v>84</v>
      </c>
      <c r="E5" s="13" t="e">
        <f t="shared" ca="1" si="1"/>
        <v>#N/A</v>
      </c>
    </row>
    <row r="6" spans="2:5" x14ac:dyDescent="0.25">
      <c r="B6" s="11">
        <f t="shared" si="0"/>
        <v>41428</v>
      </c>
      <c r="C6" t="s">
        <v>14</v>
      </c>
      <c r="D6" s="12">
        <v>94</v>
      </c>
      <c r="E6" s="13" t="e">
        <f t="shared" ca="1" si="1"/>
        <v>#N/A</v>
      </c>
    </row>
    <row r="7" spans="2:5" x14ac:dyDescent="0.25">
      <c r="B7" s="11">
        <f t="shared" si="0"/>
        <v>41435</v>
      </c>
      <c r="C7" t="s">
        <v>20</v>
      </c>
      <c r="D7" s="12">
        <v>85</v>
      </c>
      <c r="E7" s="13" t="e">
        <f t="shared" ca="1" si="1"/>
        <v>#N/A</v>
      </c>
    </row>
    <row r="8" spans="2:5" x14ac:dyDescent="0.25">
      <c r="B8" s="11">
        <f t="shared" si="0"/>
        <v>41442</v>
      </c>
      <c r="C8" t="s">
        <v>20</v>
      </c>
      <c r="D8" s="12">
        <v>88</v>
      </c>
      <c r="E8" s="13" t="e">
        <f t="shared" ca="1" si="1"/>
        <v>#N/A</v>
      </c>
    </row>
    <row r="9" spans="2:5" x14ac:dyDescent="0.25">
      <c r="B9" s="11">
        <f t="shared" si="0"/>
        <v>41449</v>
      </c>
      <c r="C9" t="s">
        <v>20</v>
      </c>
      <c r="D9" s="12">
        <v>89</v>
      </c>
      <c r="E9" s="13" t="e">
        <f t="shared" ca="1" si="1"/>
        <v>#N/A</v>
      </c>
    </row>
    <row r="10" spans="2:5" x14ac:dyDescent="0.25">
      <c r="B10" s="11">
        <f t="shared" si="0"/>
        <v>41456</v>
      </c>
      <c r="C10" t="s">
        <v>15</v>
      </c>
      <c r="D10" s="12">
        <v>84</v>
      </c>
      <c r="E10" s="13" t="e">
        <f t="shared" ca="1" si="1"/>
        <v>#N/A</v>
      </c>
    </row>
    <row r="11" spans="2:5" x14ac:dyDescent="0.25">
      <c r="B11" s="11">
        <f t="shared" si="0"/>
        <v>41463</v>
      </c>
      <c r="C11" t="s">
        <v>20</v>
      </c>
      <c r="D11" s="12">
        <v>84</v>
      </c>
      <c r="E11" s="13" t="e">
        <f t="shared" ca="1" si="1"/>
        <v>#N/A</v>
      </c>
    </row>
    <row r="12" spans="2:5" x14ac:dyDescent="0.25">
      <c r="B12" s="11">
        <f t="shared" si="0"/>
        <v>41470</v>
      </c>
      <c r="C12" t="s">
        <v>20</v>
      </c>
      <c r="D12" s="12">
        <v>97</v>
      </c>
      <c r="E12" s="13">
        <f t="shared" ca="1" si="1"/>
        <v>89.1</v>
      </c>
    </row>
    <row r="13" spans="2:5" x14ac:dyDescent="0.25">
      <c r="B13" s="11">
        <f t="shared" si="0"/>
        <v>41477</v>
      </c>
      <c r="C13" t="s">
        <v>20</v>
      </c>
      <c r="D13" s="12">
        <v>97</v>
      </c>
      <c r="E13" s="13">
        <f t="shared" ca="1" si="1"/>
        <v>89</v>
      </c>
    </row>
    <row r="14" spans="2:5" x14ac:dyDescent="0.25">
      <c r="B14" s="11">
        <f t="shared" si="0"/>
        <v>41484</v>
      </c>
      <c r="C14" t="s">
        <v>20</v>
      </c>
      <c r="D14" s="12">
        <v>84</v>
      </c>
      <c r="E14" s="13">
        <f t="shared" ca="1" si="1"/>
        <v>88.6</v>
      </c>
    </row>
    <row r="15" spans="2:5" x14ac:dyDescent="0.25">
      <c r="B15" s="11">
        <f t="shared" si="0"/>
        <v>41491</v>
      </c>
      <c r="C15" t="s">
        <v>15</v>
      </c>
      <c r="D15" s="12">
        <v>86</v>
      </c>
      <c r="E15" s="13">
        <f t="shared" ca="1" si="1"/>
        <v>88.8</v>
      </c>
    </row>
    <row r="16" spans="2:5" x14ac:dyDescent="0.25">
      <c r="B16" s="11">
        <f t="shared" si="0"/>
        <v>41498</v>
      </c>
      <c r="C16" t="s">
        <v>20</v>
      </c>
      <c r="D16" s="12">
        <v>89</v>
      </c>
      <c r="E16" s="13">
        <f t="shared" ca="1" si="1"/>
        <v>88.3</v>
      </c>
    </row>
    <row r="17" spans="2:5" x14ac:dyDescent="0.25">
      <c r="B17" s="11">
        <f t="shared" si="0"/>
        <v>41505</v>
      </c>
      <c r="C17" t="s">
        <v>20</v>
      </c>
      <c r="D17" s="12">
        <v>89</v>
      </c>
      <c r="E17" s="13">
        <f t="shared" ca="1" si="1"/>
        <v>88.7</v>
      </c>
    </row>
    <row r="18" spans="2:5" x14ac:dyDescent="0.25">
      <c r="B18" s="11">
        <f t="shared" si="0"/>
        <v>41512</v>
      </c>
      <c r="C18" t="s">
        <v>20</v>
      </c>
      <c r="D18" s="12">
        <v>93</v>
      </c>
      <c r="E18" s="13">
        <f t="shared" ca="1" si="1"/>
        <v>89.2</v>
      </c>
    </row>
    <row r="19" spans="2:5" x14ac:dyDescent="0.25">
      <c r="B19" s="11">
        <f t="shared" si="0"/>
        <v>41519</v>
      </c>
      <c r="C19" t="s">
        <v>20</v>
      </c>
      <c r="D19" s="12">
        <v>90</v>
      </c>
      <c r="E19" s="13">
        <f t="shared" ca="1" si="1"/>
        <v>89.3</v>
      </c>
    </row>
    <row r="20" spans="2:5" x14ac:dyDescent="0.25">
      <c r="B20" s="11">
        <f t="shared" si="0"/>
        <v>41526</v>
      </c>
      <c r="C20" t="s">
        <v>20</v>
      </c>
      <c r="D20" s="12">
        <v>90</v>
      </c>
      <c r="E20" s="13">
        <f t="shared" ca="1" si="1"/>
        <v>89.9</v>
      </c>
    </row>
    <row r="21" spans="2:5" x14ac:dyDescent="0.25">
      <c r="B21" s="11">
        <f t="shared" si="0"/>
        <v>41533</v>
      </c>
      <c r="C21" t="s">
        <v>20</v>
      </c>
      <c r="D21" s="12">
        <v>85</v>
      </c>
      <c r="E21" s="13">
        <f t="shared" ca="1" si="1"/>
        <v>90</v>
      </c>
    </row>
    <row r="22" spans="2:5" x14ac:dyDescent="0.25">
      <c r="B22" s="11">
        <f t="shared" si="0"/>
        <v>41540</v>
      </c>
      <c r="C22" t="s">
        <v>16</v>
      </c>
      <c r="D22" s="12">
        <v>90</v>
      </c>
      <c r="E22" s="13">
        <f t="shared" ca="1" si="1"/>
        <v>89.3</v>
      </c>
    </row>
    <row r="23" spans="2:5" x14ac:dyDescent="0.25">
      <c r="B23" s="11">
        <f t="shared" si="0"/>
        <v>41547</v>
      </c>
      <c r="C23" t="s">
        <v>15</v>
      </c>
      <c r="D23" s="12">
        <v>94</v>
      </c>
      <c r="E23" s="13">
        <f t="shared" ca="1" si="1"/>
        <v>89</v>
      </c>
    </row>
    <row r="24" spans="2:5" x14ac:dyDescent="0.25">
      <c r="B24" s="11">
        <f t="shared" si="0"/>
        <v>41554</v>
      </c>
      <c r="C24" t="s">
        <v>16</v>
      </c>
      <c r="D24" s="12">
        <v>93</v>
      </c>
      <c r="E24" s="13">
        <f t="shared" ca="1" si="1"/>
        <v>89.9</v>
      </c>
    </row>
    <row r="25" spans="2:5" x14ac:dyDescent="0.25">
      <c r="B25" s="11">
        <f t="shared" si="0"/>
        <v>41561</v>
      </c>
      <c r="C25" t="s">
        <v>17</v>
      </c>
      <c r="D25" s="12">
        <v>90</v>
      </c>
      <c r="E25" s="13">
        <f t="shared" ca="1" si="1"/>
        <v>90.3</v>
      </c>
    </row>
    <row r="26" spans="2:5" x14ac:dyDescent="0.25">
      <c r="B26" s="11">
        <f t="shared" si="0"/>
        <v>41568</v>
      </c>
      <c r="C26" t="s">
        <v>16</v>
      </c>
      <c r="D26" s="12">
        <v>100</v>
      </c>
      <c r="E26" s="13">
        <f t="shared" ca="1" si="1"/>
        <v>91.4</v>
      </c>
    </row>
    <row r="27" spans="2:5" x14ac:dyDescent="0.25">
      <c r="B27" s="11">
        <f t="shared" si="0"/>
        <v>41575</v>
      </c>
      <c r="C27" t="s">
        <v>16</v>
      </c>
      <c r="D27" s="12">
        <v>96</v>
      </c>
      <c r="E27" s="13">
        <f t="shared" ca="1" si="1"/>
        <v>92.1</v>
      </c>
    </row>
    <row r="28" spans="2:5" x14ac:dyDescent="0.25">
      <c r="B28" s="11">
        <f t="shared" si="0"/>
        <v>41582</v>
      </c>
      <c r="C28" t="s">
        <v>15</v>
      </c>
      <c r="D28" s="12">
        <v>92</v>
      </c>
      <c r="E28" s="13">
        <f t="shared" ca="1" si="1"/>
        <v>92</v>
      </c>
    </row>
    <row r="29" spans="2:5" x14ac:dyDescent="0.25">
      <c r="B29" s="11">
        <f t="shared" si="0"/>
        <v>41589</v>
      </c>
      <c r="C29" t="s">
        <v>16</v>
      </c>
      <c r="D29" s="12">
        <v>79</v>
      </c>
      <c r="E29" s="13">
        <f t="shared" ca="1" si="1"/>
        <v>90.9</v>
      </c>
    </row>
    <row r="30" spans="2:5" x14ac:dyDescent="0.25">
      <c r="B30" s="11">
        <f t="shared" si="0"/>
        <v>41596</v>
      </c>
      <c r="C30" t="s">
        <v>16</v>
      </c>
      <c r="D30" s="12">
        <v>78</v>
      </c>
      <c r="E30" s="13">
        <f t="shared" ca="1" si="1"/>
        <v>89.7</v>
      </c>
    </row>
    <row r="31" spans="2:5" x14ac:dyDescent="0.25">
      <c r="B31" s="11">
        <f t="shared" si="0"/>
        <v>41603</v>
      </c>
      <c r="C31" t="s">
        <v>16</v>
      </c>
      <c r="D31" s="12">
        <v>85</v>
      </c>
      <c r="E31" s="13">
        <f t="shared" ca="1" si="1"/>
        <v>89.7</v>
      </c>
    </row>
    <row r="32" spans="2:5" x14ac:dyDescent="0.25">
      <c r="B32" s="11">
        <f t="shared" si="0"/>
        <v>41610</v>
      </c>
      <c r="C32" t="s">
        <v>21</v>
      </c>
      <c r="D32" s="12">
        <v>82</v>
      </c>
      <c r="E32" s="13">
        <f t="shared" ca="1" si="1"/>
        <v>88.9</v>
      </c>
    </row>
    <row r="33" spans="2:5" x14ac:dyDescent="0.25">
      <c r="B33" s="11">
        <f t="shared" si="0"/>
        <v>41617</v>
      </c>
      <c r="C33" t="s">
        <v>15</v>
      </c>
      <c r="D33" s="12">
        <v>83</v>
      </c>
      <c r="E33" s="13">
        <f t="shared" ca="1" si="1"/>
        <v>87.8</v>
      </c>
    </row>
    <row r="34" spans="2:5" x14ac:dyDescent="0.25">
      <c r="B34" s="11">
        <f t="shared" si="0"/>
        <v>41624</v>
      </c>
      <c r="C34" t="s">
        <v>14</v>
      </c>
      <c r="D34" s="12">
        <v>83</v>
      </c>
      <c r="E34" s="13">
        <f t="shared" ca="1" si="1"/>
        <v>86.8</v>
      </c>
    </row>
    <row r="35" spans="2:5" x14ac:dyDescent="0.25">
      <c r="B35" s="11">
        <f t="shared" si="0"/>
        <v>41631</v>
      </c>
      <c r="C35" t="s">
        <v>14</v>
      </c>
      <c r="D35" s="12">
        <v>87</v>
      </c>
      <c r="E35" s="13">
        <f t="shared" ca="1" si="1"/>
        <v>86.5</v>
      </c>
    </row>
    <row r="36" spans="2:5" x14ac:dyDescent="0.25">
      <c r="B36" s="11">
        <f t="shared" si="0"/>
        <v>41638</v>
      </c>
      <c r="C36" t="s">
        <v>16</v>
      </c>
      <c r="D36" s="12">
        <v>90</v>
      </c>
      <c r="E36" s="13">
        <f t="shared" ca="1" si="1"/>
        <v>85.5</v>
      </c>
    </row>
    <row r="37" spans="2:5" x14ac:dyDescent="0.25">
      <c r="B37" s="11">
        <f t="shared" si="0"/>
        <v>41645</v>
      </c>
      <c r="C37" t="s">
        <v>15</v>
      </c>
      <c r="D37" s="12">
        <v>88</v>
      </c>
      <c r="E37" s="13">
        <f t="shared" ca="1" si="1"/>
        <v>84.7</v>
      </c>
    </row>
    <row r="38" spans="2:5" x14ac:dyDescent="0.25">
      <c r="B38" s="11">
        <f t="shared" si="0"/>
        <v>41652</v>
      </c>
      <c r="C38" t="s">
        <v>16</v>
      </c>
      <c r="D38" s="12">
        <v>96</v>
      </c>
      <c r="E38" s="13">
        <f t="shared" ca="1" si="1"/>
        <v>85.1</v>
      </c>
    </row>
    <row r="39" spans="2:5" x14ac:dyDescent="0.25">
      <c r="B39" s="11">
        <f t="shared" si="0"/>
        <v>41659</v>
      </c>
      <c r="C39" t="s">
        <v>15</v>
      </c>
      <c r="D39" s="12">
        <v>87</v>
      </c>
      <c r="E39" s="13">
        <f t="shared" ca="1" si="1"/>
        <v>85.9</v>
      </c>
    </row>
    <row r="40" spans="2:5" x14ac:dyDescent="0.25">
      <c r="B40" s="11">
        <f t="shared" si="0"/>
        <v>41666</v>
      </c>
      <c r="C40" t="s">
        <v>16</v>
      </c>
      <c r="D40" s="12">
        <v>84</v>
      </c>
      <c r="E40" s="13">
        <f t="shared" ca="1" si="1"/>
        <v>86.5</v>
      </c>
    </row>
    <row r="41" spans="2:5" x14ac:dyDescent="0.25">
      <c r="B41" s="11">
        <f t="shared" si="0"/>
        <v>41673</v>
      </c>
      <c r="C41" t="s">
        <v>16</v>
      </c>
      <c r="D41" s="12">
        <v>75</v>
      </c>
      <c r="E41" s="13">
        <f t="shared" ca="1" si="1"/>
        <v>85.5</v>
      </c>
    </row>
    <row r="42" spans="2:5" x14ac:dyDescent="0.25">
      <c r="B42" s="11">
        <f t="shared" si="0"/>
        <v>41680</v>
      </c>
      <c r="C42" t="s">
        <v>15</v>
      </c>
      <c r="D42" s="12">
        <v>83</v>
      </c>
      <c r="E42" s="13">
        <f t="shared" ca="1" si="1"/>
        <v>85.6</v>
      </c>
    </row>
    <row r="43" spans="2:5" x14ac:dyDescent="0.25">
      <c r="B43" s="11">
        <f t="shared" si="0"/>
        <v>41687</v>
      </c>
      <c r="C43" t="s">
        <v>16</v>
      </c>
      <c r="D43" s="12">
        <v>92</v>
      </c>
      <c r="E43" s="13">
        <f t="shared" ca="1" si="1"/>
        <v>86.5</v>
      </c>
    </row>
    <row r="44" spans="2:5" x14ac:dyDescent="0.25">
      <c r="B44" s="11">
        <f t="shared" si="0"/>
        <v>41694</v>
      </c>
      <c r="C44" t="s">
        <v>20</v>
      </c>
      <c r="D44" s="12">
        <v>85</v>
      </c>
      <c r="E44" s="13">
        <f t="shared" ca="1" si="1"/>
        <v>86.7</v>
      </c>
    </row>
    <row r="45" spans="2:5" x14ac:dyDescent="0.25">
      <c r="B45" s="11">
        <f t="shared" si="0"/>
        <v>41701</v>
      </c>
      <c r="C45" t="s">
        <v>15</v>
      </c>
      <c r="D45" s="12">
        <v>91</v>
      </c>
      <c r="E45" s="13">
        <f t="shared" ca="1" si="1"/>
        <v>87.1</v>
      </c>
    </row>
    <row r="46" spans="2:5" x14ac:dyDescent="0.25">
      <c r="B46" s="11">
        <f t="shared" si="0"/>
        <v>41708</v>
      </c>
      <c r="C46" t="s">
        <v>15</v>
      </c>
      <c r="D46" s="12">
        <v>95</v>
      </c>
      <c r="E46" s="13">
        <f t="shared" ca="1" si="1"/>
        <v>87.6</v>
      </c>
    </row>
    <row r="47" spans="2:5" x14ac:dyDescent="0.25">
      <c r="B47" s="11">
        <f t="shared" si="0"/>
        <v>41715</v>
      </c>
      <c r="C47" t="s">
        <v>16</v>
      </c>
      <c r="D47" s="12">
        <v>91</v>
      </c>
      <c r="E47" s="13">
        <f t="shared" ca="1" si="1"/>
        <v>87.9</v>
      </c>
    </row>
    <row r="48" spans="2:5" x14ac:dyDescent="0.25">
      <c r="B48" s="11">
        <f t="shared" si="0"/>
        <v>41722</v>
      </c>
      <c r="C48" t="s">
        <v>16</v>
      </c>
      <c r="D48" s="12">
        <v>87</v>
      </c>
      <c r="E48" s="13">
        <f t="shared" ca="1" si="1"/>
        <v>87</v>
      </c>
    </row>
    <row r="49" spans="2:5" x14ac:dyDescent="0.25">
      <c r="B49" s="11">
        <f t="shared" si="0"/>
        <v>41729</v>
      </c>
      <c r="C49" t="s">
        <v>16</v>
      </c>
      <c r="D49" s="12">
        <v>83</v>
      </c>
      <c r="E49" s="13">
        <f t="shared" ca="1" si="1"/>
        <v>86.6</v>
      </c>
    </row>
    <row r="50" spans="2:5" x14ac:dyDescent="0.25">
      <c r="B50" s="11">
        <f t="shared" si="0"/>
        <v>41736</v>
      </c>
      <c r="C50" t="s">
        <v>18</v>
      </c>
      <c r="D50" s="12">
        <v>80</v>
      </c>
      <c r="E50" s="13">
        <f t="shared" ca="1" si="1"/>
        <v>86.2</v>
      </c>
    </row>
    <row r="51" spans="2:5" x14ac:dyDescent="0.25">
      <c r="B51" s="11">
        <f t="shared" si="0"/>
        <v>41743</v>
      </c>
      <c r="C51" t="s">
        <v>20</v>
      </c>
      <c r="D51" s="12">
        <v>87</v>
      </c>
      <c r="E51" s="13">
        <f t="shared" ca="1" si="1"/>
        <v>87.4</v>
      </c>
    </row>
    <row r="52" spans="2:5" x14ac:dyDescent="0.25">
      <c r="B52" s="11">
        <f t="shared" si="0"/>
        <v>41750</v>
      </c>
      <c r="C52" t="s">
        <v>16</v>
      </c>
      <c r="D52" s="12">
        <v>85</v>
      </c>
      <c r="E52" s="13">
        <f t="shared" ca="1" si="1"/>
        <v>87.6</v>
      </c>
    </row>
    <row r="53" spans="2:5" x14ac:dyDescent="0.25">
      <c r="B53" s="11">
        <f t="shared" si="0"/>
        <v>41757</v>
      </c>
      <c r="C53" t="s">
        <v>15</v>
      </c>
      <c r="D53" s="12">
        <v>80</v>
      </c>
      <c r="E53" s="13">
        <f t="shared" ca="1" si="1"/>
        <v>86.4</v>
      </c>
    </row>
    <row r="54" spans="2:5" x14ac:dyDescent="0.25">
      <c r="B54" s="11">
        <f t="shared" si="0"/>
        <v>41764</v>
      </c>
      <c r="C54" t="s">
        <v>15</v>
      </c>
      <c r="D54" s="12">
        <v>78</v>
      </c>
      <c r="E54" s="13">
        <f t="shared" ca="1" si="1"/>
        <v>85.7</v>
      </c>
    </row>
    <row r="55" spans="2:5" x14ac:dyDescent="0.25">
      <c r="B55" s="11">
        <f t="shared" si="0"/>
        <v>41771</v>
      </c>
      <c r="C55" t="s">
        <v>16</v>
      </c>
      <c r="D55" s="12">
        <v>78</v>
      </c>
      <c r="E55" s="13">
        <f t="shared" ca="1" si="1"/>
        <v>84.4</v>
      </c>
    </row>
    <row r="56" spans="2:5" x14ac:dyDescent="0.25">
      <c r="B56" s="11">
        <f t="shared" si="0"/>
        <v>41778</v>
      </c>
      <c r="C56" t="s">
        <v>16</v>
      </c>
      <c r="D56" s="12">
        <v>83</v>
      </c>
      <c r="E56" s="13">
        <f t="shared" ca="1" si="1"/>
        <v>83.2</v>
      </c>
    </row>
    <row r="57" spans="2:5" x14ac:dyDescent="0.25">
      <c r="B57" s="11">
        <f t="shared" si="0"/>
        <v>41785</v>
      </c>
      <c r="C57" t="s">
        <v>16</v>
      </c>
      <c r="D57" s="12">
        <v>84</v>
      </c>
      <c r="E57" s="13">
        <f t="shared" ca="1" si="1"/>
        <v>82.5</v>
      </c>
    </row>
    <row r="58" spans="2:5" x14ac:dyDescent="0.25">
      <c r="B58" s="11">
        <f t="shared" si="0"/>
        <v>41792</v>
      </c>
      <c r="C58" t="s">
        <v>16</v>
      </c>
      <c r="D58" s="12">
        <v>84</v>
      </c>
      <c r="E58" s="13">
        <f t="shared" ca="1" si="1"/>
        <v>82.2</v>
      </c>
    </row>
    <row r="59" spans="2:5" x14ac:dyDescent="0.25">
      <c r="B59" s="11">
        <f t="shared" si="0"/>
        <v>41799</v>
      </c>
      <c r="C59" t="s">
        <v>15</v>
      </c>
      <c r="D59" s="12">
        <v>81</v>
      </c>
      <c r="E59" s="13">
        <f t="shared" ca="1" si="1"/>
        <v>82</v>
      </c>
    </row>
    <row r="60" spans="2:5" x14ac:dyDescent="0.25">
      <c r="B60" s="11">
        <f t="shared" si="0"/>
        <v>41806</v>
      </c>
      <c r="C60" t="s">
        <v>16</v>
      </c>
      <c r="D60" s="12">
        <v>87</v>
      </c>
      <c r="E60" s="13">
        <f t="shared" ca="1" si="1"/>
        <v>82.7</v>
      </c>
    </row>
    <row r="61" spans="2:5" x14ac:dyDescent="0.25">
      <c r="B61" s="11">
        <f>B62-7</f>
        <v>41813</v>
      </c>
      <c r="C61" t="s">
        <v>19</v>
      </c>
      <c r="D61" s="12">
        <v>94</v>
      </c>
      <c r="E61" s="13">
        <f t="shared" ca="1" si="1"/>
        <v>83.4</v>
      </c>
    </row>
    <row r="62" spans="2:5" x14ac:dyDescent="0.25">
      <c r="B62" s="11">
        <v>41820</v>
      </c>
      <c r="C62" t="s">
        <v>16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62"/>
  <sheetViews>
    <sheetView workbookViewId="0">
      <selection activeCell="F12" sqref="F12"/>
    </sheetView>
  </sheetViews>
  <sheetFormatPr defaultRowHeight="15" x14ac:dyDescent="0.25"/>
  <cols>
    <col min="2" max="2" width="10.7109375" bestFit="1" customWidth="1"/>
    <col min="3" max="3" width="32.5703125" bestFit="1" customWidth="1"/>
    <col min="4" max="4" width="5.85546875" bestFit="1" customWidth="1"/>
  </cols>
  <sheetData>
    <row r="2" spans="2:5" x14ac:dyDescent="0.25">
      <c r="B2" t="s">
        <v>11</v>
      </c>
      <c r="C2" t="s">
        <v>12</v>
      </c>
      <c r="D2" t="s">
        <v>13</v>
      </c>
      <c r="E2" t="s">
        <v>22</v>
      </c>
    </row>
    <row r="3" spans="2:5" x14ac:dyDescent="0.25">
      <c r="B3" s="11">
        <f>B4-7</f>
        <v>41407</v>
      </c>
      <c r="C3" t="s">
        <v>20</v>
      </c>
      <c r="D3" s="12">
        <v>98</v>
      </c>
      <c r="E3" s="13" t="e">
        <f ca="1">IF(ROW()&lt;12,NA(),AVERAGE(OFFSET(D3,-9,0,10,1)))</f>
        <v>#N/A</v>
      </c>
    </row>
    <row r="4" spans="2:5" x14ac:dyDescent="0.25">
      <c r="B4" s="11">
        <f t="shared" ref="B4:B60" si="0">B5-7</f>
        <v>41414</v>
      </c>
      <c r="C4" t="s">
        <v>14</v>
      </c>
      <c r="D4" s="12">
        <v>88</v>
      </c>
      <c r="E4" s="13" t="e">
        <f t="shared" ref="E4:E62" ca="1" si="1">IF(ROW()&lt;12,NA(),AVERAGE(OFFSET(D4,-9,0,10,1)))</f>
        <v>#N/A</v>
      </c>
    </row>
    <row r="5" spans="2:5" x14ac:dyDescent="0.25">
      <c r="B5" s="11">
        <f t="shared" si="0"/>
        <v>41421</v>
      </c>
      <c r="C5" t="s">
        <v>14</v>
      </c>
      <c r="D5" s="12">
        <v>84</v>
      </c>
      <c r="E5" s="13" t="e">
        <f t="shared" ca="1" si="1"/>
        <v>#N/A</v>
      </c>
    </row>
    <row r="6" spans="2:5" x14ac:dyDescent="0.25">
      <c r="B6" s="11">
        <f t="shared" si="0"/>
        <v>41428</v>
      </c>
      <c r="C6" t="s">
        <v>14</v>
      </c>
      <c r="D6" s="12">
        <v>94</v>
      </c>
      <c r="E6" s="13" t="e">
        <f t="shared" ca="1" si="1"/>
        <v>#N/A</v>
      </c>
    </row>
    <row r="7" spans="2:5" x14ac:dyDescent="0.25">
      <c r="B7" s="11">
        <f t="shared" si="0"/>
        <v>41435</v>
      </c>
      <c r="C7" t="s">
        <v>20</v>
      </c>
      <c r="D7" s="12">
        <v>85</v>
      </c>
      <c r="E7" s="13" t="e">
        <f t="shared" ca="1" si="1"/>
        <v>#N/A</v>
      </c>
    </row>
    <row r="8" spans="2:5" x14ac:dyDescent="0.25">
      <c r="B8" s="11">
        <f t="shared" si="0"/>
        <v>41442</v>
      </c>
      <c r="C8" t="s">
        <v>20</v>
      </c>
      <c r="D8" s="12">
        <v>88</v>
      </c>
      <c r="E8" s="13" t="e">
        <f t="shared" ca="1" si="1"/>
        <v>#N/A</v>
      </c>
    </row>
    <row r="9" spans="2:5" x14ac:dyDescent="0.25">
      <c r="B9" s="11">
        <f t="shared" si="0"/>
        <v>41449</v>
      </c>
      <c r="C9" t="s">
        <v>20</v>
      </c>
      <c r="D9" s="12">
        <v>89</v>
      </c>
      <c r="E9" s="13" t="e">
        <f t="shared" ca="1" si="1"/>
        <v>#N/A</v>
      </c>
    </row>
    <row r="10" spans="2:5" x14ac:dyDescent="0.25">
      <c r="B10" s="11">
        <f t="shared" si="0"/>
        <v>41456</v>
      </c>
      <c r="C10" t="s">
        <v>15</v>
      </c>
      <c r="D10" s="12">
        <v>84</v>
      </c>
      <c r="E10" s="13" t="e">
        <f t="shared" ca="1" si="1"/>
        <v>#N/A</v>
      </c>
    </row>
    <row r="11" spans="2:5" x14ac:dyDescent="0.25">
      <c r="B11" s="11">
        <f t="shared" si="0"/>
        <v>41463</v>
      </c>
      <c r="C11" t="s">
        <v>20</v>
      </c>
      <c r="D11" s="12">
        <v>84</v>
      </c>
      <c r="E11" s="13" t="e">
        <f t="shared" ca="1" si="1"/>
        <v>#N/A</v>
      </c>
    </row>
    <row r="12" spans="2:5" x14ac:dyDescent="0.25">
      <c r="B12" s="11">
        <f t="shared" si="0"/>
        <v>41470</v>
      </c>
      <c r="C12" t="s">
        <v>20</v>
      </c>
      <c r="D12" s="12">
        <v>97</v>
      </c>
      <c r="E12" s="13">
        <f t="shared" ca="1" si="1"/>
        <v>89.1</v>
      </c>
    </row>
    <row r="13" spans="2:5" x14ac:dyDescent="0.25">
      <c r="B13" s="11">
        <f t="shared" si="0"/>
        <v>41477</v>
      </c>
      <c r="C13" t="s">
        <v>20</v>
      </c>
      <c r="D13" s="12">
        <v>97</v>
      </c>
      <c r="E13" s="13">
        <f t="shared" ca="1" si="1"/>
        <v>89</v>
      </c>
    </row>
    <row r="14" spans="2:5" x14ac:dyDescent="0.25">
      <c r="B14" s="11">
        <f t="shared" si="0"/>
        <v>41484</v>
      </c>
      <c r="C14" t="s">
        <v>20</v>
      </c>
      <c r="D14" s="12">
        <v>84</v>
      </c>
      <c r="E14" s="13">
        <f t="shared" ca="1" si="1"/>
        <v>88.6</v>
      </c>
    </row>
    <row r="15" spans="2:5" x14ac:dyDescent="0.25">
      <c r="B15" s="11">
        <f t="shared" si="0"/>
        <v>41491</v>
      </c>
      <c r="C15" t="s">
        <v>15</v>
      </c>
      <c r="D15" s="12">
        <v>86</v>
      </c>
      <c r="E15" s="13">
        <f t="shared" ca="1" si="1"/>
        <v>88.8</v>
      </c>
    </row>
    <row r="16" spans="2:5" x14ac:dyDescent="0.25">
      <c r="B16" s="11">
        <f t="shared" si="0"/>
        <v>41498</v>
      </c>
      <c r="C16" t="s">
        <v>20</v>
      </c>
      <c r="D16" s="12">
        <v>89</v>
      </c>
      <c r="E16" s="13">
        <f t="shared" ca="1" si="1"/>
        <v>88.3</v>
      </c>
    </row>
    <row r="17" spans="2:5" x14ac:dyDescent="0.25">
      <c r="B17" s="11">
        <f t="shared" si="0"/>
        <v>41505</v>
      </c>
      <c r="C17" t="s">
        <v>20</v>
      </c>
      <c r="D17" s="12">
        <v>89</v>
      </c>
      <c r="E17" s="13">
        <f t="shared" ca="1" si="1"/>
        <v>88.7</v>
      </c>
    </row>
    <row r="18" spans="2:5" x14ac:dyDescent="0.25">
      <c r="B18" s="11">
        <f t="shared" si="0"/>
        <v>41512</v>
      </c>
      <c r="C18" t="s">
        <v>20</v>
      </c>
      <c r="D18" s="12">
        <v>93</v>
      </c>
      <c r="E18" s="13">
        <f t="shared" ca="1" si="1"/>
        <v>89.2</v>
      </c>
    </row>
    <row r="19" spans="2:5" x14ac:dyDescent="0.25">
      <c r="B19" s="11">
        <f t="shared" si="0"/>
        <v>41519</v>
      </c>
      <c r="C19" t="s">
        <v>20</v>
      </c>
      <c r="D19" s="12">
        <v>90</v>
      </c>
      <c r="E19" s="13">
        <f t="shared" ca="1" si="1"/>
        <v>89.3</v>
      </c>
    </row>
    <row r="20" spans="2:5" x14ac:dyDescent="0.25">
      <c r="B20" s="11">
        <f t="shared" si="0"/>
        <v>41526</v>
      </c>
      <c r="C20" t="s">
        <v>20</v>
      </c>
      <c r="D20" s="12">
        <v>90</v>
      </c>
      <c r="E20" s="13">
        <f t="shared" ca="1" si="1"/>
        <v>89.9</v>
      </c>
    </row>
    <row r="21" spans="2:5" x14ac:dyDescent="0.25">
      <c r="B21" s="11">
        <f t="shared" si="0"/>
        <v>41533</v>
      </c>
      <c r="C21" t="s">
        <v>20</v>
      </c>
      <c r="D21" s="12">
        <v>85</v>
      </c>
      <c r="E21" s="13">
        <f t="shared" ca="1" si="1"/>
        <v>90</v>
      </c>
    </row>
    <row r="22" spans="2:5" x14ac:dyDescent="0.25">
      <c r="B22" s="11">
        <f t="shared" si="0"/>
        <v>41540</v>
      </c>
      <c r="C22" t="s">
        <v>16</v>
      </c>
      <c r="D22" s="12">
        <v>90</v>
      </c>
      <c r="E22" s="13">
        <f t="shared" ca="1" si="1"/>
        <v>89.3</v>
      </c>
    </row>
    <row r="23" spans="2:5" x14ac:dyDescent="0.25">
      <c r="B23" s="11">
        <f t="shared" si="0"/>
        <v>41547</v>
      </c>
      <c r="C23" t="s">
        <v>15</v>
      </c>
      <c r="D23" s="12">
        <v>94</v>
      </c>
      <c r="E23" s="13">
        <f t="shared" ca="1" si="1"/>
        <v>89</v>
      </c>
    </row>
    <row r="24" spans="2:5" x14ac:dyDescent="0.25">
      <c r="B24" s="11">
        <f t="shared" si="0"/>
        <v>41554</v>
      </c>
      <c r="C24" t="s">
        <v>16</v>
      </c>
      <c r="D24" s="12">
        <v>93</v>
      </c>
      <c r="E24" s="13">
        <f t="shared" ca="1" si="1"/>
        <v>89.9</v>
      </c>
    </row>
    <row r="25" spans="2:5" x14ac:dyDescent="0.25">
      <c r="B25" s="11">
        <f t="shared" si="0"/>
        <v>41561</v>
      </c>
      <c r="C25" t="s">
        <v>17</v>
      </c>
      <c r="D25" s="12">
        <v>90</v>
      </c>
      <c r="E25" s="13">
        <f t="shared" ca="1" si="1"/>
        <v>90.3</v>
      </c>
    </row>
    <row r="26" spans="2:5" x14ac:dyDescent="0.25">
      <c r="B26" s="11">
        <f t="shared" si="0"/>
        <v>41568</v>
      </c>
      <c r="C26" t="s">
        <v>16</v>
      </c>
      <c r="D26" s="12">
        <v>100</v>
      </c>
      <c r="E26" s="13">
        <f ca="1">IF(ROW()&lt;12,NA(),AVERAGE(OFFSET(D26,-9,0,10,1)))</f>
        <v>91.4</v>
      </c>
    </row>
    <row r="27" spans="2:5" x14ac:dyDescent="0.25">
      <c r="B27" s="11">
        <f t="shared" si="0"/>
        <v>41575</v>
      </c>
      <c r="C27" t="s">
        <v>16</v>
      </c>
      <c r="D27" s="12">
        <v>96</v>
      </c>
      <c r="E27" s="13">
        <f t="shared" ca="1" si="1"/>
        <v>92.1</v>
      </c>
    </row>
    <row r="28" spans="2:5" x14ac:dyDescent="0.25">
      <c r="B28" s="11">
        <f t="shared" si="0"/>
        <v>41582</v>
      </c>
      <c r="C28" t="s">
        <v>15</v>
      </c>
      <c r="D28" s="12">
        <v>92</v>
      </c>
      <c r="E28" s="13">
        <f t="shared" ca="1" si="1"/>
        <v>92</v>
      </c>
    </row>
    <row r="29" spans="2:5" x14ac:dyDescent="0.25">
      <c r="B29" s="11">
        <f t="shared" si="0"/>
        <v>41589</v>
      </c>
      <c r="C29" t="s">
        <v>16</v>
      </c>
      <c r="D29" s="12">
        <v>79</v>
      </c>
      <c r="E29" s="13">
        <f t="shared" ca="1" si="1"/>
        <v>90.9</v>
      </c>
    </row>
    <row r="30" spans="2:5" x14ac:dyDescent="0.25">
      <c r="B30" s="11">
        <f t="shared" si="0"/>
        <v>41596</v>
      </c>
      <c r="C30" t="s">
        <v>16</v>
      </c>
      <c r="D30" s="12">
        <v>78</v>
      </c>
      <c r="E30" s="13">
        <f t="shared" ca="1" si="1"/>
        <v>89.7</v>
      </c>
    </row>
    <row r="31" spans="2:5" x14ac:dyDescent="0.25">
      <c r="B31" s="11">
        <f t="shared" si="0"/>
        <v>41603</v>
      </c>
      <c r="C31" t="s">
        <v>16</v>
      </c>
      <c r="D31" s="12">
        <v>85</v>
      </c>
      <c r="E31" s="13">
        <f t="shared" ca="1" si="1"/>
        <v>89.7</v>
      </c>
    </row>
    <row r="32" spans="2:5" x14ac:dyDescent="0.25">
      <c r="B32" s="11">
        <f t="shared" si="0"/>
        <v>41610</v>
      </c>
      <c r="C32" t="s">
        <v>21</v>
      </c>
      <c r="D32" s="12">
        <v>82</v>
      </c>
      <c r="E32" s="13">
        <f t="shared" ca="1" si="1"/>
        <v>88.9</v>
      </c>
    </row>
    <row r="33" spans="2:5" x14ac:dyDescent="0.25">
      <c r="B33" s="11">
        <f t="shared" si="0"/>
        <v>41617</v>
      </c>
      <c r="C33" t="s">
        <v>15</v>
      </c>
      <c r="D33" s="12">
        <v>83</v>
      </c>
      <c r="E33" s="13">
        <f t="shared" ca="1" si="1"/>
        <v>87.8</v>
      </c>
    </row>
    <row r="34" spans="2:5" x14ac:dyDescent="0.25">
      <c r="B34" s="11">
        <f t="shared" si="0"/>
        <v>41624</v>
      </c>
      <c r="C34" t="s">
        <v>14</v>
      </c>
      <c r="D34" s="12">
        <v>83</v>
      </c>
      <c r="E34" s="13">
        <f t="shared" ca="1" si="1"/>
        <v>86.8</v>
      </c>
    </row>
    <row r="35" spans="2:5" x14ac:dyDescent="0.25">
      <c r="B35" s="11">
        <f t="shared" si="0"/>
        <v>41631</v>
      </c>
      <c r="C35" t="s">
        <v>14</v>
      </c>
      <c r="D35" s="12">
        <v>87</v>
      </c>
      <c r="E35" s="13">
        <f t="shared" ca="1" si="1"/>
        <v>86.5</v>
      </c>
    </row>
    <row r="36" spans="2:5" x14ac:dyDescent="0.25">
      <c r="B36" s="11">
        <f t="shared" si="0"/>
        <v>41638</v>
      </c>
      <c r="C36" t="s">
        <v>16</v>
      </c>
      <c r="D36" s="12">
        <v>90</v>
      </c>
      <c r="E36" s="13">
        <f t="shared" ca="1" si="1"/>
        <v>85.5</v>
      </c>
    </row>
    <row r="37" spans="2:5" x14ac:dyDescent="0.25">
      <c r="B37" s="11">
        <f t="shared" si="0"/>
        <v>41645</v>
      </c>
      <c r="C37" t="s">
        <v>15</v>
      </c>
      <c r="D37" s="12">
        <v>88</v>
      </c>
      <c r="E37" s="13">
        <f t="shared" ca="1" si="1"/>
        <v>84.7</v>
      </c>
    </row>
    <row r="38" spans="2:5" x14ac:dyDescent="0.25">
      <c r="B38" s="11">
        <f t="shared" si="0"/>
        <v>41652</v>
      </c>
      <c r="C38" t="s">
        <v>16</v>
      </c>
      <c r="D38" s="12">
        <v>96</v>
      </c>
      <c r="E38" s="13">
        <f t="shared" ca="1" si="1"/>
        <v>85.1</v>
      </c>
    </row>
    <row r="39" spans="2:5" x14ac:dyDescent="0.25">
      <c r="B39" s="11">
        <f t="shared" si="0"/>
        <v>41659</v>
      </c>
      <c r="C39" t="s">
        <v>15</v>
      </c>
      <c r="D39" s="12">
        <v>87</v>
      </c>
      <c r="E39" s="13">
        <f t="shared" ca="1" si="1"/>
        <v>85.9</v>
      </c>
    </row>
    <row r="40" spans="2:5" x14ac:dyDescent="0.25">
      <c r="B40" s="11">
        <f t="shared" si="0"/>
        <v>41666</v>
      </c>
      <c r="C40" t="s">
        <v>16</v>
      </c>
      <c r="D40" s="12">
        <v>84</v>
      </c>
      <c r="E40" s="13">
        <f t="shared" ca="1" si="1"/>
        <v>86.5</v>
      </c>
    </row>
    <row r="41" spans="2:5" x14ac:dyDescent="0.25">
      <c r="B41" s="11">
        <f t="shared" si="0"/>
        <v>41673</v>
      </c>
      <c r="C41" t="s">
        <v>16</v>
      </c>
      <c r="D41" s="12">
        <v>75</v>
      </c>
      <c r="E41" s="13">
        <f t="shared" ca="1" si="1"/>
        <v>85.5</v>
      </c>
    </row>
    <row r="42" spans="2:5" x14ac:dyDescent="0.25">
      <c r="B42" s="11">
        <f t="shared" si="0"/>
        <v>41680</v>
      </c>
      <c r="C42" t="s">
        <v>15</v>
      </c>
      <c r="D42" s="12">
        <v>83</v>
      </c>
      <c r="E42" s="13">
        <f t="shared" ca="1" si="1"/>
        <v>85.6</v>
      </c>
    </row>
    <row r="43" spans="2:5" x14ac:dyDescent="0.25">
      <c r="B43" s="11">
        <f t="shared" si="0"/>
        <v>41687</v>
      </c>
      <c r="C43" t="s">
        <v>16</v>
      </c>
      <c r="D43" s="12">
        <v>92</v>
      </c>
      <c r="E43" s="13">
        <f t="shared" ca="1" si="1"/>
        <v>86.5</v>
      </c>
    </row>
    <row r="44" spans="2:5" x14ac:dyDescent="0.25">
      <c r="B44" s="11">
        <f t="shared" si="0"/>
        <v>41694</v>
      </c>
      <c r="C44" t="s">
        <v>20</v>
      </c>
      <c r="D44" s="12">
        <v>85</v>
      </c>
      <c r="E44" s="13">
        <f t="shared" ca="1" si="1"/>
        <v>86.7</v>
      </c>
    </row>
    <row r="45" spans="2:5" x14ac:dyDescent="0.25">
      <c r="B45" s="11">
        <f t="shared" si="0"/>
        <v>41701</v>
      </c>
      <c r="C45" t="s">
        <v>15</v>
      </c>
      <c r="D45" s="12">
        <v>91</v>
      </c>
      <c r="E45" s="13">
        <f t="shared" ca="1" si="1"/>
        <v>87.1</v>
      </c>
    </row>
    <row r="46" spans="2:5" x14ac:dyDescent="0.25">
      <c r="B46" s="11">
        <f t="shared" si="0"/>
        <v>41708</v>
      </c>
      <c r="C46" t="s">
        <v>15</v>
      </c>
      <c r="D46" s="12">
        <v>95</v>
      </c>
      <c r="E46" s="13">
        <f t="shared" ca="1" si="1"/>
        <v>87.6</v>
      </c>
    </row>
    <row r="47" spans="2:5" x14ac:dyDescent="0.25">
      <c r="B47" s="11">
        <f t="shared" si="0"/>
        <v>41715</v>
      </c>
      <c r="C47" t="s">
        <v>16</v>
      </c>
      <c r="D47" s="12">
        <v>91</v>
      </c>
      <c r="E47" s="13">
        <f t="shared" ca="1" si="1"/>
        <v>87.9</v>
      </c>
    </row>
    <row r="48" spans="2:5" x14ac:dyDescent="0.25">
      <c r="B48" s="11">
        <f t="shared" si="0"/>
        <v>41722</v>
      </c>
      <c r="C48" t="s">
        <v>16</v>
      </c>
      <c r="D48" s="12">
        <v>87</v>
      </c>
      <c r="E48" s="13">
        <f t="shared" ca="1" si="1"/>
        <v>87</v>
      </c>
    </row>
    <row r="49" spans="2:5" x14ac:dyDescent="0.25">
      <c r="B49" s="11">
        <f t="shared" si="0"/>
        <v>41729</v>
      </c>
      <c r="C49" t="s">
        <v>16</v>
      </c>
      <c r="D49" s="12">
        <v>83</v>
      </c>
      <c r="E49" s="13">
        <f t="shared" ca="1" si="1"/>
        <v>86.6</v>
      </c>
    </row>
    <row r="50" spans="2:5" x14ac:dyDescent="0.25">
      <c r="B50" s="11">
        <f t="shared" si="0"/>
        <v>41736</v>
      </c>
      <c r="C50" t="s">
        <v>18</v>
      </c>
      <c r="D50" s="12">
        <v>80</v>
      </c>
      <c r="E50" s="13">
        <f t="shared" ca="1" si="1"/>
        <v>86.2</v>
      </c>
    </row>
    <row r="51" spans="2:5" x14ac:dyDescent="0.25">
      <c r="B51" s="11">
        <f t="shared" si="0"/>
        <v>41743</v>
      </c>
      <c r="C51" t="s">
        <v>20</v>
      </c>
      <c r="D51" s="12">
        <v>87</v>
      </c>
      <c r="E51" s="13">
        <f t="shared" ca="1" si="1"/>
        <v>87.4</v>
      </c>
    </row>
    <row r="52" spans="2:5" x14ac:dyDescent="0.25">
      <c r="B52" s="11">
        <f t="shared" si="0"/>
        <v>41750</v>
      </c>
      <c r="C52" t="s">
        <v>16</v>
      </c>
      <c r="D52" s="12">
        <v>85</v>
      </c>
      <c r="E52" s="13">
        <f t="shared" ca="1" si="1"/>
        <v>87.6</v>
      </c>
    </row>
    <row r="53" spans="2:5" x14ac:dyDescent="0.25">
      <c r="B53" s="11">
        <f t="shared" si="0"/>
        <v>41757</v>
      </c>
      <c r="C53" t="s">
        <v>15</v>
      </c>
      <c r="D53" s="12">
        <v>80</v>
      </c>
      <c r="E53" s="13">
        <f t="shared" ca="1" si="1"/>
        <v>86.4</v>
      </c>
    </row>
    <row r="54" spans="2:5" x14ac:dyDescent="0.25">
      <c r="B54" s="11">
        <f t="shared" si="0"/>
        <v>41764</v>
      </c>
      <c r="C54" t="s">
        <v>15</v>
      </c>
      <c r="D54" s="12">
        <v>78</v>
      </c>
      <c r="E54" s="13">
        <f t="shared" ca="1" si="1"/>
        <v>85.7</v>
      </c>
    </row>
    <row r="55" spans="2:5" x14ac:dyDescent="0.25">
      <c r="B55" s="11">
        <f t="shared" si="0"/>
        <v>41771</v>
      </c>
      <c r="C55" t="s">
        <v>16</v>
      </c>
      <c r="D55" s="12">
        <v>78</v>
      </c>
      <c r="E55" s="13">
        <f t="shared" ca="1" si="1"/>
        <v>84.4</v>
      </c>
    </row>
    <row r="56" spans="2:5" x14ac:dyDescent="0.25">
      <c r="B56" s="11">
        <f t="shared" si="0"/>
        <v>41778</v>
      </c>
      <c r="C56" t="s">
        <v>16</v>
      </c>
      <c r="D56" s="12">
        <v>83</v>
      </c>
      <c r="E56" s="13">
        <f t="shared" ca="1" si="1"/>
        <v>83.2</v>
      </c>
    </row>
    <row r="57" spans="2:5" x14ac:dyDescent="0.25">
      <c r="B57" s="11">
        <f t="shared" si="0"/>
        <v>41785</v>
      </c>
      <c r="C57" t="s">
        <v>16</v>
      </c>
      <c r="D57" s="12">
        <v>84</v>
      </c>
      <c r="E57" s="13">
        <f t="shared" ca="1" si="1"/>
        <v>82.5</v>
      </c>
    </row>
    <row r="58" spans="2:5" x14ac:dyDescent="0.25">
      <c r="B58" s="11">
        <f t="shared" si="0"/>
        <v>41792</v>
      </c>
      <c r="C58" t="s">
        <v>16</v>
      </c>
      <c r="D58" s="12">
        <v>84</v>
      </c>
      <c r="E58" s="13">
        <f t="shared" ca="1" si="1"/>
        <v>82.2</v>
      </c>
    </row>
    <row r="59" spans="2:5" x14ac:dyDescent="0.25">
      <c r="B59" s="11">
        <f t="shared" si="0"/>
        <v>41799</v>
      </c>
      <c r="C59" t="s">
        <v>15</v>
      </c>
      <c r="D59" s="12">
        <v>81</v>
      </c>
      <c r="E59" s="13">
        <f t="shared" ca="1" si="1"/>
        <v>82</v>
      </c>
    </row>
    <row r="60" spans="2:5" x14ac:dyDescent="0.25">
      <c r="B60" s="11">
        <f t="shared" si="0"/>
        <v>41806</v>
      </c>
      <c r="C60" t="s">
        <v>16</v>
      </c>
      <c r="D60" s="12">
        <v>87</v>
      </c>
      <c r="E60" s="13">
        <f t="shared" ca="1" si="1"/>
        <v>82.7</v>
      </c>
    </row>
    <row r="61" spans="2:5" x14ac:dyDescent="0.25">
      <c r="B61" s="11">
        <f>B62-7</f>
        <v>41813</v>
      </c>
      <c r="C61" t="s">
        <v>19</v>
      </c>
      <c r="D61" s="12">
        <v>94</v>
      </c>
      <c r="E61" s="13">
        <f t="shared" ca="1" si="1"/>
        <v>83.4</v>
      </c>
    </row>
    <row r="62" spans="2:5" x14ac:dyDescent="0.25">
      <c r="B62" s="11">
        <v>41820</v>
      </c>
      <c r="C62" t="s">
        <v>16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M28"/>
  <sheetViews>
    <sheetView workbookViewId="0">
      <selection activeCell="H3" sqref="H3"/>
    </sheetView>
  </sheetViews>
  <sheetFormatPr defaultRowHeight="15" x14ac:dyDescent="0.25"/>
  <cols>
    <col min="3" max="3" width="11.5703125" bestFit="1" customWidth="1"/>
    <col min="4" max="4" width="11.5703125" customWidth="1"/>
    <col min="5" max="5" width="11.7109375" customWidth="1"/>
    <col min="6" max="6" width="3" customWidth="1"/>
    <col min="7" max="7" width="15.28515625" bestFit="1" customWidth="1"/>
  </cols>
  <sheetData>
    <row r="2" spans="2:13" ht="32.25" customHeight="1" x14ac:dyDescent="0.25">
      <c r="B2" s="15" t="s">
        <v>23</v>
      </c>
      <c r="C2" s="15" t="s">
        <v>24</v>
      </c>
      <c r="D2" s="15" t="s">
        <v>25</v>
      </c>
      <c r="E2" s="15" t="s">
        <v>26</v>
      </c>
      <c r="G2" s="17" t="s">
        <v>27</v>
      </c>
      <c r="H2" s="16">
        <v>0.3</v>
      </c>
    </row>
    <row r="3" spans="2:13" x14ac:dyDescent="0.25">
      <c r="B3">
        <v>1</v>
      </c>
      <c r="C3" s="14">
        <v>412</v>
      </c>
      <c r="D3" s="14"/>
      <c r="E3" s="14">
        <f>C3</f>
        <v>412</v>
      </c>
    </row>
    <row r="4" spans="2:13" x14ac:dyDescent="0.25">
      <c r="B4">
        <v>2</v>
      </c>
      <c r="C4" s="14">
        <v>634.48</v>
      </c>
      <c r="D4" s="14"/>
      <c r="E4" s="14">
        <f>(C3*$H$2)+(E3*(1-$H$2))</f>
        <v>412</v>
      </c>
    </row>
    <row r="5" spans="2:13" x14ac:dyDescent="0.25">
      <c r="B5">
        <v>3</v>
      </c>
      <c r="C5" s="14">
        <v>989.79</v>
      </c>
      <c r="D5" s="14"/>
      <c r="E5" s="14">
        <f t="shared" ref="E5:E28" si="0">(C4*$H$2)+(E4*(1-$H$2))</f>
        <v>478.74399999999997</v>
      </c>
      <c r="I5" s="18"/>
      <c r="J5" s="18"/>
      <c r="K5" s="18"/>
    </row>
    <row r="6" spans="2:13" x14ac:dyDescent="0.25">
      <c r="B6">
        <v>4</v>
      </c>
      <c r="C6" s="14">
        <v>1326.32</v>
      </c>
      <c r="D6" s="14"/>
      <c r="E6" s="14">
        <f t="shared" si="0"/>
        <v>632.05779999999993</v>
      </c>
      <c r="I6" s="18"/>
      <c r="J6" s="18"/>
      <c r="K6" s="18"/>
      <c r="L6" s="18"/>
    </row>
    <row r="7" spans="2:13" x14ac:dyDescent="0.25">
      <c r="B7">
        <v>5</v>
      </c>
      <c r="C7" s="14">
        <v>1485.48</v>
      </c>
      <c r="D7" s="14"/>
      <c r="E7" s="14">
        <f t="shared" si="0"/>
        <v>840.33645999999987</v>
      </c>
      <c r="I7" s="18"/>
      <c r="J7" s="18"/>
      <c r="K7" s="18"/>
      <c r="L7" s="18"/>
      <c r="M7" s="18"/>
    </row>
    <row r="8" spans="2:13" x14ac:dyDescent="0.25">
      <c r="B8">
        <v>6</v>
      </c>
      <c r="C8" s="14">
        <v>1589.46</v>
      </c>
      <c r="D8" s="14"/>
      <c r="E8" s="14">
        <f t="shared" si="0"/>
        <v>1033.8795219999997</v>
      </c>
    </row>
    <row r="9" spans="2:13" x14ac:dyDescent="0.25">
      <c r="B9">
        <v>7</v>
      </c>
      <c r="C9" s="14">
        <v>1780.2</v>
      </c>
      <c r="D9" s="14">
        <f>AVERAGE(C3:C8)</f>
        <v>1072.9216666666666</v>
      </c>
      <c r="E9" s="14">
        <f t="shared" si="0"/>
        <v>1200.5536653999998</v>
      </c>
      <c r="G9" s="18"/>
    </row>
    <row r="10" spans="2:13" x14ac:dyDescent="0.25">
      <c r="B10">
        <v>8</v>
      </c>
      <c r="C10" s="14">
        <v>2510.08</v>
      </c>
      <c r="D10" s="14">
        <f t="shared" ref="D10:D28" si="1">AVERAGE(C4:C9)</f>
        <v>1300.9549999999999</v>
      </c>
      <c r="E10" s="14">
        <f t="shared" si="0"/>
        <v>1374.4475657799999</v>
      </c>
      <c r="G10" s="18"/>
    </row>
    <row r="11" spans="2:13" x14ac:dyDescent="0.25">
      <c r="B11">
        <v>9</v>
      </c>
      <c r="C11" s="14">
        <v>3463.91</v>
      </c>
      <c r="D11" s="14">
        <f t="shared" si="1"/>
        <v>1613.5549999999996</v>
      </c>
      <c r="E11" s="14">
        <f t="shared" si="0"/>
        <v>1715.1372960459998</v>
      </c>
      <c r="G11" s="18"/>
    </row>
    <row r="12" spans="2:13" x14ac:dyDescent="0.25">
      <c r="B12">
        <v>10</v>
      </c>
      <c r="C12" s="14">
        <v>5057.3100000000004</v>
      </c>
      <c r="D12" s="14">
        <f t="shared" si="1"/>
        <v>2025.9083333333335</v>
      </c>
      <c r="E12" s="14">
        <f t="shared" si="0"/>
        <v>2239.7691072321995</v>
      </c>
      <c r="G12" s="18"/>
    </row>
    <row r="13" spans="2:13" x14ac:dyDescent="0.25">
      <c r="B13">
        <v>11</v>
      </c>
      <c r="C13" s="14">
        <v>4956.16</v>
      </c>
      <c r="D13" s="14">
        <f t="shared" si="1"/>
        <v>2647.7400000000002</v>
      </c>
      <c r="E13" s="14">
        <f t="shared" si="0"/>
        <v>3085.0313750625396</v>
      </c>
      <c r="G13" s="18"/>
    </row>
    <row r="14" spans="2:13" x14ac:dyDescent="0.25">
      <c r="B14">
        <v>12</v>
      </c>
      <c r="C14" s="14">
        <v>7087.31</v>
      </c>
      <c r="D14" s="14">
        <f t="shared" si="1"/>
        <v>3226.1866666666665</v>
      </c>
      <c r="E14" s="14">
        <f t="shared" si="0"/>
        <v>3646.3699625437775</v>
      </c>
      <c r="G14" s="18"/>
    </row>
    <row r="15" spans="2:13" x14ac:dyDescent="0.25">
      <c r="B15">
        <v>13</v>
      </c>
      <c r="C15" s="14">
        <v>10985.33</v>
      </c>
      <c r="D15" s="14">
        <f t="shared" si="1"/>
        <v>4142.4949999999999</v>
      </c>
      <c r="E15" s="14">
        <f t="shared" si="0"/>
        <v>4678.6519737806448</v>
      </c>
      <c r="G15" s="18"/>
    </row>
    <row r="16" spans="2:13" x14ac:dyDescent="0.25">
      <c r="B16">
        <v>14</v>
      </c>
      <c r="C16" s="14">
        <v>14830.2</v>
      </c>
      <c r="D16" s="14">
        <f t="shared" si="1"/>
        <v>5676.6833333333334</v>
      </c>
      <c r="E16" s="14">
        <f t="shared" si="0"/>
        <v>6570.6553816464511</v>
      </c>
      <c r="G16" s="18"/>
    </row>
    <row r="17" spans="2:7" x14ac:dyDescent="0.25">
      <c r="B17">
        <v>15</v>
      </c>
      <c r="C17" s="14">
        <v>14830.2</v>
      </c>
      <c r="D17" s="14">
        <f t="shared" si="1"/>
        <v>7730.0366666666669</v>
      </c>
      <c r="E17" s="14">
        <f t="shared" si="0"/>
        <v>9048.5187671525164</v>
      </c>
      <c r="G17" s="18"/>
    </row>
    <row r="18" spans="2:7" x14ac:dyDescent="0.25">
      <c r="B18">
        <v>16</v>
      </c>
      <c r="C18" s="14">
        <v>17944.54</v>
      </c>
      <c r="D18" s="14">
        <f t="shared" si="1"/>
        <v>9624.4183333333331</v>
      </c>
      <c r="E18" s="14">
        <f t="shared" si="0"/>
        <v>10783.023137006761</v>
      </c>
      <c r="G18" s="18"/>
    </row>
    <row r="19" spans="2:7" x14ac:dyDescent="0.25">
      <c r="B19">
        <v>17</v>
      </c>
      <c r="C19" s="14">
        <v>17406.2</v>
      </c>
      <c r="D19" s="14">
        <f t="shared" si="1"/>
        <v>11772.289999999999</v>
      </c>
      <c r="E19" s="14">
        <f t="shared" si="0"/>
        <v>12931.478195904732</v>
      </c>
      <c r="G19" s="18"/>
    </row>
    <row r="20" spans="2:7" x14ac:dyDescent="0.25">
      <c r="B20">
        <v>18</v>
      </c>
      <c r="C20" s="14">
        <v>27675.86</v>
      </c>
      <c r="D20" s="14">
        <f t="shared" si="1"/>
        <v>13847.296666666663</v>
      </c>
      <c r="E20" s="14">
        <f t="shared" si="0"/>
        <v>14273.894737133312</v>
      </c>
      <c r="G20" s="18"/>
    </row>
    <row r="21" spans="2:7" x14ac:dyDescent="0.25">
      <c r="B21">
        <v>19</v>
      </c>
      <c r="C21" s="14">
        <v>21310.41</v>
      </c>
      <c r="D21" s="14">
        <f t="shared" si="1"/>
        <v>17278.721666666668</v>
      </c>
      <c r="E21" s="14">
        <f t="shared" si="0"/>
        <v>18294.484315993315</v>
      </c>
      <c r="G21" s="18"/>
    </row>
    <row r="22" spans="2:7" x14ac:dyDescent="0.25">
      <c r="B22">
        <v>20</v>
      </c>
      <c r="C22" s="14">
        <v>19605.580000000002</v>
      </c>
      <c r="D22" s="14">
        <f t="shared" si="1"/>
        <v>18999.568333333333</v>
      </c>
      <c r="E22" s="14">
        <f t="shared" si="0"/>
        <v>19199.262021195318</v>
      </c>
      <c r="G22" s="18"/>
    </row>
    <row r="23" spans="2:7" x14ac:dyDescent="0.25">
      <c r="B23">
        <v>21</v>
      </c>
      <c r="C23" s="14">
        <v>18821.36</v>
      </c>
      <c r="D23" s="14">
        <f t="shared" si="1"/>
        <v>19795.465</v>
      </c>
      <c r="E23" s="14">
        <f t="shared" si="0"/>
        <v>19321.157414836722</v>
      </c>
      <c r="G23" s="18"/>
    </row>
    <row r="24" spans="2:7" x14ac:dyDescent="0.25">
      <c r="B24">
        <v>22</v>
      </c>
      <c r="C24" s="14">
        <v>14116.02</v>
      </c>
      <c r="D24" s="14">
        <f t="shared" si="1"/>
        <v>20460.658333333336</v>
      </c>
      <c r="E24" s="14">
        <f t="shared" si="0"/>
        <v>19171.218190385705</v>
      </c>
      <c r="G24" s="18"/>
    </row>
    <row r="25" spans="2:7" x14ac:dyDescent="0.25">
      <c r="B25">
        <v>23</v>
      </c>
      <c r="C25" s="14">
        <v>13833.7</v>
      </c>
      <c r="D25" s="14">
        <f t="shared" si="1"/>
        <v>19822.571666666667</v>
      </c>
      <c r="E25" s="14">
        <f t="shared" si="0"/>
        <v>17654.658733269993</v>
      </c>
      <c r="G25" s="18"/>
    </row>
    <row r="26" spans="2:7" x14ac:dyDescent="0.25">
      <c r="B26">
        <v>24</v>
      </c>
      <c r="C26" s="14">
        <v>11896.98</v>
      </c>
      <c r="D26" s="14">
        <f t="shared" si="1"/>
        <v>19227.155000000002</v>
      </c>
      <c r="E26" s="14">
        <f t="shared" si="0"/>
        <v>16508.371113288995</v>
      </c>
      <c r="G26" s="18"/>
    </row>
    <row r="27" spans="2:7" x14ac:dyDescent="0.25">
      <c r="B27">
        <v>25</v>
      </c>
      <c r="C27" s="14">
        <v>13919.47</v>
      </c>
      <c r="D27" s="14">
        <f t="shared" si="1"/>
        <v>16597.341666666667</v>
      </c>
      <c r="E27" s="14">
        <f t="shared" si="0"/>
        <v>15124.953779302296</v>
      </c>
      <c r="G27" s="18"/>
    </row>
    <row r="28" spans="2:7" x14ac:dyDescent="0.25">
      <c r="B28">
        <v>26</v>
      </c>
      <c r="C28" s="14"/>
      <c r="D28" s="14">
        <f t="shared" si="1"/>
        <v>15365.518333333333</v>
      </c>
      <c r="E28" s="14">
        <f t="shared" si="0"/>
        <v>14763.308645511606</v>
      </c>
      <c r="G28" s="18"/>
    </row>
  </sheetData>
  <pageMargins left="0.7" right="0.7" top="0.75" bottom="0.75" header="0.3" footer="0.3"/>
  <ignoredErrors>
    <ignoredError sqref="D9 D10:D28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F14"/>
  <sheetViews>
    <sheetView workbookViewId="0">
      <selection activeCell="E5" sqref="E5"/>
    </sheetView>
  </sheetViews>
  <sheetFormatPr defaultRowHeight="15" x14ac:dyDescent="0.25"/>
  <cols>
    <col min="2" max="2" width="9.5703125" customWidth="1"/>
    <col min="3" max="3" width="13.85546875" bestFit="1" customWidth="1"/>
    <col min="5" max="5" width="11.28515625" bestFit="1" customWidth="1"/>
    <col min="6" max="6" width="11" bestFit="1" customWidth="1"/>
  </cols>
  <sheetData>
    <row r="2" spans="2:6" x14ac:dyDescent="0.25">
      <c r="B2" s="4" t="s">
        <v>40</v>
      </c>
      <c r="C2" s="4" t="s">
        <v>41</v>
      </c>
    </row>
    <row r="3" spans="2:6" x14ac:dyDescent="0.25">
      <c r="B3" s="19" t="s">
        <v>28</v>
      </c>
      <c r="C3" s="14">
        <v>33</v>
      </c>
    </row>
    <row r="4" spans="2:6" x14ac:dyDescent="0.25">
      <c r="B4" s="19" t="s">
        <v>29</v>
      </c>
      <c r="C4" s="14">
        <v>36</v>
      </c>
      <c r="E4" s="4" t="s">
        <v>42</v>
      </c>
      <c r="F4" s="4" t="s">
        <v>43</v>
      </c>
    </row>
    <row r="5" spans="2:6" x14ac:dyDescent="0.25">
      <c r="B5" s="19" t="s">
        <v>30</v>
      </c>
      <c r="C5" s="14">
        <v>42</v>
      </c>
      <c r="E5" s="20">
        <f>MAX(C3:C14)</f>
        <v>70</v>
      </c>
      <c r="F5" s="20">
        <f>MIN(C3:C14)</f>
        <v>33</v>
      </c>
    </row>
    <row r="6" spans="2:6" x14ac:dyDescent="0.25">
      <c r="B6" s="19" t="s">
        <v>31</v>
      </c>
      <c r="C6" s="14">
        <v>50</v>
      </c>
      <c r="E6" s="4" t="s">
        <v>44</v>
      </c>
      <c r="F6" s="4" t="s">
        <v>45</v>
      </c>
    </row>
    <row r="7" spans="2:6" x14ac:dyDescent="0.25">
      <c r="B7" s="19" t="s">
        <v>32</v>
      </c>
      <c r="C7" s="14">
        <v>59</v>
      </c>
      <c r="E7" s="19" t="str">
        <f>INDEX(B3:B14,MATCH(E5,C3:C14,FALSE),1)</f>
        <v xml:space="preserve">JUL </v>
      </c>
      <c r="F7" s="19" t="str">
        <f>INDEX(B3:B14,MATCH(F5,C3:C14,FALSE),1)</f>
        <v xml:space="preserve">JAN </v>
      </c>
    </row>
    <row r="8" spans="2:6" x14ac:dyDescent="0.25">
      <c r="B8" s="19" t="s">
        <v>33</v>
      </c>
      <c r="C8" s="14">
        <v>66</v>
      </c>
    </row>
    <row r="9" spans="2:6" x14ac:dyDescent="0.25">
      <c r="B9" s="19" t="s">
        <v>34</v>
      </c>
      <c r="C9" s="14">
        <v>70</v>
      </c>
    </row>
    <row r="10" spans="2:6" x14ac:dyDescent="0.25">
      <c r="B10" s="19" t="s">
        <v>35</v>
      </c>
      <c r="C10" s="14">
        <v>69</v>
      </c>
    </row>
    <row r="11" spans="2:6" x14ac:dyDescent="0.25">
      <c r="B11" s="19" t="s">
        <v>36</v>
      </c>
      <c r="C11" s="14">
        <v>63</v>
      </c>
    </row>
    <row r="12" spans="2:6" x14ac:dyDescent="0.25">
      <c r="B12" s="19" t="s">
        <v>37</v>
      </c>
      <c r="C12" s="14">
        <v>51</v>
      </c>
    </row>
    <row r="13" spans="2:6" x14ac:dyDescent="0.25">
      <c r="B13" s="19" t="s">
        <v>38</v>
      </c>
      <c r="C13" s="14">
        <v>42</v>
      </c>
    </row>
    <row r="14" spans="2:6" x14ac:dyDescent="0.25">
      <c r="B14" s="19" t="s">
        <v>39</v>
      </c>
      <c r="C14" s="14">
        <v>35</v>
      </c>
    </row>
  </sheetData>
  <sortState ref="A6:B28">
    <sortCondition ref="A6: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G14"/>
  <sheetViews>
    <sheetView workbookViewId="0">
      <selection activeCell="F5" sqref="F5"/>
    </sheetView>
  </sheetViews>
  <sheetFormatPr defaultRowHeight="15" x14ac:dyDescent="0.25"/>
  <cols>
    <col min="2" max="2" width="17" bestFit="1" customWidth="1"/>
    <col min="3" max="3" width="9.7109375" customWidth="1"/>
    <col min="5" max="5" width="9.42578125" bestFit="1" customWidth="1"/>
    <col min="6" max="6" width="10.140625" customWidth="1"/>
    <col min="7" max="7" width="15.140625" bestFit="1" customWidth="1"/>
  </cols>
  <sheetData>
    <row r="2" spans="2:7" x14ac:dyDescent="0.25">
      <c r="B2" s="4" t="s">
        <v>46</v>
      </c>
      <c r="C2" s="4" t="s">
        <v>13</v>
      </c>
      <c r="E2" s="4" t="s">
        <v>62</v>
      </c>
      <c r="F2" s="4" t="s">
        <v>13</v>
      </c>
      <c r="G2" s="4" t="s">
        <v>46</v>
      </c>
    </row>
    <row r="3" spans="2:7" x14ac:dyDescent="0.25">
      <c r="B3" t="s">
        <v>48</v>
      </c>
      <c r="C3" s="14">
        <v>352</v>
      </c>
      <c r="E3" t="s">
        <v>59</v>
      </c>
      <c r="F3" s="14">
        <f>LARGE($C$3:$C$14,ROW(A1))</f>
        <v>588</v>
      </c>
      <c r="G3" t="str">
        <f>INDEX($B$3:$B$14,MATCH(F3,$C$3:$C$14,FALSE),1)</f>
        <v>Olivia Dunn</v>
      </c>
    </row>
    <row r="4" spans="2:7" x14ac:dyDescent="0.25">
      <c r="B4" t="s">
        <v>58</v>
      </c>
      <c r="C4" s="14">
        <v>533</v>
      </c>
      <c r="E4" t="s">
        <v>60</v>
      </c>
      <c r="F4" s="14">
        <f t="shared" ref="F4:F5" si="0">LARGE($C$3:$C$14,ROW(A2))</f>
        <v>547</v>
      </c>
      <c r="G4" t="str">
        <f t="shared" ref="G4:G5" si="1">INDEX($B$3:$B$14,MATCH(F4,$C$3:$C$14,FALSE),1)</f>
        <v>Hannah Weaver</v>
      </c>
    </row>
    <row r="5" spans="2:7" x14ac:dyDescent="0.25">
      <c r="B5" t="s">
        <v>53</v>
      </c>
      <c r="C5" s="14">
        <v>389</v>
      </c>
      <c r="E5" t="s">
        <v>61</v>
      </c>
      <c r="F5" s="14">
        <f t="shared" si="0"/>
        <v>546</v>
      </c>
      <c r="G5" t="str">
        <f t="shared" si="1"/>
        <v>Julian Murray</v>
      </c>
    </row>
    <row r="6" spans="2:7" x14ac:dyDescent="0.25">
      <c r="B6" t="s">
        <v>49</v>
      </c>
      <c r="C6" s="14">
        <v>300</v>
      </c>
    </row>
    <row r="7" spans="2:7" x14ac:dyDescent="0.25">
      <c r="B7" t="s">
        <v>52</v>
      </c>
      <c r="C7" s="14">
        <v>547</v>
      </c>
    </row>
    <row r="8" spans="2:7" x14ac:dyDescent="0.25">
      <c r="B8" t="s">
        <v>56</v>
      </c>
      <c r="C8" s="14">
        <v>460</v>
      </c>
    </row>
    <row r="9" spans="2:7" x14ac:dyDescent="0.25">
      <c r="B9" t="s">
        <v>55</v>
      </c>
      <c r="C9" s="14">
        <v>511</v>
      </c>
    </row>
    <row r="10" spans="2:7" x14ac:dyDescent="0.25">
      <c r="B10" t="s">
        <v>47</v>
      </c>
      <c r="C10" s="14">
        <v>546</v>
      </c>
    </row>
    <row r="11" spans="2:7" x14ac:dyDescent="0.25">
      <c r="B11" t="s">
        <v>51</v>
      </c>
      <c r="C11" s="14">
        <v>396</v>
      </c>
    </row>
    <row r="12" spans="2:7" x14ac:dyDescent="0.25">
      <c r="B12" t="s">
        <v>57</v>
      </c>
      <c r="C12" s="14">
        <v>507</v>
      </c>
    </row>
    <row r="13" spans="2:7" x14ac:dyDescent="0.25">
      <c r="B13" t="s">
        <v>50</v>
      </c>
      <c r="C13" s="14">
        <v>588</v>
      </c>
    </row>
    <row r="14" spans="2:7" x14ac:dyDescent="0.25">
      <c r="B14" t="s">
        <v>54</v>
      </c>
      <c r="C14" s="14">
        <v>384</v>
      </c>
    </row>
  </sheetData>
  <sortState ref="B3:C14">
    <sortCondition ref="B3:B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H14"/>
  <sheetViews>
    <sheetView workbookViewId="0">
      <selection activeCell="D3" sqref="D3"/>
    </sheetView>
  </sheetViews>
  <sheetFormatPr defaultRowHeight="15" x14ac:dyDescent="0.25"/>
  <cols>
    <col min="2" max="2" width="17" bestFit="1" customWidth="1"/>
    <col min="3" max="4" width="9.7109375" customWidth="1"/>
    <col min="6" max="6" width="9.42578125" bestFit="1" customWidth="1"/>
    <col min="7" max="7" width="10.140625" customWidth="1"/>
    <col min="8" max="8" width="18" bestFit="1" customWidth="1"/>
  </cols>
  <sheetData>
    <row r="2" spans="2:8" x14ac:dyDescent="0.25">
      <c r="B2" s="4" t="s">
        <v>75</v>
      </c>
      <c r="C2" s="4" t="s">
        <v>76</v>
      </c>
      <c r="D2" s="4" t="s">
        <v>77</v>
      </c>
      <c r="F2" s="4" t="s">
        <v>62</v>
      </c>
      <c r="G2" s="4" t="s">
        <v>76</v>
      </c>
      <c r="H2" s="4" t="s">
        <v>75</v>
      </c>
    </row>
    <row r="3" spans="2:8" x14ac:dyDescent="0.25">
      <c r="B3" t="s">
        <v>63</v>
      </c>
      <c r="C3" s="21">
        <v>1.4293981481481482E-2</v>
      </c>
      <c r="D3" s="14">
        <f>RANK(C3,$C$3:$C$14,1)</f>
        <v>1</v>
      </c>
      <c r="F3" t="s">
        <v>59</v>
      </c>
      <c r="G3" s="21">
        <f>INDEX($C$3:$C$14,MATCH(ROW(A1),$D$3:$D$14,FALSE),1)</f>
        <v>1.4293981481481482E-2</v>
      </c>
      <c r="H3" t="str">
        <f>INDEX($B$3:$B$14,MATCH(G3,$C$3:$C$14,FALSE),1)</f>
        <v>Gianna Ruiz</v>
      </c>
    </row>
    <row r="4" spans="2:8" x14ac:dyDescent="0.25">
      <c r="B4" t="s">
        <v>64</v>
      </c>
      <c r="C4" s="21">
        <v>1.6921296296296299E-2</v>
      </c>
      <c r="D4" s="14">
        <f t="shared" ref="D4:D14" si="0">RANK(C4,$C$3:$C$14,1)</f>
        <v>6</v>
      </c>
      <c r="F4" t="s">
        <v>60</v>
      </c>
      <c r="G4" s="21">
        <f t="shared" ref="G4:G5" si="1">INDEX($C$3:$C$14,MATCH(ROW(A2),$D$3:$D$14,FALSE),1)</f>
        <v>1.5023148148148148E-2</v>
      </c>
      <c r="H4" t="str">
        <f t="shared" ref="H4:H5" si="2">INDEX($B$3:$B$14,MATCH(G4,$C$3:$C$14,FALSE),1)</f>
        <v>Alexandra Mitchell</v>
      </c>
    </row>
    <row r="5" spans="2:8" x14ac:dyDescent="0.25">
      <c r="B5" t="s">
        <v>65</v>
      </c>
      <c r="C5" s="21">
        <v>2.0439814814814817E-2</v>
      </c>
      <c r="D5" s="14">
        <f t="shared" si="0"/>
        <v>12</v>
      </c>
      <c r="F5" t="s">
        <v>61</v>
      </c>
      <c r="G5" s="21">
        <f t="shared" si="1"/>
        <v>1.5069444444444443E-2</v>
      </c>
      <c r="H5" t="str">
        <f t="shared" si="2"/>
        <v>Isaiah Peters</v>
      </c>
    </row>
    <row r="6" spans="2:8" x14ac:dyDescent="0.25">
      <c r="B6" t="s">
        <v>66</v>
      </c>
      <c r="C6" s="21">
        <v>1.9328703703703702E-2</v>
      </c>
      <c r="D6" s="14">
        <f t="shared" si="0"/>
        <v>9</v>
      </c>
    </row>
    <row r="7" spans="2:8" x14ac:dyDescent="0.25">
      <c r="B7" t="s">
        <v>67</v>
      </c>
      <c r="C7" s="21">
        <v>2.028935185185185E-2</v>
      </c>
      <c r="D7" s="14">
        <f t="shared" si="0"/>
        <v>10</v>
      </c>
    </row>
    <row r="8" spans="2:8" x14ac:dyDescent="0.25">
      <c r="B8" t="s">
        <v>68</v>
      </c>
      <c r="C8" s="21">
        <v>1.5023148148148148E-2</v>
      </c>
      <c r="D8" s="14">
        <f t="shared" si="0"/>
        <v>2</v>
      </c>
    </row>
    <row r="9" spans="2:8" x14ac:dyDescent="0.25">
      <c r="B9" t="s">
        <v>69</v>
      </c>
      <c r="C9" s="21">
        <v>2.028935185185185E-2</v>
      </c>
      <c r="D9" s="14">
        <f t="shared" si="0"/>
        <v>10</v>
      </c>
    </row>
    <row r="10" spans="2:8" x14ac:dyDescent="0.25">
      <c r="B10" t="s">
        <v>70</v>
      </c>
      <c r="C10" s="21">
        <v>1.7106481481481483E-2</v>
      </c>
      <c r="D10" s="14">
        <f t="shared" si="0"/>
        <v>7</v>
      </c>
    </row>
    <row r="11" spans="2:8" x14ac:dyDescent="0.25">
      <c r="B11" t="s">
        <v>71</v>
      </c>
      <c r="C11" s="21">
        <v>1.5069444444444443E-2</v>
      </c>
      <c r="D11" s="14">
        <f t="shared" si="0"/>
        <v>3</v>
      </c>
    </row>
    <row r="12" spans="2:8" x14ac:dyDescent="0.25">
      <c r="B12" t="s">
        <v>72</v>
      </c>
      <c r="C12" s="21">
        <v>1.8703703703703705E-2</v>
      </c>
      <c r="D12" s="14">
        <f t="shared" si="0"/>
        <v>8</v>
      </c>
    </row>
    <row r="13" spans="2:8" x14ac:dyDescent="0.25">
      <c r="B13" t="s">
        <v>73</v>
      </c>
      <c r="C13" s="21">
        <v>1.6446759259259262E-2</v>
      </c>
      <c r="D13" s="14">
        <f t="shared" si="0"/>
        <v>5</v>
      </c>
    </row>
    <row r="14" spans="2:8" x14ac:dyDescent="0.25">
      <c r="B14" t="s">
        <v>74</v>
      </c>
      <c r="C14" s="21">
        <v>1.5856481481481482E-2</v>
      </c>
      <c r="D14" s="14">
        <f t="shared" si="0"/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G22"/>
  <sheetViews>
    <sheetView workbookViewId="0">
      <selection activeCell="D3" sqref="D3"/>
    </sheetView>
  </sheetViews>
  <sheetFormatPr defaultRowHeight="15" x14ac:dyDescent="0.25"/>
  <cols>
    <col min="2" max="2" width="17.7109375" bestFit="1" customWidth="1"/>
    <col min="3" max="3" width="7" bestFit="1" customWidth="1"/>
    <col min="4" max="4" width="15.28515625" bestFit="1" customWidth="1"/>
  </cols>
  <sheetData>
    <row r="2" spans="2:7" x14ac:dyDescent="0.25">
      <c r="B2" s="4" t="s">
        <v>78</v>
      </c>
      <c r="C2" s="4" t="s">
        <v>79</v>
      </c>
      <c r="D2" s="4" t="s">
        <v>103</v>
      </c>
    </row>
    <row r="3" spans="2:7" x14ac:dyDescent="0.25">
      <c r="B3" t="s">
        <v>90</v>
      </c>
      <c r="C3" s="14">
        <v>96</v>
      </c>
      <c r="D3" s="14">
        <f>COUNTIF($C$3:$C$22,C3)</f>
        <v>1</v>
      </c>
    </row>
    <row r="4" spans="2:7" x14ac:dyDescent="0.25">
      <c r="B4" t="s">
        <v>88</v>
      </c>
      <c r="C4" s="14">
        <v>90</v>
      </c>
      <c r="D4" s="14">
        <f>COUNTIF($C$3:$C$22,C4)</f>
        <v>1</v>
      </c>
      <c r="F4" t="s">
        <v>100</v>
      </c>
      <c r="G4" s="13">
        <f>AVERAGE(C3:C22)</f>
        <v>85.1</v>
      </c>
    </row>
    <row r="5" spans="2:7" x14ac:dyDescent="0.25">
      <c r="B5" t="s">
        <v>94</v>
      </c>
      <c r="C5" s="14">
        <v>98</v>
      </c>
      <c r="D5" s="14">
        <f>COUNTIF($C$3:$C$22,C5)</f>
        <v>1</v>
      </c>
      <c r="F5" t="s">
        <v>101</v>
      </c>
      <c r="G5" s="13">
        <f>MEDIAN(C3:C22)</f>
        <v>90.5</v>
      </c>
    </row>
    <row r="6" spans="2:7" x14ac:dyDescent="0.25">
      <c r="B6" t="s">
        <v>93</v>
      </c>
      <c r="C6" s="14">
        <v>93</v>
      </c>
      <c r="D6" s="14">
        <f>COUNTIF($C$3:$C$22,C6)</f>
        <v>4</v>
      </c>
      <c r="E6" s="12"/>
      <c r="F6" t="s">
        <v>102</v>
      </c>
      <c r="G6" s="13">
        <f>MODE(C3:C22)</f>
        <v>93</v>
      </c>
    </row>
    <row r="7" spans="2:7" x14ac:dyDescent="0.25">
      <c r="B7" t="s">
        <v>95</v>
      </c>
      <c r="C7" s="14">
        <v>71</v>
      </c>
      <c r="D7" s="14">
        <f>COUNTIF($C$3:$C$22,C7)</f>
        <v>2</v>
      </c>
      <c r="E7" s="12"/>
    </row>
    <row r="8" spans="2:7" x14ac:dyDescent="0.25">
      <c r="B8" t="s">
        <v>89</v>
      </c>
      <c r="C8" s="14">
        <v>80</v>
      </c>
      <c r="D8" s="14">
        <f>COUNTIF($C$3:$C$22,C8)</f>
        <v>2</v>
      </c>
      <c r="E8" s="12"/>
    </row>
    <row r="9" spans="2:7" x14ac:dyDescent="0.25">
      <c r="B9" t="s">
        <v>92</v>
      </c>
      <c r="C9" s="14">
        <v>91</v>
      </c>
      <c r="D9" s="14">
        <f>COUNTIF($C$3:$C$22,C9)</f>
        <v>2</v>
      </c>
      <c r="E9" s="12"/>
    </row>
    <row r="10" spans="2:7" x14ac:dyDescent="0.25">
      <c r="B10" t="s">
        <v>85</v>
      </c>
      <c r="C10" s="14">
        <v>93</v>
      </c>
      <c r="D10" s="14">
        <f>COUNTIF($C$3:$C$22,C10)</f>
        <v>4</v>
      </c>
      <c r="E10" s="12"/>
    </row>
    <row r="11" spans="2:7" x14ac:dyDescent="0.25">
      <c r="B11" t="s">
        <v>87</v>
      </c>
      <c r="C11" s="14">
        <v>91</v>
      </c>
      <c r="D11" s="14">
        <f>COUNTIF($C$3:$C$22,C11)</f>
        <v>2</v>
      </c>
      <c r="E11" s="12"/>
    </row>
    <row r="12" spans="2:7" x14ac:dyDescent="0.25">
      <c r="B12" t="s">
        <v>80</v>
      </c>
      <c r="C12" s="14">
        <v>93</v>
      </c>
      <c r="D12" s="14">
        <f>COUNTIF($C$3:$C$22,C12)</f>
        <v>4</v>
      </c>
    </row>
    <row r="13" spans="2:7" x14ac:dyDescent="0.25">
      <c r="B13" t="s">
        <v>96</v>
      </c>
      <c r="C13" s="14">
        <v>71</v>
      </c>
      <c r="D13" s="14">
        <f>COUNTIF($C$3:$C$22,C13)</f>
        <v>2</v>
      </c>
    </row>
    <row r="14" spans="2:7" x14ac:dyDescent="0.25">
      <c r="B14" t="s">
        <v>84</v>
      </c>
      <c r="C14" s="14">
        <v>73</v>
      </c>
      <c r="D14" s="14">
        <f>COUNTIF($C$3:$C$22,C14)</f>
        <v>1</v>
      </c>
    </row>
    <row r="15" spans="2:7" x14ac:dyDescent="0.25">
      <c r="B15" t="s">
        <v>86</v>
      </c>
      <c r="C15" s="14">
        <v>93</v>
      </c>
      <c r="D15" s="14">
        <f>COUNTIF($C$3:$C$22,C15)</f>
        <v>4</v>
      </c>
    </row>
    <row r="16" spans="2:7" x14ac:dyDescent="0.25">
      <c r="B16" t="s">
        <v>99</v>
      </c>
      <c r="C16" s="14">
        <v>95</v>
      </c>
      <c r="D16" s="14">
        <f>COUNTIF($C$3:$C$22,C16)</f>
        <v>1</v>
      </c>
    </row>
    <row r="17" spans="2:4" x14ac:dyDescent="0.25">
      <c r="B17" t="s">
        <v>91</v>
      </c>
      <c r="C17" s="14">
        <v>77</v>
      </c>
      <c r="D17" s="14">
        <f>COUNTIF($C$3:$C$22,C17)</f>
        <v>2</v>
      </c>
    </row>
    <row r="18" spans="2:4" x14ac:dyDescent="0.25">
      <c r="B18" t="s">
        <v>82</v>
      </c>
      <c r="C18" s="14">
        <v>72</v>
      </c>
      <c r="D18" s="14">
        <f>COUNTIF($C$3:$C$22,C18)</f>
        <v>1</v>
      </c>
    </row>
    <row r="19" spans="2:4" x14ac:dyDescent="0.25">
      <c r="B19" t="s">
        <v>97</v>
      </c>
      <c r="C19" s="14">
        <v>80</v>
      </c>
      <c r="D19" s="14">
        <f>COUNTIF($C$3:$C$22,C19)</f>
        <v>2</v>
      </c>
    </row>
    <row r="20" spans="2:4" x14ac:dyDescent="0.25">
      <c r="B20" t="s">
        <v>83</v>
      </c>
      <c r="C20" s="14">
        <v>92</v>
      </c>
      <c r="D20" s="14">
        <f>COUNTIF($C$3:$C$22,C20)</f>
        <v>1</v>
      </c>
    </row>
    <row r="21" spans="2:4" x14ac:dyDescent="0.25">
      <c r="B21" t="s">
        <v>98</v>
      </c>
      <c r="C21" s="14">
        <v>76</v>
      </c>
      <c r="D21" s="14">
        <f>COUNTIF($C$3:$C$22,C21)</f>
        <v>1</v>
      </c>
    </row>
    <row r="22" spans="2:4" x14ac:dyDescent="0.25">
      <c r="B22" t="s">
        <v>81</v>
      </c>
      <c r="C22" s="14">
        <v>77</v>
      </c>
      <c r="D22" s="14">
        <f>COUNTIF($C$3:$C$22,C22)</f>
        <v>2</v>
      </c>
    </row>
  </sheetData>
  <sortState ref="B3:D22">
    <sortCondition ref="B3:B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D7"/>
  <sheetViews>
    <sheetView workbookViewId="0">
      <selection activeCell="D3" sqref="D3:D5"/>
    </sheetView>
  </sheetViews>
  <sheetFormatPr defaultRowHeight="15" x14ac:dyDescent="0.25"/>
  <sheetData>
    <row r="2" spans="2:4" x14ac:dyDescent="0.25">
      <c r="B2">
        <v>1</v>
      </c>
    </row>
    <row r="3" spans="2:4" x14ac:dyDescent="0.25">
      <c r="B3">
        <v>4</v>
      </c>
      <c r="D3">
        <f t="array" ref="D3:D5">_xlfn.MODE.MULT($B$2:$B$7)</f>
        <v>4</v>
      </c>
    </row>
    <row r="4" spans="2:4" x14ac:dyDescent="0.25">
      <c r="B4">
        <v>4</v>
      </c>
      <c r="D4">
        <v>2</v>
      </c>
    </row>
    <row r="5" spans="2:4" x14ac:dyDescent="0.25">
      <c r="B5">
        <v>2</v>
      </c>
      <c r="D5" t="e">
        <v>#N/A</v>
      </c>
    </row>
    <row r="6" spans="2:4" x14ac:dyDescent="0.25">
      <c r="B6">
        <v>2</v>
      </c>
    </row>
    <row r="7" spans="2:4" x14ac:dyDescent="0.25">
      <c r="B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G50"/>
  <sheetViews>
    <sheetView workbookViewId="0">
      <selection activeCell="A11" sqref="A11"/>
    </sheetView>
  </sheetViews>
  <sheetFormatPr defaultRowHeight="15" x14ac:dyDescent="0.2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14.5703125" bestFit="1" customWidth="1"/>
  </cols>
  <sheetData>
    <row r="2" spans="2:7" x14ac:dyDescent="0.25">
      <c r="B2" s="4" t="s">
        <v>104</v>
      </c>
      <c r="C2" s="4" t="s">
        <v>105</v>
      </c>
      <c r="D2" s="4" t="s">
        <v>136</v>
      </c>
    </row>
    <row r="3" spans="2:7" x14ac:dyDescent="0.25">
      <c r="B3" t="s">
        <v>129</v>
      </c>
      <c r="C3">
        <v>47</v>
      </c>
      <c r="D3">
        <f>MATCH(C3,$G$3:$G$6,-1)</f>
        <v>1</v>
      </c>
      <c r="F3" t="s">
        <v>146</v>
      </c>
      <c r="G3" s="13">
        <f>QUARTILE($C$3:$C$32,5-ROW(A1))</f>
        <v>50</v>
      </c>
    </row>
    <row r="4" spans="2:7" x14ac:dyDescent="0.25">
      <c r="B4" s="27" t="s">
        <v>113</v>
      </c>
      <c r="C4" s="27">
        <v>31</v>
      </c>
      <c r="D4" s="27">
        <f>MATCH(C4,$G$3:$G$6,-1)</f>
        <v>3</v>
      </c>
      <c r="F4" t="s">
        <v>137</v>
      </c>
      <c r="G4" s="13">
        <f t="shared" ref="G4:G6" si="0">QUARTILE($C$3:$C$32,5-ROW(A2))</f>
        <v>44.5</v>
      </c>
    </row>
    <row r="5" spans="2:7" x14ac:dyDescent="0.25">
      <c r="B5" t="s">
        <v>131</v>
      </c>
      <c r="C5">
        <v>50</v>
      </c>
      <c r="D5">
        <f>MATCH(C5,$G$3:$G$6,-1)</f>
        <v>1</v>
      </c>
      <c r="F5" t="s">
        <v>138</v>
      </c>
      <c r="G5" s="13">
        <f t="shared" si="0"/>
        <v>31</v>
      </c>
    </row>
    <row r="6" spans="2:7" x14ac:dyDescent="0.25">
      <c r="B6" s="27" t="s">
        <v>106</v>
      </c>
      <c r="C6" s="27">
        <v>41</v>
      </c>
      <c r="D6" s="27">
        <f>MATCH(C6,$G$3:$G$6,-1)</f>
        <v>2</v>
      </c>
      <c r="F6" t="s">
        <v>139</v>
      </c>
      <c r="G6" s="13">
        <f t="shared" si="0"/>
        <v>23</v>
      </c>
    </row>
    <row r="7" spans="2:7" x14ac:dyDescent="0.25">
      <c r="B7" s="27" t="s">
        <v>111</v>
      </c>
      <c r="C7" s="27">
        <v>30</v>
      </c>
      <c r="D7" s="27">
        <f>MATCH(C7,$G$3:$G$6,-1)</f>
        <v>3</v>
      </c>
    </row>
    <row r="8" spans="2:7" x14ac:dyDescent="0.25">
      <c r="B8" s="27" t="s">
        <v>107</v>
      </c>
      <c r="C8" s="27">
        <v>30</v>
      </c>
      <c r="D8" s="27">
        <f>MATCH(C8,$G$3:$G$6,-1)</f>
        <v>3</v>
      </c>
      <c r="F8" s="27"/>
    </row>
    <row r="9" spans="2:7" x14ac:dyDescent="0.25">
      <c r="B9" s="27" t="s">
        <v>133</v>
      </c>
      <c r="C9" s="27">
        <v>23</v>
      </c>
      <c r="D9" s="27">
        <f>MATCH(C9,$G$3:$G$6,-1)</f>
        <v>4</v>
      </c>
      <c r="F9" s="27"/>
    </row>
    <row r="10" spans="2:7" ht="15" customHeight="1" x14ac:dyDescent="0.25">
      <c r="B10" s="27" t="s">
        <v>120</v>
      </c>
      <c r="C10" s="27">
        <v>27</v>
      </c>
      <c r="D10" s="27">
        <f>MATCH(C10,$G$3:$G$6,-1)</f>
        <v>3</v>
      </c>
      <c r="E10" s="27"/>
      <c r="F10" s="29"/>
    </row>
    <row r="11" spans="2:7" ht="15" customHeight="1" x14ac:dyDescent="0.25">
      <c r="B11" s="27" t="s">
        <v>115</v>
      </c>
      <c r="C11" s="27">
        <v>34</v>
      </c>
      <c r="D11" s="27">
        <f>MATCH(C11,$G$3:$G$6,-1)</f>
        <v>2</v>
      </c>
      <c r="E11" s="27"/>
      <c r="F11" s="29"/>
    </row>
    <row r="12" spans="2:7" ht="15" customHeight="1" x14ac:dyDescent="0.25">
      <c r="B12" t="s">
        <v>127</v>
      </c>
      <c r="C12">
        <v>48</v>
      </c>
      <c r="D12">
        <f>MATCH(C12,$G$3:$G$6,-1)</f>
        <v>1</v>
      </c>
      <c r="E12" s="27"/>
      <c r="F12" s="30"/>
    </row>
    <row r="13" spans="2:7" ht="15" customHeight="1" x14ac:dyDescent="0.25">
      <c r="B13" t="s">
        <v>114</v>
      </c>
      <c r="C13">
        <v>17</v>
      </c>
      <c r="D13">
        <f>MATCH(C13,$G$3:$G$6,-1)</f>
        <v>4</v>
      </c>
      <c r="E13" s="27"/>
      <c r="F13" s="30"/>
    </row>
    <row r="14" spans="2:7" ht="15" customHeight="1" x14ac:dyDescent="0.25">
      <c r="B14" t="s">
        <v>117</v>
      </c>
      <c r="C14">
        <v>22</v>
      </c>
      <c r="D14">
        <f>MATCH(C14,$G$3:$G$6,-1)</f>
        <v>4</v>
      </c>
      <c r="E14" s="27"/>
      <c r="F14" s="30"/>
    </row>
    <row r="15" spans="2:7" ht="15" customHeight="1" x14ac:dyDescent="0.25">
      <c r="B15" s="27" t="s">
        <v>126</v>
      </c>
      <c r="C15" s="27">
        <v>43</v>
      </c>
      <c r="D15" s="27">
        <f>MATCH(C15,$G$3:$G$6,-1)</f>
        <v>2</v>
      </c>
      <c r="E15" s="27"/>
      <c r="F15" s="30"/>
    </row>
    <row r="16" spans="2:7" ht="15" customHeight="1" x14ac:dyDescent="0.25">
      <c r="B16" s="27" t="s">
        <v>121</v>
      </c>
      <c r="C16" s="27">
        <v>45</v>
      </c>
      <c r="D16" s="27">
        <f>MATCH(C16,$G$3:$G$6,-1)</f>
        <v>1</v>
      </c>
      <c r="E16" s="27"/>
      <c r="F16" s="30"/>
    </row>
    <row r="17" spans="2:6" ht="15" customHeight="1" x14ac:dyDescent="0.25">
      <c r="B17" s="27" t="s">
        <v>116</v>
      </c>
      <c r="C17" s="27">
        <v>23</v>
      </c>
      <c r="D17" s="27">
        <f>MATCH(C17,$G$3:$G$6,-1)</f>
        <v>4</v>
      </c>
      <c r="E17" s="27"/>
      <c r="F17" s="29"/>
    </row>
    <row r="18" spans="2:6" ht="15" customHeight="1" x14ac:dyDescent="0.25">
      <c r="B18" t="s">
        <v>134</v>
      </c>
      <c r="C18">
        <v>49</v>
      </c>
      <c r="D18">
        <f>MATCH(C18,$G$3:$G$6,-1)</f>
        <v>1</v>
      </c>
      <c r="E18" s="27"/>
      <c r="F18" s="29"/>
    </row>
    <row r="19" spans="2:6" ht="15" customHeight="1" x14ac:dyDescent="0.25">
      <c r="B19" t="s">
        <v>132</v>
      </c>
      <c r="C19">
        <v>50</v>
      </c>
      <c r="D19">
        <f>MATCH(C19,$G$3:$G$6,-1)</f>
        <v>1</v>
      </c>
      <c r="E19" s="27"/>
      <c r="F19" s="30"/>
    </row>
    <row r="20" spans="2:6" ht="15" customHeight="1" x14ac:dyDescent="0.25">
      <c r="B20" t="s">
        <v>125</v>
      </c>
      <c r="C20">
        <v>19</v>
      </c>
      <c r="D20">
        <f>MATCH(C20,$G$3:$G$6,-1)</f>
        <v>4</v>
      </c>
      <c r="E20" s="27"/>
      <c r="F20" s="30"/>
    </row>
    <row r="21" spans="2:6" ht="15" customHeight="1" x14ac:dyDescent="0.25">
      <c r="B21" t="s">
        <v>109</v>
      </c>
      <c r="C21">
        <v>17</v>
      </c>
      <c r="D21">
        <f>MATCH(C21,$G$3:$G$6,-1)</f>
        <v>4</v>
      </c>
      <c r="E21" s="27"/>
      <c r="F21" s="30"/>
    </row>
    <row r="22" spans="2:6" ht="15" customHeight="1" x14ac:dyDescent="0.25">
      <c r="B22" s="27" t="s">
        <v>124</v>
      </c>
      <c r="C22" s="27">
        <v>31</v>
      </c>
      <c r="D22" s="27">
        <f>MATCH(C22,$G$3:$G$6,-1)</f>
        <v>3</v>
      </c>
      <c r="E22" s="27"/>
      <c r="F22" s="30"/>
    </row>
    <row r="23" spans="2:6" ht="15" customHeight="1" x14ac:dyDescent="0.25">
      <c r="B23" t="s">
        <v>119</v>
      </c>
      <c r="C23">
        <v>19</v>
      </c>
      <c r="D23">
        <f>MATCH(C23,$G$3:$G$6,-1)</f>
        <v>4</v>
      </c>
      <c r="E23" s="27"/>
      <c r="F23" s="30"/>
    </row>
    <row r="24" spans="2:6" ht="15" customHeight="1" x14ac:dyDescent="0.25">
      <c r="B24" t="s">
        <v>123</v>
      </c>
      <c r="C24">
        <v>47</v>
      </c>
      <c r="D24">
        <f>MATCH(C24,$G$3:$G$6,-1)</f>
        <v>1</v>
      </c>
      <c r="E24" s="27"/>
      <c r="F24" s="29"/>
    </row>
    <row r="25" spans="2:6" ht="15" customHeight="1" x14ac:dyDescent="0.25">
      <c r="B25" t="s">
        <v>128</v>
      </c>
      <c r="C25">
        <v>47</v>
      </c>
      <c r="D25">
        <f>MATCH(C25,$G$3:$G$6,-1)</f>
        <v>1</v>
      </c>
      <c r="E25" s="27"/>
      <c r="F25" s="29"/>
    </row>
    <row r="26" spans="2:6" x14ac:dyDescent="0.25">
      <c r="B26" s="27" t="s">
        <v>112</v>
      </c>
      <c r="C26" s="27">
        <v>27</v>
      </c>
      <c r="D26" s="27">
        <f>MATCH(C26,$G$3:$G$6,-1)</f>
        <v>3</v>
      </c>
      <c r="F26" s="30"/>
    </row>
    <row r="27" spans="2:6" x14ac:dyDescent="0.25">
      <c r="B27" s="27" t="s">
        <v>135</v>
      </c>
      <c r="C27" s="27">
        <v>41</v>
      </c>
      <c r="D27" s="27">
        <f>MATCH(C27,$G$3:$G$6,-1)</f>
        <v>2</v>
      </c>
      <c r="F27" s="30"/>
    </row>
    <row r="28" spans="2:6" x14ac:dyDescent="0.25">
      <c r="B28" s="27" t="s">
        <v>118</v>
      </c>
      <c r="C28" s="27">
        <v>42</v>
      </c>
      <c r="D28" s="27">
        <f>MATCH(C28,$G$3:$G$6,-1)</f>
        <v>2</v>
      </c>
      <c r="F28" s="24"/>
    </row>
    <row r="29" spans="2:6" x14ac:dyDescent="0.25">
      <c r="B29" t="s">
        <v>108</v>
      </c>
      <c r="C29">
        <v>21</v>
      </c>
      <c r="D29">
        <f>MATCH(C29,$G$3:$G$6,-1)</f>
        <v>4</v>
      </c>
      <c r="F29" s="24"/>
    </row>
    <row r="30" spans="2:6" x14ac:dyDescent="0.25">
      <c r="B30" s="27" t="s">
        <v>130</v>
      </c>
      <c r="C30" s="27">
        <v>39</v>
      </c>
      <c r="D30" s="27">
        <f>MATCH(C30,$G$3:$G$6,-1)</f>
        <v>2</v>
      </c>
      <c r="F30" s="24"/>
    </row>
    <row r="31" spans="2:6" x14ac:dyDescent="0.25">
      <c r="B31" t="s">
        <v>110</v>
      </c>
      <c r="C31">
        <v>20</v>
      </c>
      <c r="D31">
        <f>MATCH(C31,$G$3:$G$6,-1)</f>
        <v>4</v>
      </c>
      <c r="F31" s="24"/>
    </row>
    <row r="32" spans="2:6" x14ac:dyDescent="0.25">
      <c r="B32" s="27" t="s">
        <v>122</v>
      </c>
      <c r="C32" s="27">
        <v>27</v>
      </c>
      <c r="D32" s="27">
        <f>MATCH(C32,$G$3:$G$6,-1)</f>
        <v>3</v>
      </c>
      <c r="F32" s="24"/>
    </row>
    <row r="33" spans="6:6" x14ac:dyDescent="0.25">
      <c r="F33" s="24"/>
    </row>
    <row r="34" spans="6:6" x14ac:dyDescent="0.25">
      <c r="F34" s="24"/>
    </row>
    <row r="35" spans="6:6" x14ac:dyDescent="0.25">
      <c r="F35" s="24"/>
    </row>
    <row r="36" spans="6:6" x14ac:dyDescent="0.25">
      <c r="F36" s="24"/>
    </row>
    <row r="37" spans="6:6" x14ac:dyDescent="0.25">
      <c r="F37" s="24"/>
    </row>
    <row r="38" spans="6:6" x14ac:dyDescent="0.25">
      <c r="F38" s="24"/>
    </row>
    <row r="39" spans="6:6" x14ac:dyDescent="0.25">
      <c r="F39" s="24"/>
    </row>
    <row r="40" spans="6:6" x14ac:dyDescent="0.25">
      <c r="F40" s="24"/>
    </row>
    <row r="41" spans="6:6" x14ac:dyDescent="0.25">
      <c r="F41" s="24"/>
    </row>
    <row r="42" spans="6:6" x14ac:dyDescent="0.25">
      <c r="F42" s="24"/>
    </row>
    <row r="43" spans="6:6" x14ac:dyDescent="0.25">
      <c r="F43" s="24"/>
    </row>
    <row r="44" spans="6:6" x14ac:dyDescent="0.25">
      <c r="F44" s="24"/>
    </row>
    <row r="45" spans="6:6" x14ac:dyDescent="0.25">
      <c r="F45" s="24"/>
    </row>
    <row r="46" spans="6:6" x14ac:dyDescent="0.25">
      <c r="F46" s="24"/>
    </row>
    <row r="47" spans="6:6" x14ac:dyDescent="0.25">
      <c r="F47" s="24"/>
    </row>
    <row r="48" spans="6:6" x14ac:dyDescent="0.25">
      <c r="F48" s="24"/>
    </row>
    <row r="49" spans="6:6" x14ac:dyDescent="0.25">
      <c r="F49" s="24"/>
    </row>
    <row r="50" spans="6:6" x14ac:dyDescent="0.25">
      <c r="F50" s="24"/>
    </row>
  </sheetData>
  <sortState ref="B3:D32">
    <sortCondition ref="B3:B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K32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35.7109375" customWidth="1"/>
    <col min="10" max="10" width="14.5703125" bestFit="1" customWidth="1"/>
    <col min="11" max="11" width="12.28515625" bestFit="1" customWidth="1"/>
  </cols>
  <sheetData>
    <row r="2" spans="2:11" x14ac:dyDescent="0.25">
      <c r="B2" s="4" t="s">
        <v>104</v>
      </c>
      <c r="C2" s="4" t="s">
        <v>105</v>
      </c>
      <c r="D2" s="4" t="s">
        <v>136</v>
      </c>
    </row>
    <row r="3" spans="2:11" x14ac:dyDescent="0.25">
      <c r="B3" t="s">
        <v>114</v>
      </c>
      <c r="C3">
        <v>17</v>
      </c>
      <c r="D3">
        <f>MATCH(C3,$K$3:$K$6,-1)</f>
        <v>4</v>
      </c>
      <c r="J3" t="s">
        <v>140</v>
      </c>
      <c r="K3" s="13">
        <f>QUARTILE($C$3:$C$32,5-ROW(A1))</f>
        <v>50</v>
      </c>
    </row>
    <row r="4" spans="2:11" x14ac:dyDescent="0.25">
      <c r="B4" t="s">
        <v>109</v>
      </c>
      <c r="C4">
        <v>17</v>
      </c>
      <c r="D4">
        <f>MATCH(C4,$K$3:$K$6,-1)</f>
        <v>4</v>
      </c>
      <c r="J4" t="s">
        <v>137</v>
      </c>
      <c r="K4" s="13">
        <f>QUARTILE($C$3:$C$32,5-ROW(A2))</f>
        <v>44.5</v>
      </c>
    </row>
    <row r="5" spans="2:11" x14ac:dyDescent="0.25">
      <c r="B5" t="s">
        <v>125</v>
      </c>
      <c r="C5">
        <v>19</v>
      </c>
      <c r="D5">
        <f>MATCH(C5,$K$3:$K$6,-1)</f>
        <v>4</v>
      </c>
      <c r="J5" t="s">
        <v>138</v>
      </c>
      <c r="K5" s="13">
        <f>QUARTILE($C$3:$C$32,5-ROW(A3))</f>
        <v>31</v>
      </c>
    </row>
    <row r="6" spans="2:11" x14ac:dyDescent="0.25">
      <c r="B6" t="s">
        <v>119</v>
      </c>
      <c r="C6">
        <v>19</v>
      </c>
      <c r="D6">
        <f>MATCH(C6,$K$3:$K$6,-1)</f>
        <v>4</v>
      </c>
      <c r="J6" t="s">
        <v>139</v>
      </c>
      <c r="K6" s="13">
        <f>QUARTILE($C$3:$C$32,5-ROW(A4))</f>
        <v>23</v>
      </c>
    </row>
    <row r="7" spans="2:11" x14ac:dyDescent="0.25">
      <c r="B7" t="s">
        <v>110</v>
      </c>
      <c r="C7">
        <v>20</v>
      </c>
      <c r="D7">
        <f>MATCH(C7,$K$3:$K$6,-1)</f>
        <v>4</v>
      </c>
    </row>
    <row r="8" spans="2:11" x14ac:dyDescent="0.25">
      <c r="B8" t="s">
        <v>108</v>
      </c>
      <c r="C8">
        <v>21</v>
      </c>
      <c r="D8">
        <f>MATCH(C8,$K$3:$K$6,-1)</f>
        <v>4</v>
      </c>
    </row>
    <row r="9" spans="2:11" ht="15.75" thickBot="1" x14ac:dyDescent="0.3">
      <c r="B9" t="s">
        <v>117</v>
      </c>
      <c r="C9">
        <v>22</v>
      </c>
      <c r="D9">
        <f>MATCH(C9,$K$3:$K$6,-1)</f>
        <v>4</v>
      </c>
    </row>
    <row r="10" spans="2:11" ht="15.75" thickBot="1" x14ac:dyDescent="0.3">
      <c r="B10" s="22" t="s">
        <v>133</v>
      </c>
      <c r="C10" s="22">
        <v>23</v>
      </c>
      <c r="D10" s="22">
        <f>MATCH(C10,$K$3:$K$6,-1)</f>
        <v>4</v>
      </c>
      <c r="E10" s="22"/>
      <c r="F10" s="25" t="s">
        <v>141</v>
      </c>
    </row>
    <row r="11" spans="2:11" ht="15.75" thickBot="1" x14ac:dyDescent="0.3">
      <c r="B11" t="s">
        <v>116</v>
      </c>
      <c r="C11">
        <v>23</v>
      </c>
      <c r="D11">
        <f>MATCH(C11,$K$3:$K$6,-1)</f>
        <v>4</v>
      </c>
      <c r="F11" s="26"/>
      <c r="J11" t="s">
        <v>143</v>
      </c>
      <c r="K11" t="s">
        <v>144</v>
      </c>
    </row>
    <row r="12" spans="2:11" x14ac:dyDescent="0.25">
      <c r="B12" t="s">
        <v>120</v>
      </c>
      <c r="C12">
        <v>27</v>
      </c>
      <c r="D12">
        <f>MATCH(C12,$K$3:$K$6,-1)</f>
        <v>3</v>
      </c>
      <c r="J12">
        <v>0.75</v>
      </c>
      <c r="K12">
        <f>J12*(COUNT($C$3:$C$32)-1)</f>
        <v>21.75</v>
      </c>
    </row>
    <row r="13" spans="2:11" x14ac:dyDescent="0.25">
      <c r="B13" t="s">
        <v>112</v>
      </c>
      <c r="C13">
        <v>27</v>
      </c>
      <c r="D13">
        <f>MATCH(C13,$K$3:$K$6,-1)</f>
        <v>3</v>
      </c>
      <c r="J13">
        <v>0.5</v>
      </c>
      <c r="K13">
        <f t="shared" ref="K13:K14" si="0">J13*(COUNT($C$3:$C$32)-1)</f>
        <v>14.5</v>
      </c>
    </row>
    <row r="14" spans="2:11" x14ac:dyDescent="0.25">
      <c r="B14" t="s">
        <v>122</v>
      </c>
      <c r="C14">
        <v>27</v>
      </c>
      <c r="D14">
        <f>MATCH(C14,$K$3:$K$6,-1)</f>
        <v>3</v>
      </c>
      <c r="J14">
        <v>0.25</v>
      </c>
      <c r="K14">
        <f t="shared" si="0"/>
        <v>7.25</v>
      </c>
    </row>
    <row r="15" spans="2:11" x14ac:dyDescent="0.25">
      <c r="B15" t="s">
        <v>111</v>
      </c>
      <c r="C15">
        <v>30</v>
      </c>
      <c r="D15">
        <f>MATCH(C15,$K$3:$K$6,-1)</f>
        <v>3</v>
      </c>
    </row>
    <row r="16" spans="2:11" ht="15.75" thickBot="1" x14ac:dyDescent="0.3">
      <c r="B16" t="s">
        <v>107</v>
      </c>
      <c r="C16">
        <v>30</v>
      </c>
      <c r="D16">
        <f>MATCH(C16,$K$3:$K$6,-1)</f>
        <v>3</v>
      </c>
    </row>
    <row r="17" spans="2:6" ht="15.75" customHeight="1" thickBot="1" x14ac:dyDescent="0.3">
      <c r="B17" s="22" t="s">
        <v>113</v>
      </c>
      <c r="C17" s="22">
        <v>31</v>
      </c>
      <c r="D17" s="22">
        <f>MATCH(C17,$K$3:$K$6,-1)</f>
        <v>3</v>
      </c>
      <c r="E17" s="22"/>
      <c r="F17" s="25" t="s">
        <v>145</v>
      </c>
    </row>
    <row r="18" spans="2:6" ht="15.75" customHeight="1" thickBot="1" x14ac:dyDescent="0.3">
      <c r="B18" t="s">
        <v>124</v>
      </c>
      <c r="C18">
        <v>31</v>
      </c>
      <c r="D18">
        <f>MATCH(C18,$K$3:$K$6,-1)</f>
        <v>3</v>
      </c>
      <c r="F18" s="26"/>
    </row>
    <row r="19" spans="2:6" x14ac:dyDescent="0.25">
      <c r="B19" t="s">
        <v>115</v>
      </c>
      <c r="C19">
        <v>34</v>
      </c>
      <c r="D19">
        <f>MATCH(C19,$K$3:$K$6,-1)</f>
        <v>2</v>
      </c>
    </row>
    <row r="20" spans="2:6" x14ac:dyDescent="0.25">
      <c r="B20" t="s">
        <v>130</v>
      </c>
      <c r="C20">
        <v>39</v>
      </c>
      <c r="D20">
        <f>MATCH(C20,$K$3:$K$6,-1)</f>
        <v>2</v>
      </c>
    </row>
    <row r="21" spans="2:6" x14ac:dyDescent="0.25">
      <c r="B21" t="s">
        <v>106</v>
      </c>
      <c r="C21">
        <v>41</v>
      </c>
      <c r="D21">
        <f>MATCH(C21,$K$3:$K$6,-1)</f>
        <v>2</v>
      </c>
    </row>
    <row r="22" spans="2:6" x14ac:dyDescent="0.25">
      <c r="B22" t="s">
        <v>135</v>
      </c>
      <c r="C22">
        <v>41</v>
      </c>
      <c r="D22">
        <f>MATCH(C22,$K$3:$K$6,-1)</f>
        <v>2</v>
      </c>
    </row>
    <row r="23" spans="2:6" ht="15.75" thickBot="1" x14ac:dyDescent="0.3">
      <c r="B23" t="s">
        <v>118</v>
      </c>
      <c r="C23">
        <v>42</v>
      </c>
      <c r="D23">
        <f>MATCH(C23,$K$3:$K$6,-1)</f>
        <v>2</v>
      </c>
    </row>
    <row r="24" spans="2:6" ht="15.75" customHeight="1" thickBot="1" x14ac:dyDescent="0.3">
      <c r="B24" s="22" t="s">
        <v>126</v>
      </c>
      <c r="C24" s="22">
        <v>43</v>
      </c>
      <c r="D24" s="22">
        <f>MATCH(C24,$K$3:$K$6,-1)</f>
        <v>2</v>
      </c>
      <c r="E24" s="22"/>
      <c r="F24" s="25" t="s">
        <v>142</v>
      </c>
    </row>
    <row r="25" spans="2:6" ht="15.75" customHeight="1" thickBot="1" x14ac:dyDescent="0.3">
      <c r="B25" t="s">
        <v>121</v>
      </c>
      <c r="C25">
        <v>45</v>
      </c>
      <c r="D25">
        <f>MATCH(C25,$K$3:$K$6,-1)</f>
        <v>1</v>
      </c>
      <c r="F25" s="26"/>
    </row>
    <row r="26" spans="2:6" x14ac:dyDescent="0.25">
      <c r="B26" t="s">
        <v>129</v>
      </c>
      <c r="C26">
        <v>47</v>
      </c>
      <c r="D26">
        <f>MATCH(C26,$K$3:$K$6,-1)</f>
        <v>1</v>
      </c>
    </row>
    <row r="27" spans="2:6" x14ac:dyDescent="0.25">
      <c r="B27" t="s">
        <v>123</v>
      </c>
      <c r="C27">
        <v>47</v>
      </c>
      <c r="D27">
        <f>MATCH(C27,$K$3:$K$6,-1)</f>
        <v>1</v>
      </c>
    </row>
    <row r="28" spans="2:6" x14ac:dyDescent="0.25">
      <c r="B28" t="s">
        <v>128</v>
      </c>
      <c r="C28">
        <v>47</v>
      </c>
      <c r="D28">
        <f>MATCH(C28,$K$3:$K$6,-1)</f>
        <v>1</v>
      </c>
    </row>
    <row r="29" spans="2:6" x14ac:dyDescent="0.25">
      <c r="B29" t="s">
        <v>127</v>
      </c>
      <c r="C29">
        <v>48</v>
      </c>
      <c r="D29">
        <f>MATCH(C29,$K$3:$K$6,-1)</f>
        <v>1</v>
      </c>
    </row>
    <row r="30" spans="2:6" x14ac:dyDescent="0.25">
      <c r="B30" t="s">
        <v>134</v>
      </c>
      <c r="C30">
        <v>49</v>
      </c>
      <c r="D30">
        <f>MATCH(C30,$K$3:$K$6,-1)</f>
        <v>1</v>
      </c>
    </row>
    <row r="31" spans="2:6" x14ac:dyDescent="0.25">
      <c r="B31" t="s">
        <v>131</v>
      </c>
      <c r="C31">
        <v>50</v>
      </c>
      <c r="D31">
        <f>MATCH(C31,$K$3:$K$6,-1)</f>
        <v>1</v>
      </c>
    </row>
    <row r="32" spans="2:6" x14ac:dyDescent="0.25">
      <c r="B32" t="s">
        <v>132</v>
      </c>
      <c r="C32">
        <v>50</v>
      </c>
      <c r="D32">
        <f>MATCH(C32,$K$3:$K$6,-1)</f>
        <v>1</v>
      </c>
    </row>
  </sheetData>
  <mergeCells count="3">
    <mergeCell ref="F10:F11"/>
    <mergeCell ref="F17:F18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G32"/>
  <sheetViews>
    <sheetView workbookViewId="0">
      <selection activeCell="D27" sqref="D27"/>
    </sheetView>
  </sheetViews>
  <sheetFormatPr defaultRowHeight="15" x14ac:dyDescent="0.2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14.5703125" bestFit="1" customWidth="1"/>
  </cols>
  <sheetData>
    <row r="2" spans="2:7" x14ac:dyDescent="0.25">
      <c r="B2" s="4" t="s">
        <v>104</v>
      </c>
      <c r="C2" s="4" t="s">
        <v>105</v>
      </c>
      <c r="D2" s="4" t="s">
        <v>136</v>
      </c>
    </row>
    <row r="3" spans="2:7" x14ac:dyDescent="0.25">
      <c r="B3" t="s">
        <v>114</v>
      </c>
      <c r="C3">
        <v>17</v>
      </c>
      <c r="D3">
        <f>IF(C3&gt;=$G$4,1,MATCH(C3,$G$4:$G$6,-1)+1)</f>
        <v>4</v>
      </c>
      <c r="F3" s="28" t="s">
        <v>147</v>
      </c>
      <c r="G3" s="13"/>
    </row>
    <row r="4" spans="2:7" x14ac:dyDescent="0.25">
      <c r="B4" t="s">
        <v>109</v>
      </c>
      <c r="C4">
        <v>17</v>
      </c>
      <c r="D4">
        <f t="shared" ref="D4:D32" si="0">IF(C4&gt;=$G$4,1,MATCH(C4,$G$4:$G$6,-1)+1)</f>
        <v>4</v>
      </c>
      <c r="F4" t="s">
        <v>137</v>
      </c>
      <c r="G4" s="13">
        <f>_xlfn.QUARTILE.EXC($C$3:$C$32,4-ROW(A1))</f>
        <v>45.5</v>
      </c>
    </row>
    <row r="5" spans="2:7" x14ac:dyDescent="0.25">
      <c r="B5" t="s">
        <v>125</v>
      </c>
      <c r="C5">
        <v>19</v>
      </c>
      <c r="D5">
        <f t="shared" si="0"/>
        <v>4</v>
      </c>
      <c r="F5" t="s">
        <v>138</v>
      </c>
      <c r="G5" s="13">
        <f t="shared" ref="G5:G6" si="1">_xlfn.QUARTILE.EXC($C$3:$C$32,4-ROW(A2))</f>
        <v>31</v>
      </c>
    </row>
    <row r="6" spans="2:7" x14ac:dyDescent="0.25">
      <c r="B6" t="s">
        <v>119</v>
      </c>
      <c r="C6">
        <v>19</v>
      </c>
      <c r="D6">
        <f t="shared" si="0"/>
        <v>4</v>
      </c>
      <c r="F6" t="s">
        <v>139</v>
      </c>
      <c r="G6" s="13">
        <f t="shared" si="1"/>
        <v>22.75</v>
      </c>
    </row>
    <row r="7" spans="2:7" x14ac:dyDescent="0.25">
      <c r="B7" t="s">
        <v>110</v>
      </c>
      <c r="C7">
        <v>20</v>
      </c>
      <c r="D7">
        <f t="shared" si="0"/>
        <v>4</v>
      </c>
    </row>
    <row r="8" spans="2:7" x14ac:dyDescent="0.25">
      <c r="B8" t="s">
        <v>108</v>
      </c>
      <c r="C8">
        <v>21</v>
      </c>
      <c r="D8">
        <f t="shared" si="0"/>
        <v>4</v>
      </c>
      <c r="F8" s="27"/>
    </row>
    <row r="9" spans="2:7" x14ac:dyDescent="0.25">
      <c r="B9" t="s">
        <v>117</v>
      </c>
      <c r="C9">
        <v>22</v>
      </c>
      <c r="D9">
        <f t="shared" si="0"/>
        <v>4</v>
      </c>
      <c r="F9" s="27"/>
    </row>
    <row r="10" spans="2:7" ht="15" customHeight="1" x14ac:dyDescent="0.25">
      <c r="B10" s="27" t="s">
        <v>133</v>
      </c>
      <c r="C10" s="27">
        <v>23</v>
      </c>
      <c r="D10">
        <f t="shared" si="0"/>
        <v>3</v>
      </c>
      <c r="E10" s="27"/>
      <c r="F10" s="29"/>
    </row>
    <row r="11" spans="2:7" ht="15" customHeight="1" x14ac:dyDescent="0.25">
      <c r="B11" s="27" t="s">
        <v>116</v>
      </c>
      <c r="C11" s="27">
        <v>23</v>
      </c>
      <c r="D11">
        <f t="shared" si="0"/>
        <v>3</v>
      </c>
      <c r="E11" s="27"/>
      <c r="F11" s="29"/>
    </row>
    <row r="12" spans="2:7" ht="15" customHeight="1" x14ac:dyDescent="0.25">
      <c r="B12" s="27" t="s">
        <v>120</v>
      </c>
      <c r="C12" s="27">
        <v>27</v>
      </c>
      <c r="D12">
        <f t="shared" si="0"/>
        <v>3</v>
      </c>
      <c r="E12" s="27"/>
      <c r="F12" s="30"/>
    </row>
    <row r="13" spans="2:7" ht="15" customHeight="1" x14ac:dyDescent="0.25">
      <c r="B13" s="27" t="s">
        <v>112</v>
      </c>
      <c r="C13" s="27">
        <v>27</v>
      </c>
      <c r="D13">
        <f t="shared" si="0"/>
        <v>3</v>
      </c>
      <c r="E13" s="27"/>
      <c r="F13" s="30"/>
    </row>
    <row r="14" spans="2:7" ht="15" customHeight="1" x14ac:dyDescent="0.25">
      <c r="B14" s="27" t="s">
        <v>122</v>
      </c>
      <c r="C14" s="27">
        <v>27</v>
      </c>
      <c r="D14">
        <f t="shared" si="0"/>
        <v>3</v>
      </c>
      <c r="E14" s="27"/>
      <c r="F14" s="30"/>
    </row>
    <row r="15" spans="2:7" ht="15" customHeight="1" x14ac:dyDescent="0.25">
      <c r="B15" s="27" t="s">
        <v>111</v>
      </c>
      <c r="C15" s="27">
        <v>30</v>
      </c>
      <c r="D15">
        <f t="shared" si="0"/>
        <v>3</v>
      </c>
      <c r="E15" s="27"/>
      <c r="F15" s="30"/>
    </row>
    <row r="16" spans="2:7" ht="15" customHeight="1" x14ac:dyDescent="0.25">
      <c r="B16" s="27" t="s">
        <v>107</v>
      </c>
      <c r="C16" s="27">
        <v>30</v>
      </c>
      <c r="D16">
        <f t="shared" si="0"/>
        <v>3</v>
      </c>
      <c r="E16" s="27"/>
      <c r="F16" s="30"/>
    </row>
    <row r="17" spans="2:6" ht="15" customHeight="1" x14ac:dyDescent="0.25">
      <c r="B17" s="27" t="s">
        <v>113</v>
      </c>
      <c r="C17" s="27">
        <v>31</v>
      </c>
      <c r="D17">
        <f t="shared" si="0"/>
        <v>3</v>
      </c>
      <c r="E17" s="27"/>
      <c r="F17" s="29"/>
    </row>
    <row r="18" spans="2:6" ht="15" customHeight="1" x14ac:dyDescent="0.25">
      <c r="B18" s="27" t="s">
        <v>124</v>
      </c>
      <c r="C18" s="27">
        <v>31</v>
      </c>
      <c r="D18">
        <f t="shared" si="0"/>
        <v>3</v>
      </c>
      <c r="E18" s="27"/>
      <c r="F18" s="29"/>
    </row>
    <row r="19" spans="2:6" ht="15" customHeight="1" x14ac:dyDescent="0.25">
      <c r="B19" s="27" t="s">
        <v>115</v>
      </c>
      <c r="C19" s="27">
        <v>34</v>
      </c>
      <c r="D19">
        <f t="shared" si="0"/>
        <v>2</v>
      </c>
      <c r="E19" s="27"/>
      <c r="F19" s="30"/>
    </row>
    <row r="20" spans="2:6" ht="15" customHeight="1" x14ac:dyDescent="0.25">
      <c r="B20" s="27" t="s">
        <v>130</v>
      </c>
      <c r="C20" s="27">
        <v>39</v>
      </c>
      <c r="D20">
        <f t="shared" si="0"/>
        <v>2</v>
      </c>
      <c r="E20" s="27"/>
      <c r="F20" s="30"/>
    </row>
    <row r="21" spans="2:6" ht="15" customHeight="1" x14ac:dyDescent="0.25">
      <c r="B21" s="27" t="s">
        <v>106</v>
      </c>
      <c r="C21" s="27">
        <v>41</v>
      </c>
      <c r="D21">
        <f t="shared" si="0"/>
        <v>2</v>
      </c>
      <c r="E21" s="27"/>
      <c r="F21" s="30"/>
    </row>
    <row r="22" spans="2:6" ht="15" customHeight="1" x14ac:dyDescent="0.25">
      <c r="B22" s="27" t="s">
        <v>135</v>
      </c>
      <c r="C22" s="27">
        <v>41</v>
      </c>
      <c r="D22">
        <f t="shared" si="0"/>
        <v>2</v>
      </c>
      <c r="E22" s="27"/>
      <c r="F22" s="30"/>
    </row>
    <row r="23" spans="2:6" ht="15" customHeight="1" x14ac:dyDescent="0.25">
      <c r="B23" s="27" t="s">
        <v>118</v>
      </c>
      <c r="C23" s="27">
        <v>42</v>
      </c>
      <c r="D23">
        <f t="shared" si="0"/>
        <v>2</v>
      </c>
      <c r="E23" s="27"/>
      <c r="F23" s="30"/>
    </row>
    <row r="24" spans="2:6" ht="15" customHeight="1" x14ac:dyDescent="0.25">
      <c r="B24" s="27" t="s">
        <v>126</v>
      </c>
      <c r="C24" s="27">
        <v>43</v>
      </c>
      <c r="D24">
        <f t="shared" si="0"/>
        <v>2</v>
      </c>
      <c r="E24" s="27"/>
      <c r="F24" s="29"/>
    </row>
    <row r="25" spans="2:6" ht="18.75" x14ac:dyDescent="0.25">
      <c r="B25" s="27" t="s">
        <v>121</v>
      </c>
      <c r="C25" s="27">
        <v>45</v>
      </c>
      <c r="D25">
        <f t="shared" si="0"/>
        <v>2</v>
      </c>
      <c r="E25" s="27"/>
      <c r="F25" s="29"/>
    </row>
    <row r="26" spans="2:6" x14ac:dyDescent="0.25">
      <c r="B26" t="s">
        <v>129</v>
      </c>
      <c r="C26">
        <v>47</v>
      </c>
      <c r="D26">
        <f t="shared" si="0"/>
        <v>1</v>
      </c>
      <c r="F26" s="30"/>
    </row>
    <row r="27" spans="2:6" x14ac:dyDescent="0.25">
      <c r="B27" t="s">
        <v>123</v>
      </c>
      <c r="C27">
        <v>47</v>
      </c>
      <c r="D27">
        <f t="shared" si="0"/>
        <v>1</v>
      </c>
      <c r="F27" s="27"/>
    </row>
    <row r="28" spans="2:6" x14ac:dyDescent="0.25">
      <c r="B28" t="s">
        <v>128</v>
      </c>
      <c r="C28">
        <v>47</v>
      </c>
      <c r="D28">
        <f t="shared" si="0"/>
        <v>1</v>
      </c>
    </row>
    <row r="29" spans="2:6" x14ac:dyDescent="0.25">
      <c r="B29" t="s">
        <v>127</v>
      </c>
      <c r="C29">
        <v>48</v>
      </c>
      <c r="D29">
        <f t="shared" si="0"/>
        <v>1</v>
      </c>
    </row>
    <row r="30" spans="2:6" x14ac:dyDescent="0.25">
      <c r="B30" t="s">
        <v>134</v>
      </c>
      <c r="C30">
        <v>49</v>
      </c>
      <c r="D30">
        <f t="shared" si="0"/>
        <v>1</v>
      </c>
    </row>
    <row r="31" spans="2:6" x14ac:dyDescent="0.25">
      <c r="B31" t="s">
        <v>131</v>
      </c>
      <c r="C31">
        <v>50</v>
      </c>
      <c r="D31">
        <f t="shared" si="0"/>
        <v>1</v>
      </c>
    </row>
    <row r="32" spans="2:6" x14ac:dyDescent="0.25">
      <c r="B32" t="s">
        <v>132</v>
      </c>
      <c r="C32">
        <v>50</v>
      </c>
      <c r="D32">
        <f t="shared" si="0"/>
        <v>1</v>
      </c>
    </row>
  </sheetData>
  <sortState ref="B3:D32">
    <sortCondition ref="C3:C3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G41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16.28515625" bestFit="1" customWidth="1"/>
    <col min="3" max="3" width="15.7109375" bestFit="1" customWidth="1"/>
    <col min="4" max="4" width="11.7109375" bestFit="1" customWidth="1"/>
    <col min="5" max="5" width="3.42578125" customWidth="1"/>
    <col min="6" max="6" width="19.85546875" customWidth="1"/>
  </cols>
  <sheetData>
    <row r="2" spans="2:7" x14ac:dyDescent="0.25">
      <c r="B2" s="4" t="s">
        <v>104</v>
      </c>
      <c r="C2" s="4" t="s">
        <v>105</v>
      </c>
      <c r="D2" s="4" t="s">
        <v>151</v>
      </c>
    </row>
    <row r="3" spans="2:7" x14ac:dyDescent="0.25">
      <c r="B3" s="27" t="s">
        <v>113</v>
      </c>
      <c r="C3" s="14">
        <v>64</v>
      </c>
      <c r="D3" t="str">
        <f>IF(C3&lt;$G$10,"Low",IF(C3&gt;$G$9,"High",""))</f>
        <v/>
      </c>
      <c r="F3" s="28"/>
      <c r="G3" s="13"/>
    </row>
    <row r="4" spans="2:7" x14ac:dyDescent="0.25">
      <c r="B4" s="27" t="s">
        <v>106</v>
      </c>
      <c r="C4" s="14">
        <v>104</v>
      </c>
      <c r="D4" t="str">
        <f t="shared" ref="D4:D22" si="0">IF(C4&lt;$G$10,"Low",IF(C4&gt;$G$9,"High",""))</f>
        <v>High</v>
      </c>
      <c r="F4" s="48" t="s">
        <v>137</v>
      </c>
      <c r="G4" s="31">
        <f>_xlfn.QUARTILE.EXC($C$3:$C$22,3)</f>
        <v>65.5</v>
      </c>
    </row>
    <row r="5" spans="2:7" x14ac:dyDescent="0.25">
      <c r="B5" s="27" t="s">
        <v>111</v>
      </c>
      <c r="C5" s="14">
        <v>44</v>
      </c>
      <c r="D5" t="str">
        <f t="shared" si="0"/>
        <v/>
      </c>
      <c r="F5" s="49" t="s">
        <v>139</v>
      </c>
      <c r="G5" s="32">
        <f>_xlfn.QUARTILE.EXC($C$3:$C$22,1)</f>
        <v>42.5</v>
      </c>
    </row>
    <row r="6" spans="2:7" x14ac:dyDescent="0.25">
      <c r="B6" s="27" t="s">
        <v>107</v>
      </c>
      <c r="C6" s="14">
        <v>56</v>
      </c>
      <c r="D6" t="str">
        <f t="shared" si="0"/>
        <v/>
      </c>
      <c r="F6" s="50" t="s">
        <v>148</v>
      </c>
      <c r="G6" s="33">
        <f>G4-G5</f>
        <v>23</v>
      </c>
    </row>
    <row r="7" spans="2:7" x14ac:dyDescent="0.25">
      <c r="B7" s="27" t="s">
        <v>133</v>
      </c>
      <c r="C7" s="14">
        <v>46</v>
      </c>
      <c r="D7" t="str">
        <f t="shared" si="0"/>
        <v/>
      </c>
      <c r="F7" s="17"/>
      <c r="G7" s="13"/>
    </row>
    <row r="8" spans="2:7" x14ac:dyDescent="0.25">
      <c r="B8" s="27" t="s">
        <v>120</v>
      </c>
      <c r="C8" s="14">
        <v>46</v>
      </c>
      <c r="D8" t="str">
        <f t="shared" si="0"/>
        <v/>
      </c>
      <c r="F8" s="48" t="s">
        <v>152</v>
      </c>
      <c r="G8" s="31">
        <v>1.5</v>
      </c>
    </row>
    <row r="9" spans="2:7" x14ac:dyDescent="0.25">
      <c r="B9" s="27" t="s">
        <v>115</v>
      </c>
      <c r="C9" s="14">
        <v>66</v>
      </c>
      <c r="D9" t="str">
        <f t="shared" si="0"/>
        <v/>
      </c>
      <c r="F9" s="49" t="s">
        <v>150</v>
      </c>
      <c r="G9" s="34">
        <f>G4+(G6*G8)</f>
        <v>100</v>
      </c>
    </row>
    <row r="10" spans="2:7" ht="15" customHeight="1" x14ac:dyDescent="0.25">
      <c r="B10" t="s">
        <v>114</v>
      </c>
      <c r="C10" s="14">
        <v>6</v>
      </c>
      <c r="D10" t="str">
        <f t="shared" si="0"/>
        <v>Low</v>
      </c>
      <c r="E10" s="27"/>
      <c r="F10" s="50" t="s">
        <v>149</v>
      </c>
      <c r="G10" s="35">
        <f>G5-(G6*G8)</f>
        <v>8</v>
      </c>
    </row>
    <row r="11" spans="2:7" ht="15" customHeight="1" x14ac:dyDescent="0.25">
      <c r="B11" t="s">
        <v>117</v>
      </c>
      <c r="C11" s="14">
        <v>47</v>
      </c>
      <c r="D11" t="str">
        <f t="shared" si="0"/>
        <v/>
      </c>
      <c r="E11" s="27"/>
      <c r="F11" s="29"/>
    </row>
    <row r="12" spans="2:7" ht="15" customHeight="1" x14ac:dyDescent="0.25">
      <c r="B12" s="27" t="s">
        <v>116</v>
      </c>
      <c r="C12" s="14">
        <v>52</v>
      </c>
      <c r="D12" t="str">
        <f t="shared" si="0"/>
        <v/>
      </c>
      <c r="E12" s="27"/>
      <c r="F12" s="29"/>
    </row>
    <row r="13" spans="2:7" ht="15" customHeight="1" x14ac:dyDescent="0.25">
      <c r="B13" t="s">
        <v>125</v>
      </c>
      <c r="C13" s="14">
        <v>10</v>
      </c>
      <c r="D13" t="str">
        <f t="shared" si="0"/>
        <v/>
      </c>
      <c r="E13" s="27"/>
      <c r="F13" s="30"/>
    </row>
    <row r="14" spans="2:7" ht="15" customHeight="1" x14ac:dyDescent="0.25">
      <c r="B14" t="s">
        <v>109</v>
      </c>
      <c r="C14" s="14">
        <v>5</v>
      </c>
      <c r="D14" t="str">
        <f t="shared" si="0"/>
        <v>Low</v>
      </c>
      <c r="E14" s="27"/>
      <c r="F14" s="30"/>
    </row>
    <row r="15" spans="2:7" ht="15" customHeight="1" x14ac:dyDescent="0.25">
      <c r="B15" s="27" t="s">
        <v>124</v>
      </c>
      <c r="C15" s="14">
        <v>46</v>
      </c>
      <c r="D15" t="str">
        <f t="shared" si="0"/>
        <v/>
      </c>
      <c r="E15" s="27"/>
      <c r="F15" s="30"/>
    </row>
    <row r="16" spans="2:7" ht="15" customHeight="1" x14ac:dyDescent="0.25">
      <c r="B16" t="s">
        <v>119</v>
      </c>
      <c r="C16" s="14">
        <v>7</v>
      </c>
      <c r="D16" t="str">
        <f t="shared" si="0"/>
        <v>Low</v>
      </c>
      <c r="E16" s="27"/>
      <c r="F16" s="30"/>
    </row>
    <row r="17" spans="2:6" ht="15" customHeight="1" x14ac:dyDescent="0.25">
      <c r="B17" s="27" t="s">
        <v>112</v>
      </c>
      <c r="C17" s="14">
        <v>46</v>
      </c>
      <c r="D17" t="str">
        <f t="shared" si="0"/>
        <v/>
      </c>
      <c r="E17" s="27"/>
      <c r="F17" s="30"/>
    </row>
    <row r="18" spans="2:6" ht="15" customHeight="1" x14ac:dyDescent="0.25">
      <c r="B18" s="27" t="s">
        <v>135</v>
      </c>
      <c r="C18" s="14">
        <v>110</v>
      </c>
      <c r="D18" t="str">
        <f t="shared" si="0"/>
        <v>High</v>
      </c>
      <c r="E18" s="27"/>
      <c r="F18" s="29"/>
    </row>
    <row r="19" spans="2:6" ht="15" customHeight="1" x14ac:dyDescent="0.25">
      <c r="B19" t="s">
        <v>108</v>
      </c>
      <c r="C19" s="14">
        <v>90</v>
      </c>
      <c r="D19" t="str">
        <f t="shared" si="0"/>
        <v/>
      </c>
      <c r="E19" s="27"/>
      <c r="F19" s="29"/>
    </row>
    <row r="20" spans="2:6" ht="15" customHeight="1" x14ac:dyDescent="0.25">
      <c r="B20" s="27" t="s">
        <v>130</v>
      </c>
      <c r="C20" s="14">
        <v>101</v>
      </c>
      <c r="D20" t="str">
        <f t="shared" si="0"/>
        <v>High</v>
      </c>
      <c r="E20" s="27"/>
      <c r="F20" s="30"/>
    </row>
    <row r="21" spans="2:6" ht="15" customHeight="1" x14ac:dyDescent="0.25">
      <c r="B21" t="s">
        <v>110</v>
      </c>
      <c r="C21" s="14">
        <v>42</v>
      </c>
      <c r="D21" t="str">
        <f t="shared" si="0"/>
        <v/>
      </c>
      <c r="E21" s="27"/>
      <c r="F21" s="30"/>
    </row>
    <row r="22" spans="2:6" ht="15" customHeight="1" x14ac:dyDescent="0.25">
      <c r="B22" s="27" t="s">
        <v>122</v>
      </c>
      <c r="C22" s="14">
        <v>52</v>
      </c>
      <c r="D22" t="str">
        <f t="shared" si="0"/>
        <v/>
      </c>
      <c r="E22" s="27"/>
      <c r="F22" s="30"/>
    </row>
    <row r="23" spans="2:6" ht="15" customHeight="1" x14ac:dyDescent="0.25">
      <c r="F23" s="30"/>
    </row>
    <row r="24" spans="2:6" ht="15" customHeight="1" x14ac:dyDescent="0.25">
      <c r="F24" s="24"/>
    </row>
    <row r="25" spans="2:6" ht="15" customHeight="1" x14ac:dyDescent="0.25">
      <c r="F25" s="24"/>
    </row>
    <row r="26" spans="2:6" ht="15" customHeight="1" x14ac:dyDescent="0.25">
      <c r="F26" s="24"/>
    </row>
    <row r="27" spans="2:6" ht="15" customHeight="1" x14ac:dyDescent="0.25">
      <c r="F27" s="24"/>
    </row>
    <row r="28" spans="2:6" ht="15" customHeight="1" x14ac:dyDescent="0.25">
      <c r="F28" s="24"/>
    </row>
    <row r="29" spans="2:6" ht="15" customHeight="1" x14ac:dyDescent="0.25">
      <c r="F29" s="24"/>
    </row>
    <row r="30" spans="2:6" ht="15" customHeight="1" x14ac:dyDescent="0.25">
      <c r="F30" s="24"/>
    </row>
    <row r="31" spans="2:6" ht="15" customHeight="1" x14ac:dyDescent="0.25">
      <c r="F31" s="24"/>
    </row>
    <row r="32" spans="2:6" ht="15" customHeight="1" x14ac:dyDescent="0.25">
      <c r="F32" s="24"/>
    </row>
    <row r="33" spans="6:6" ht="15" customHeight="1" x14ac:dyDescent="0.25">
      <c r="F33" s="24"/>
    </row>
    <row r="34" spans="6:6" ht="15" customHeight="1" x14ac:dyDescent="0.25">
      <c r="F34" s="24"/>
    </row>
    <row r="35" spans="6:6" ht="15" customHeight="1" x14ac:dyDescent="0.25">
      <c r="F35" s="24"/>
    </row>
    <row r="36" spans="6:6" ht="15" customHeight="1" x14ac:dyDescent="0.25">
      <c r="F36" s="24"/>
    </row>
    <row r="37" spans="6:6" ht="15" customHeight="1" x14ac:dyDescent="0.25">
      <c r="F37" s="24"/>
    </row>
    <row r="38" spans="6:6" ht="15" customHeight="1" x14ac:dyDescent="0.25">
      <c r="F38" s="24"/>
    </row>
    <row r="39" spans="6:6" ht="15" customHeight="1" x14ac:dyDescent="0.25">
      <c r="F39" s="24"/>
    </row>
    <row r="40" spans="6:6" ht="15" customHeight="1" x14ac:dyDescent="0.25">
      <c r="F40" s="24"/>
    </row>
    <row r="41" spans="6:6" x14ac:dyDescent="0.25">
      <c r="F41" s="24"/>
    </row>
  </sheetData>
  <sortState ref="B3:D22">
    <sortCondition ref="B3:B2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K41"/>
  <sheetViews>
    <sheetView workbookViewId="0">
      <selection activeCell="D3" sqref="D3"/>
    </sheetView>
  </sheetViews>
  <sheetFormatPr defaultRowHeight="15" x14ac:dyDescent="0.25"/>
  <cols>
    <col min="1" max="1" width="4.42578125" customWidth="1"/>
    <col min="2" max="2" width="16.28515625" bestFit="1" customWidth="1"/>
    <col min="3" max="3" width="15.7109375" bestFit="1" customWidth="1"/>
    <col min="4" max="4" width="11.7109375" bestFit="1" customWidth="1"/>
    <col min="5" max="5" width="4.5703125" customWidth="1"/>
    <col min="6" max="6" width="18.85546875" customWidth="1"/>
    <col min="7" max="7" width="1.7109375" customWidth="1"/>
    <col min="8" max="8" width="23.85546875" customWidth="1"/>
    <col min="9" max="9" width="17.7109375" customWidth="1"/>
    <col min="10" max="10" width="19.7109375" bestFit="1" customWidth="1"/>
  </cols>
  <sheetData>
    <row r="2" spans="2:11" x14ac:dyDescent="0.25">
      <c r="B2" s="4" t="s">
        <v>104</v>
      </c>
      <c r="C2" s="4" t="s">
        <v>105</v>
      </c>
      <c r="D2" s="4" t="s">
        <v>151</v>
      </c>
    </row>
    <row r="3" spans="2:11" ht="15.75" thickBot="1" x14ac:dyDescent="0.3">
      <c r="B3" t="s">
        <v>109</v>
      </c>
      <c r="C3" s="14">
        <v>5</v>
      </c>
      <c r="D3" t="str">
        <f>IF(C3&lt;$K$10,"Low",IF(C3&gt;$K$9,"High",""))</f>
        <v>Low</v>
      </c>
      <c r="J3" s="28"/>
      <c r="K3" s="13"/>
    </row>
    <row r="4" spans="2:11" ht="21.95" customHeight="1" thickBot="1" x14ac:dyDescent="0.3">
      <c r="B4" t="s">
        <v>114</v>
      </c>
      <c r="C4" s="14">
        <v>6</v>
      </c>
      <c r="D4" t="str">
        <f>IF(C4&lt;$K$10,"Low",IF(C4&gt;$K$9,"High",""))</f>
        <v>Low</v>
      </c>
      <c r="E4" s="37"/>
      <c r="F4" s="46" t="s">
        <v>156</v>
      </c>
      <c r="G4" s="36"/>
      <c r="J4" s="48" t="s">
        <v>137</v>
      </c>
      <c r="K4" s="31">
        <f>_xlfn.QUARTILE.EXC($C$3:$C$22,3)</f>
        <v>65.5</v>
      </c>
    </row>
    <row r="5" spans="2:11" ht="21.95" customHeight="1" thickBot="1" x14ac:dyDescent="0.3">
      <c r="B5" s="22" t="s">
        <v>119</v>
      </c>
      <c r="C5" s="23">
        <v>7</v>
      </c>
      <c r="D5" s="22" t="str">
        <f>IF(C5&lt;$K$10,"Low",IF(C5&gt;$K$9,"High",""))</f>
        <v>Low</v>
      </c>
      <c r="E5" s="38"/>
      <c r="F5" s="47"/>
      <c r="G5" s="36"/>
      <c r="J5" s="49" t="s">
        <v>139</v>
      </c>
      <c r="K5" s="32">
        <f>_xlfn.QUARTILE.EXC($C$3:$C$22,1)</f>
        <v>42.5</v>
      </c>
    </row>
    <row r="6" spans="2:11" ht="21.95" customHeight="1" thickBot="1" x14ac:dyDescent="0.3">
      <c r="B6" s="43" t="s">
        <v>125</v>
      </c>
      <c r="C6" s="45">
        <v>10</v>
      </c>
      <c r="D6" s="43" t="str">
        <f>IF(C6&lt;$K$10,"Low",IF(C6&gt;$K$9,"High",""))</f>
        <v/>
      </c>
      <c r="E6" s="43"/>
      <c r="F6" s="43"/>
      <c r="G6" s="44"/>
      <c r="H6" s="46" t="s">
        <v>155</v>
      </c>
      <c r="J6" s="50" t="s">
        <v>148</v>
      </c>
      <c r="K6" s="33">
        <f>K4-K5</f>
        <v>23</v>
      </c>
    </row>
    <row r="7" spans="2:11" ht="21.95" customHeight="1" thickBot="1" x14ac:dyDescent="0.3">
      <c r="B7" s="22" t="s">
        <v>110</v>
      </c>
      <c r="C7" s="23">
        <v>42</v>
      </c>
      <c r="D7" s="22" t="str">
        <f>IF(C7&lt;$K$10,"Low",IF(C7&gt;$K$9,"High",""))</f>
        <v/>
      </c>
      <c r="H7" s="47"/>
      <c r="J7" s="17"/>
      <c r="K7" s="13"/>
    </row>
    <row r="8" spans="2:11" ht="21.95" customHeight="1" thickBot="1" x14ac:dyDescent="0.3">
      <c r="B8" s="27" t="s">
        <v>111</v>
      </c>
      <c r="C8" s="14">
        <v>44</v>
      </c>
      <c r="D8" t="str">
        <f>IF(C8&lt;$K$10,"Low",IF(C8&gt;$K$9,"High",""))</f>
        <v/>
      </c>
      <c r="E8" s="39"/>
      <c r="F8" s="46" t="s">
        <v>153</v>
      </c>
      <c r="G8" s="36"/>
      <c r="J8" s="48" t="s">
        <v>152</v>
      </c>
      <c r="K8" s="31">
        <v>1.5</v>
      </c>
    </row>
    <row r="9" spans="2:11" ht="21.95" customHeight="1" thickBot="1" x14ac:dyDescent="0.3">
      <c r="B9" s="27" t="s">
        <v>133</v>
      </c>
      <c r="C9" s="14">
        <v>46</v>
      </c>
      <c r="D9" t="str">
        <f>IF(C9&lt;$K$10,"Low",IF(C9&gt;$K$9,"High",""))</f>
        <v/>
      </c>
      <c r="F9" s="47"/>
      <c r="G9" s="36"/>
      <c r="J9" s="49" t="s">
        <v>150</v>
      </c>
      <c r="K9" s="34">
        <f>K4+(K6*K8)</f>
        <v>100</v>
      </c>
    </row>
    <row r="10" spans="2:11" ht="15" customHeight="1" x14ac:dyDescent="0.25">
      <c r="B10" s="27" t="s">
        <v>120</v>
      </c>
      <c r="C10" s="14">
        <v>46</v>
      </c>
      <c r="D10" t="str">
        <f>IF(C10&lt;$K$10,"Low",IF(C10&gt;$K$9,"High",""))</f>
        <v/>
      </c>
      <c r="E10" s="27"/>
      <c r="F10" s="27"/>
      <c r="G10" s="27"/>
      <c r="H10" s="27"/>
      <c r="I10" s="27"/>
      <c r="J10" s="50" t="s">
        <v>149</v>
      </c>
      <c r="K10" s="35">
        <f>K5-(K6*K8)</f>
        <v>8</v>
      </c>
    </row>
    <row r="11" spans="2:11" ht="15" customHeight="1" x14ac:dyDescent="0.25">
      <c r="B11" s="27" t="s">
        <v>124</v>
      </c>
      <c r="C11" s="14">
        <v>46</v>
      </c>
      <c r="D11" t="str">
        <f>IF(C11&lt;$K$10,"Low",IF(C11&gt;$K$9,"High",""))</f>
        <v/>
      </c>
      <c r="E11" s="27"/>
      <c r="F11" s="27"/>
      <c r="G11" s="27"/>
      <c r="H11" s="27"/>
      <c r="I11" s="27"/>
      <c r="J11" s="51"/>
    </row>
    <row r="12" spans="2:11" ht="15" customHeight="1" x14ac:dyDescent="0.25">
      <c r="B12" s="27" t="s">
        <v>112</v>
      </c>
      <c r="C12" s="14">
        <v>46</v>
      </c>
      <c r="D12" t="str">
        <f>IF(C12&lt;$K$10,"Low",IF(C12&gt;$K$9,"High",""))</f>
        <v/>
      </c>
      <c r="E12" s="27"/>
      <c r="F12" s="27"/>
      <c r="G12" s="27"/>
      <c r="H12" s="27"/>
      <c r="I12" s="27"/>
      <c r="J12" s="48" t="s">
        <v>152</v>
      </c>
      <c r="K12" s="31">
        <v>1</v>
      </c>
    </row>
    <row r="13" spans="2:11" ht="15" customHeight="1" x14ac:dyDescent="0.25">
      <c r="B13" t="s">
        <v>117</v>
      </c>
      <c r="C13" s="14">
        <v>47</v>
      </c>
      <c r="D13" t="str">
        <f>IF(C13&lt;$K$10,"Low",IF(C13&gt;$K$9,"High",""))</f>
        <v/>
      </c>
      <c r="E13" s="27"/>
      <c r="F13" s="27"/>
      <c r="G13" s="27"/>
      <c r="H13" s="27"/>
      <c r="I13" s="27"/>
      <c r="J13" s="49" t="s">
        <v>150</v>
      </c>
      <c r="K13" s="34">
        <f>K4+(K6*K12)</f>
        <v>88.5</v>
      </c>
    </row>
    <row r="14" spans="2:11" ht="15" customHeight="1" x14ac:dyDescent="0.25">
      <c r="B14" s="27" t="s">
        <v>116</v>
      </c>
      <c r="C14" s="14">
        <v>52</v>
      </c>
      <c r="D14" t="str">
        <f>IF(C14&lt;$K$10,"Low",IF(C14&gt;$K$9,"High",""))</f>
        <v/>
      </c>
      <c r="E14" s="27"/>
      <c r="F14" s="27"/>
      <c r="G14" s="27"/>
      <c r="H14" s="27"/>
      <c r="I14" s="27"/>
      <c r="J14" s="50" t="s">
        <v>149</v>
      </c>
      <c r="K14" s="35">
        <f>K5-(K6*K12)</f>
        <v>19.5</v>
      </c>
    </row>
    <row r="15" spans="2:11" ht="15" customHeight="1" thickBot="1" x14ac:dyDescent="0.3">
      <c r="B15" s="27" t="s">
        <v>122</v>
      </c>
      <c r="C15" s="14">
        <v>52</v>
      </c>
      <c r="D15" t="str">
        <f>IF(C15&lt;$K$10,"Low",IF(C15&gt;$K$9,"High",""))</f>
        <v/>
      </c>
      <c r="E15" s="27"/>
      <c r="F15" s="27"/>
      <c r="G15" s="27"/>
      <c r="H15" s="27"/>
      <c r="I15" s="27"/>
      <c r="J15" s="30"/>
    </row>
    <row r="16" spans="2:11" ht="21.95" customHeight="1" thickBot="1" x14ac:dyDescent="0.3">
      <c r="B16" s="27" t="s">
        <v>107</v>
      </c>
      <c r="C16" s="14">
        <v>56</v>
      </c>
      <c r="D16" t="str">
        <f>IF(C16&lt;$K$10,"Low",IF(C16&gt;$K$9,"High",""))</f>
        <v/>
      </c>
      <c r="E16" s="37"/>
      <c r="F16" s="46" t="s">
        <v>137</v>
      </c>
      <c r="G16" s="36"/>
      <c r="H16" s="27"/>
      <c r="I16" s="27"/>
      <c r="J16" s="30"/>
    </row>
    <row r="17" spans="2:10" ht="21.95" customHeight="1" thickBot="1" x14ac:dyDescent="0.3">
      <c r="B17" s="22" t="s">
        <v>113</v>
      </c>
      <c r="C17" s="23">
        <v>64</v>
      </c>
      <c r="D17" s="22" t="str">
        <f>IF(C17&lt;$K$10,"Low",IF(C17&gt;$K$9,"High",""))</f>
        <v/>
      </c>
      <c r="E17" s="40"/>
      <c r="F17" s="47"/>
      <c r="G17" s="36"/>
      <c r="H17" s="27"/>
      <c r="I17" s="27"/>
      <c r="J17" s="30"/>
    </row>
    <row r="18" spans="2:10" ht="21.95" customHeight="1" thickBot="1" x14ac:dyDescent="0.3">
      <c r="B18" s="41" t="s">
        <v>115</v>
      </c>
      <c r="C18" s="42">
        <v>66</v>
      </c>
      <c r="D18" s="41" t="str">
        <f>IF(C18&lt;$K$10,"Low",IF(C18&gt;$K$9,"High",""))</f>
        <v/>
      </c>
      <c r="E18" s="43"/>
      <c r="F18" s="43"/>
      <c r="G18" s="44"/>
      <c r="H18" s="46" t="s">
        <v>154</v>
      </c>
      <c r="I18" s="27"/>
      <c r="J18" s="29"/>
    </row>
    <row r="19" spans="2:10" ht="21.95" customHeight="1" thickBot="1" x14ac:dyDescent="0.3">
      <c r="B19" s="22" t="s">
        <v>108</v>
      </c>
      <c r="C19" s="23">
        <v>90</v>
      </c>
      <c r="D19" s="22" t="str">
        <f>IF(C19&lt;$K$10,"Low",IF(C19&gt;$K$9,"High",""))</f>
        <v/>
      </c>
      <c r="E19" s="27"/>
      <c r="F19" s="27"/>
      <c r="G19" s="27"/>
      <c r="H19" s="47"/>
      <c r="I19" s="27"/>
      <c r="J19" s="29"/>
    </row>
    <row r="20" spans="2:10" ht="21.95" customHeight="1" thickBot="1" x14ac:dyDescent="0.3">
      <c r="B20" s="27" t="s">
        <v>130</v>
      </c>
      <c r="C20" s="14">
        <v>101</v>
      </c>
      <c r="D20" t="str">
        <f>IF(C20&lt;$K$10,"Low",IF(C20&gt;$K$9,"High",""))</f>
        <v>High</v>
      </c>
      <c r="E20" s="39"/>
      <c r="F20" s="46" t="s">
        <v>157</v>
      </c>
      <c r="G20" s="36"/>
      <c r="H20" s="27"/>
      <c r="I20" s="27"/>
      <c r="J20" s="30"/>
    </row>
    <row r="21" spans="2:10" ht="21.95" customHeight="1" thickBot="1" x14ac:dyDescent="0.3">
      <c r="B21" s="27" t="s">
        <v>106</v>
      </c>
      <c r="C21" s="14">
        <v>104</v>
      </c>
      <c r="D21" t="str">
        <f>IF(C21&lt;$K$10,"Low",IF(C21&gt;$K$9,"High",""))</f>
        <v>High</v>
      </c>
      <c r="E21" s="27"/>
      <c r="F21" s="47"/>
      <c r="G21" s="36"/>
      <c r="H21" s="27"/>
      <c r="I21" s="27"/>
      <c r="J21" s="30"/>
    </row>
    <row r="22" spans="2:10" ht="15" customHeight="1" x14ac:dyDescent="0.25">
      <c r="B22" s="27" t="s">
        <v>135</v>
      </c>
      <c r="C22" s="14">
        <v>110</v>
      </c>
      <c r="D22" t="str">
        <f>IF(C22&lt;$K$10,"Low",IF(C22&gt;$K$9,"High",""))</f>
        <v>High</v>
      </c>
      <c r="E22" s="27"/>
      <c r="F22" s="27"/>
      <c r="G22" s="27"/>
      <c r="H22" s="27"/>
      <c r="I22" s="27"/>
      <c r="J22" s="30"/>
    </row>
    <row r="23" spans="2:10" ht="15" customHeight="1" x14ac:dyDescent="0.25">
      <c r="J23" s="30"/>
    </row>
    <row r="24" spans="2:10" ht="15" customHeight="1" x14ac:dyDescent="0.25">
      <c r="J24" s="24"/>
    </row>
    <row r="25" spans="2:10" ht="15" customHeight="1" x14ac:dyDescent="0.25">
      <c r="J25" s="24"/>
    </row>
    <row r="26" spans="2:10" ht="15" customHeight="1" x14ac:dyDescent="0.25">
      <c r="J26" s="24"/>
    </row>
    <row r="27" spans="2:10" ht="15" customHeight="1" x14ac:dyDescent="0.25">
      <c r="J27" s="24"/>
    </row>
    <row r="28" spans="2:10" ht="15" customHeight="1" x14ac:dyDescent="0.25">
      <c r="J28" s="24"/>
    </row>
    <row r="29" spans="2:10" ht="15" customHeight="1" x14ac:dyDescent="0.25">
      <c r="J29" s="24"/>
    </row>
    <row r="30" spans="2:10" ht="15" customHeight="1" x14ac:dyDescent="0.25">
      <c r="J30" s="24"/>
    </row>
    <row r="31" spans="2:10" ht="15" customHeight="1" x14ac:dyDescent="0.25">
      <c r="J31" s="24"/>
    </row>
    <row r="32" spans="2:10" ht="15" customHeight="1" x14ac:dyDescent="0.25">
      <c r="J32" s="24"/>
    </row>
    <row r="33" spans="10:10" ht="15" customHeight="1" x14ac:dyDescent="0.25">
      <c r="J33" s="24"/>
    </row>
    <row r="34" spans="10:10" ht="15" customHeight="1" x14ac:dyDescent="0.25">
      <c r="J34" s="24"/>
    </row>
    <row r="35" spans="10:10" ht="15" customHeight="1" x14ac:dyDescent="0.25">
      <c r="J35" s="24"/>
    </row>
    <row r="36" spans="10:10" ht="15" customHeight="1" x14ac:dyDescent="0.25">
      <c r="J36" s="24"/>
    </row>
    <row r="37" spans="10:10" ht="15" customHeight="1" x14ac:dyDescent="0.25">
      <c r="J37" s="24"/>
    </row>
    <row r="38" spans="10:10" ht="15" customHeight="1" x14ac:dyDescent="0.25">
      <c r="J38" s="24"/>
    </row>
    <row r="39" spans="10:10" ht="15" customHeight="1" x14ac:dyDescent="0.25">
      <c r="J39" s="24"/>
    </row>
    <row r="40" spans="10:10" ht="15" customHeight="1" x14ac:dyDescent="0.25">
      <c r="J40" s="24"/>
    </row>
    <row r="41" spans="10:10" x14ac:dyDescent="0.25">
      <c r="J41" s="24"/>
    </row>
  </sheetData>
  <sortState ref="B3:D22">
    <sortCondition ref="C3:C22"/>
  </sortState>
  <mergeCells count="6">
    <mergeCell ref="F4:F5"/>
    <mergeCell ref="H6:H7"/>
    <mergeCell ref="F8:F9"/>
    <mergeCell ref="F20:F21"/>
    <mergeCell ref="H18:H19"/>
    <mergeCell ref="F16:F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G52"/>
  <sheetViews>
    <sheetView workbookViewId="0">
      <selection activeCell="G3" sqref="G3"/>
    </sheetView>
  </sheetViews>
  <sheetFormatPr defaultRowHeight="15" x14ac:dyDescent="0.25"/>
  <cols>
    <col min="2" max="2" width="8.85546875" bestFit="1" customWidth="1"/>
    <col min="3" max="3" width="9.5703125" bestFit="1" customWidth="1"/>
    <col min="4" max="4" width="3.57031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 x14ac:dyDescent="0.25">
      <c r="B2" s="4" t="s">
        <v>158</v>
      </c>
      <c r="C2" s="4" t="s">
        <v>159</v>
      </c>
      <c r="E2" s="52" t="s">
        <v>210</v>
      </c>
      <c r="F2" s="52"/>
      <c r="G2" s="4" t="s">
        <v>211</v>
      </c>
    </row>
    <row r="3" spans="2:7" x14ac:dyDescent="0.25">
      <c r="B3" t="s">
        <v>167</v>
      </c>
      <c r="C3" s="7">
        <v>263.66000000000003</v>
      </c>
      <c r="E3" s="14">
        <f>F3-100</f>
        <v>0</v>
      </c>
      <c r="F3" s="14">
        <v>100</v>
      </c>
      <c r="G3">
        <f t="array" ref="G3:G12">FREQUENCY(C3:C52,F3:F12)</f>
        <v>4</v>
      </c>
    </row>
    <row r="4" spans="2:7" x14ac:dyDescent="0.25">
      <c r="B4" t="s">
        <v>184</v>
      </c>
      <c r="C4" s="7">
        <v>273.37</v>
      </c>
      <c r="E4" s="14">
        <f t="shared" ref="E4:E12" si="0">F4-100</f>
        <v>100</v>
      </c>
      <c r="F4" s="14">
        <v>200</v>
      </c>
      <c r="G4">
        <v>2</v>
      </c>
    </row>
    <row r="5" spans="2:7" x14ac:dyDescent="0.25">
      <c r="B5" t="s">
        <v>182</v>
      </c>
      <c r="C5" s="7">
        <v>232.24</v>
      </c>
      <c r="E5" s="14">
        <f t="shared" si="0"/>
        <v>200</v>
      </c>
      <c r="F5" s="14">
        <v>300</v>
      </c>
      <c r="G5">
        <v>20</v>
      </c>
    </row>
    <row r="6" spans="2:7" x14ac:dyDescent="0.25">
      <c r="B6" t="s">
        <v>204</v>
      </c>
      <c r="C6" s="7">
        <v>725.03</v>
      </c>
      <c r="E6" s="14">
        <f t="shared" si="0"/>
        <v>300</v>
      </c>
      <c r="F6" s="14">
        <v>400</v>
      </c>
      <c r="G6">
        <v>3</v>
      </c>
    </row>
    <row r="7" spans="2:7" x14ac:dyDescent="0.25">
      <c r="B7" t="s">
        <v>201</v>
      </c>
      <c r="C7" s="7">
        <v>969.66</v>
      </c>
      <c r="E7" s="14">
        <f t="shared" si="0"/>
        <v>400</v>
      </c>
      <c r="F7" s="14">
        <v>500</v>
      </c>
      <c r="G7">
        <v>2</v>
      </c>
    </row>
    <row r="8" spans="2:7" x14ac:dyDescent="0.25">
      <c r="B8" t="s">
        <v>174</v>
      </c>
      <c r="C8" s="7">
        <v>264.95</v>
      </c>
      <c r="E8" s="14">
        <f t="shared" si="0"/>
        <v>500</v>
      </c>
      <c r="F8" s="14">
        <v>600</v>
      </c>
      <c r="G8">
        <v>2</v>
      </c>
    </row>
    <row r="9" spans="2:7" x14ac:dyDescent="0.25">
      <c r="B9" t="s">
        <v>169</v>
      </c>
      <c r="C9" s="7">
        <v>204.54</v>
      </c>
      <c r="E9" s="14">
        <f t="shared" si="0"/>
        <v>600</v>
      </c>
      <c r="F9" s="14">
        <v>700</v>
      </c>
      <c r="G9">
        <v>3</v>
      </c>
    </row>
    <row r="10" spans="2:7" x14ac:dyDescent="0.25">
      <c r="B10" t="s">
        <v>171</v>
      </c>
      <c r="C10" s="7">
        <v>246.78</v>
      </c>
      <c r="E10" s="14">
        <f t="shared" si="0"/>
        <v>700</v>
      </c>
      <c r="F10" s="14">
        <v>800</v>
      </c>
      <c r="G10">
        <v>4</v>
      </c>
    </row>
    <row r="11" spans="2:7" x14ac:dyDescent="0.25">
      <c r="B11" t="s">
        <v>172</v>
      </c>
      <c r="C11" s="7">
        <v>202.64</v>
      </c>
      <c r="E11" s="14">
        <f t="shared" si="0"/>
        <v>800</v>
      </c>
      <c r="F11" s="14">
        <v>900</v>
      </c>
      <c r="G11">
        <v>4</v>
      </c>
    </row>
    <row r="12" spans="2:7" x14ac:dyDescent="0.25">
      <c r="B12" t="s">
        <v>189</v>
      </c>
      <c r="C12" s="7">
        <v>376.77</v>
      </c>
      <c r="E12" s="14">
        <f t="shared" si="0"/>
        <v>900</v>
      </c>
      <c r="F12" s="14">
        <v>1000</v>
      </c>
      <c r="G12">
        <v>6</v>
      </c>
    </row>
    <row r="13" spans="2:7" x14ac:dyDescent="0.25">
      <c r="B13" t="s">
        <v>181</v>
      </c>
      <c r="C13" s="7">
        <v>243.42</v>
      </c>
    </row>
    <row r="14" spans="2:7" x14ac:dyDescent="0.25">
      <c r="B14" t="s">
        <v>196</v>
      </c>
      <c r="C14" s="7">
        <v>277.74</v>
      </c>
    </row>
    <row r="15" spans="2:7" x14ac:dyDescent="0.25">
      <c r="B15" t="s">
        <v>203</v>
      </c>
      <c r="C15" s="7">
        <v>689.93</v>
      </c>
    </row>
    <row r="16" spans="2:7" x14ac:dyDescent="0.25">
      <c r="B16" t="s">
        <v>205</v>
      </c>
      <c r="C16" s="7">
        <v>795.39</v>
      </c>
    </row>
    <row r="17" spans="2:3" x14ac:dyDescent="0.25">
      <c r="B17" t="s">
        <v>160</v>
      </c>
      <c r="C17" s="7">
        <v>716.55</v>
      </c>
    </row>
    <row r="18" spans="2:3" x14ac:dyDescent="0.25">
      <c r="B18" t="s">
        <v>207</v>
      </c>
      <c r="C18" s="7">
        <v>41.68</v>
      </c>
    </row>
    <row r="19" spans="2:3" x14ac:dyDescent="0.25">
      <c r="B19" t="s">
        <v>179</v>
      </c>
      <c r="C19" s="7">
        <v>249.15</v>
      </c>
    </row>
    <row r="20" spans="2:3" x14ac:dyDescent="0.25">
      <c r="B20" t="s">
        <v>195</v>
      </c>
      <c r="C20" s="7">
        <v>631.66999999999996</v>
      </c>
    </row>
    <row r="21" spans="2:3" x14ac:dyDescent="0.25">
      <c r="B21" t="s">
        <v>162</v>
      </c>
      <c r="C21" s="7">
        <v>982.17</v>
      </c>
    </row>
    <row r="22" spans="2:3" x14ac:dyDescent="0.25">
      <c r="B22" t="s">
        <v>209</v>
      </c>
      <c r="C22" s="7">
        <v>892.17</v>
      </c>
    </row>
    <row r="23" spans="2:3" x14ac:dyDescent="0.25">
      <c r="B23" t="s">
        <v>173</v>
      </c>
      <c r="C23" s="7">
        <v>266.52</v>
      </c>
    </row>
    <row r="24" spans="2:3" x14ac:dyDescent="0.25">
      <c r="B24" t="s">
        <v>168</v>
      </c>
      <c r="C24" s="7">
        <v>239.63</v>
      </c>
    </row>
    <row r="25" spans="2:3" x14ac:dyDescent="0.25">
      <c r="B25" t="s">
        <v>193</v>
      </c>
      <c r="C25" s="7">
        <v>954.96</v>
      </c>
    </row>
    <row r="26" spans="2:3" x14ac:dyDescent="0.25">
      <c r="B26" t="s">
        <v>161</v>
      </c>
      <c r="C26" s="7">
        <v>195.77</v>
      </c>
    </row>
    <row r="27" spans="2:3" x14ac:dyDescent="0.25">
      <c r="B27" t="s">
        <v>178</v>
      </c>
      <c r="C27" s="7">
        <v>225.34</v>
      </c>
    </row>
    <row r="28" spans="2:3" x14ac:dyDescent="0.25">
      <c r="B28" t="s">
        <v>177</v>
      </c>
      <c r="C28" s="7">
        <v>237.69</v>
      </c>
    </row>
    <row r="29" spans="2:3" x14ac:dyDescent="0.25">
      <c r="B29" t="s">
        <v>185</v>
      </c>
      <c r="C29" s="7">
        <v>874.01</v>
      </c>
    </row>
    <row r="30" spans="2:3" x14ac:dyDescent="0.25">
      <c r="B30" t="s">
        <v>194</v>
      </c>
      <c r="C30" s="7">
        <v>833.64</v>
      </c>
    </row>
    <row r="31" spans="2:3" x14ac:dyDescent="0.25">
      <c r="B31" t="s">
        <v>166</v>
      </c>
      <c r="C31" s="7">
        <v>320.93</v>
      </c>
    </row>
    <row r="32" spans="2:3" x14ac:dyDescent="0.25">
      <c r="B32" t="s">
        <v>190</v>
      </c>
      <c r="C32" s="7">
        <v>922.06</v>
      </c>
    </row>
    <row r="33" spans="2:3" x14ac:dyDescent="0.25">
      <c r="B33" t="s">
        <v>164</v>
      </c>
      <c r="C33" s="7">
        <v>994.66</v>
      </c>
    </row>
    <row r="34" spans="2:3" x14ac:dyDescent="0.25">
      <c r="B34" t="s">
        <v>199</v>
      </c>
      <c r="C34" s="7">
        <v>405.31</v>
      </c>
    </row>
    <row r="35" spans="2:3" x14ac:dyDescent="0.25">
      <c r="B35" t="s">
        <v>198</v>
      </c>
      <c r="C35" s="7">
        <v>691.57</v>
      </c>
    </row>
    <row r="36" spans="2:3" x14ac:dyDescent="0.25">
      <c r="B36" t="s">
        <v>165</v>
      </c>
      <c r="C36" s="7">
        <v>510.22</v>
      </c>
    </row>
    <row r="37" spans="2:3" x14ac:dyDescent="0.25">
      <c r="B37" t="s">
        <v>175</v>
      </c>
      <c r="C37" s="7">
        <v>225.95</v>
      </c>
    </row>
    <row r="38" spans="2:3" x14ac:dyDescent="0.25">
      <c r="B38" t="s">
        <v>200</v>
      </c>
      <c r="C38" s="7">
        <v>84.36</v>
      </c>
    </row>
    <row r="39" spans="2:3" x14ac:dyDescent="0.25">
      <c r="B39" t="s">
        <v>208</v>
      </c>
      <c r="C39" s="7">
        <v>373.7</v>
      </c>
    </row>
    <row r="40" spans="2:3" x14ac:dyDescent="0.25">
      <c r="B40" t="s">
        <v>170</v>
      </c>
      <c r="C40" s="7">
        <v>291.69</v>
      </c>
    </row>
    <row r="41" spans="2:3" x14ac:dyDescent="0.25">
      <c r="B41" t="s">
        <v>180</v>
      </c>
      <c r="C41" s="7">
        <v>272.98</v>
      </c>
    </row>
    <row r="42" spans="2:3" x14ac:dyDescent="0.25">
      <c r="B42" t="s">
        <v>176</v>
      </c>
      <c r="C42" s="7">
        <v>208.28</v>
      </c>
    </row>
    <row r="43" spans="2:3" x14ac:dyDescent="0.25">
      <c r="B43" t="s">
        <v>202</v>
      </c>
      <c r="C43" s="7">
        <v>57.13</v>
      </c>
    </row>
    <row r="44" spans="2:3" x14ac:dyDescent="0.25">
      <c r="B44" t="s">
        <v>186</v>
      </c>
      <c r="C44" s="7">
        <v>775.01</v>
      </c>
    </row>
    <row r="45" spans="2:3" x14ac:dyDescent="0.25">
      <c r="B45" t="s">
        <v>187</v>
      </c>
      <c r="C45" s="7">
        <v>807.92</v>
      </c>
    </row>
    <row r="46" spans="2:3" x14ac:dyDescent="0.25">
      <c r="B46" t="s">
        <v>197</v>
      </c>
      <c r="C46" s="7">
        <v>402.48</v>
      </c>
    </row>
    <row r="47" spans="2:3" x14ac:dyDescent="0.25">
      <c r="B47" t="s">
        <v>188</v>
      </c>
      <c r="C47" s="7">
        <v>187.26</v>
      </c>
    </row>
    <row r="48" spans="2:3" x14ac:dyDescent="0.25">
      <c r="B48" t="s">
        <v>192</v>
      </c>
      <c r="C48" s="7">
        <v>967.88</v>
      </c>
    </row>
    <row r="49" spans="2:3" x14ac:dyDescent="0.25">
      <c r="B49" t="s">
        <v>191</v>
      </c>
      <c r="C49" s="7">
        <v>34.92</v>
      </c>
    </row>
    <row r="50" spans="2:3" x14ac:dyDescent="0.25">
      <c r="B50" t="s">
        <v>183</v>
      </c>
      <c r="C50" s="7">
        <v>250.41</v>
      </c>
    </row>
    <row r="51" spans="2:3" x14ac:dyDescent="0.25">
      <c r="B51" t="s">
        <v>206</v>
      </c>
      <c r="C51" s="7">
        <v>297.04000000000002</v>
      </c>
    </row>
    <row r="52" spans="2:3" x14ac:dyDescent="0.25">
      <c r="B52" t="s">
        <v>163</v>
      </c>
      <c r="C52" s="7">
        <v>521.86</v>
      </c>
    </row>
  </sheetData>
  <sortState ref="B3:C52">
    <sortCondition ref="B3:B5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G52"/>
  <sheetViews>
    <sheetView workbookViewId="0">
      <selection activeCell="G3" sqref="G3"/>
    </sheetView>
  </sheetViews>
  <sheetFormatPr defaultRowHeight="15" x14ac:dyDescent="0.25"/>
  <cols>
    <col min="2" max="2" width="8.85546875" bestFit="1" customWidth="1"/>
    <col min="3" max="3" width="9.5703125" bestFit="1" customWidth="1"/>
    <col min="4" max="4" width="4.1406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 x14ac:dyDescent="0.25">
      <c r="B2" s="4" t="s">
        <v>158</v>
      </c>
      <c r="C2" s="4" t="s">
        <v>159</v>
      </c>
      <c r="E2" s="52" t="s">
        <v>210</v>
      </c>
      <c r="F2" s="52"/>
      <c r="G2" s="4" t="s">
        <v>211</v>
      </c>
    </row>
    <row r="3" spans="2:7" x14ac:dyDescent="0.25">
      <c r="B3" t="s">
        <v>167</v>
      </c>
      <c r="C3" s="7">
        <v>263.66000000000003</v>
      </c>
      <c r="E3" s="14">
        <f>F3-100</f>
        <v>0</v>
      </c>
      <c r="F3" s="14">
        <v>100</v>
      </c>
      <c r="G3">
        <f>COUNTIFS($C$3:$C$52,"&gt;"&amp;E3,$C$3:$C$52,"&lt;="&amp;F3)</f>
        <v>4</v>
      </c>
    </row>
    <row r="4" spans="2:7" x14ac:dyDescent="0.25">
      <c r="B4" t="s">
        <v>184</v>
      </c>
      <c r="C4" s="7">
        <v>273.37</v>
      </c>
      <c r="E4" s="14">
        <f t="shared" ref="E4:E12" si="0">F4-100</f>
        <v>100</v>
      </c>
      <c r="F4" s="14">
        <v>200</v>
      </c>
      <c r="G4">
        <f t="shared" ref="G4:G12" si="1">COUNTIFS($C$3:$C$52,"&gt;"&amp;E4,$C$3:$C$52,"&lt;="&amp;F4)</f>
        <v>2</v>
      </c>
    </row>
    <row r="5" spans="2:7" x14ac:dyDescent="0.25">
      <c r="B5" t="s">
        <v>182</v>
      </c>
      <c r="C5" s="7">
        <v>232.24</v>
      </c>
      <c r="E5" s="14">
        <f t="shared" si="0"/>
        <v>200</v>
      </c>
      <c r="F5" s="14">
        <v>300</v>
      </c>
      <c r="G5">
        <f t="shared" si="1"/>
        <v>20</v>
      </c>
    </row>
    <row r="6" spans="2:7" x14ac:dyDescent="0.25">
      <c r="B6" t="s">
        <v>204</v>
      </c>
      <c r="C6" s="7">
        <v>725.03</v>
      </c>
      <c r="E6" s="14">
        <f t="shared" si="0"/>
        <v>300</v>
      </c>
      <c r="F6" s="14">
        <v>400</v>
      </c>
      <c r="G6">
        <f t="shared" si="1"/>
        <v>3</v>
      </c>
    </row>
    <row r="7" spans="2:7" x14ac:dyDescent="0.25">
      <c r="B7" t="s">
        <v>201</v>
      </c>
      <c r="C7" s="7">
        <v>969.66</v>
      </c>
      <c r="E7" s="14">
        <f t="shared" si="0"/>
        <v>400</v>
      </c>
      <c r="F7" s="14">
        <v>500</v>
      </c>
      <c r="G7">
        <f t="shared" si="1"/>
        <v>2</v>
      </c>
    </row>
    <row r="8" spans="2:7" x14ac:dyDescent="0.25">
      <c r="B8" t="s">
        <v>174</v>
      </c>
      <c r="C8" s="7">
        <v>264.95</v>
      </c>
      <c r="E8" s="14">
        <f t="shared" si="0"/>
        <v>500</v>
      </c>
      <c r="F8" s="14">
        <v>600</v>
      </c>
      <c r="G8">
        <f t="shared" si="1"/>
        <v>2</v>
      </c>
    </row>
    <row r="9" spans="2:7" x14ac:dyDescent="0.25">
      <c r="B9" t="s">
        <v>169</v>
      </c>
      <c r="C9" s="7">
        <v>204.54</v>
      </c>
      <c r="E9" s="14">
        <f t="shared" si="0"/>
        <v>600</v>
      </c>
      <c r="F9" s="14">
        <v>700</v>
      </c>
      <c r="G9">
        <f t="shared" si="1"/>
        <v>3</v>
      </c>
    </row>
    <row r="10" spans="2:7" x14ac:dyDescent="0.25">
      <c r="B10" t="s">
        <v>171</v>
      </c>
      <c r="C10" s="7">
        <v>246.78</v>
      </c>
      <c r="E10" s="14">
        <f t="shared" si="0"/>
        <v>700</v>
      </c>
      <c r="F10" s="14">
        <v>800</v>
      </c>
      <c r="G10">
        <f t="shared" si="1"/>
        <v>4</v>
      </c>
    </row>
    <row r="11" spans="2:7" x14ac:dyDescent="0.25">
      <c r="B11" t="s">
        <v>172</v>
      </c>
      <c r="C11" s="7">
        <v>202.64</v>
      </c>
      <c r="E11" s="14">
        <f t="shared" si="0"/>
        <v>800</v>
      </c>
      <c r="F11" s="14">
        <v>900</v>
      </c>
      <c r="G11">
        <f t="shared" si="1"/>
        <v>4</v>
      </c>
    </row>
    <row r="12" spans="2:7" x14ac:dyDescent="0.25">
      <c r="B12" t="s">
        <v>189</v>
      </c>
      <c r="C12" s="7">
        <v>376.77</v>
      </c>
      <c r="E12" s="14">
        <f t="shared" si="0"/>
        <v>900</v>
      </c>
      <c r="F12" s="14">
        <v>1000</v>
      </c>
      <c r="G12">
        <f t="shared" si="1"/>
        <v>6</v>
      </c>
    </row>
    <row r="13" spans="2:7" x14ac:dyDescent="0.25">
      <c r="B13" t="s">
        <v>181</v>
      </c>
      <c r="C13" s="7">
        <v>243.42</v>
      </c>
    </row>
    <row r="14" spans="2:7" x14ac:dyDescent="0.25">
      <c r="B14" t="s">
        <v>196</v>
      </c>
      <c r="C14" s="7">
        <v>277.74</v>
      </c>
    </row>
    <row r="15" spans="2:7" x14ac:dyDescent="0.25">
      <c r="B15" t="s">
        <v>203</v>
      </c>
      <c r="C15" s="7">
        <v>689.93</v>
      </c>
    </row>
    <row r="16" spans="2:7" x14ac:dyDescent="0.25">
      <c r="B16" t="s">
        <v>205</v>
      </c>
      <c r="C16" s="7">
        <v>795.39</v>
      </c>
    </row>
    <row r="17" spans="2:3" x14ac:dyDescent="0.25">
      <c r="B17" t="s">
        <v>160</v>
      </c>
      <c r="C17" s="7">
        <v>716.55</v>
      </c>
    </row>
    <row r="18" spans="2:3" x14ac:dyDescent="0.25">
      <c r="B18" t="s">
        <v>207</v>
      </c>
      <c r="C18" s="7">
        <v>41.68</v>
      </c>
    </row>
    <row r="19" spans="2:3" x14ac:dyDescent="0.25">
      <c r="B19" t="s">
        <v>179</v>
      </c>
      <c r="C19" s="7">
        <v>249.15</v>
      </c>
    </row>
    <row r="20" spans="2:3" x14ac:dyDescent="0.25">
      <c r="B20" t="s">
        <v>195</v>
      </c>
      <c r="C20" s="7">
        <v>631.66999999999996</v>
      </c>
    </row>
    <row r="21" spans="2:3" x14ac:dyDescent="0.25">
      <c r="B21" t="s">
        <v>162</v>
      </c>
      <c r="C21" s="7">
        <v>982.17</v>
      </c>
    </row>
    <row r="22" spans="2:3" x14ac:dyDescent="0.25">
      <c r="B22" t="s">
        <v>209</v>
      </c>
      <c r="C22" s="7">
        <v>892.17</v>
      </c>
    </row>
    <row r="23" spans="2:3" x14ac:dyDescent="0.25">
      <c r="B23" t="s">
        <v>173</v>
      </c>
      <c r="C23" s="7">
        <v>266.52</v>
      </c>
    </row>
    <row r="24" spans="2:3" x14ac:dyDescent="0.25">
      <c r="B24" t="s">
        <v>168</v>
      </c>
      <c r="C24" s="7">
        <v>239.63</v>
      </c>
    </row>
    <row r="25" spans="2:3" x14ac:dyDescent="0.25">
      <c r="B25" t="s">
        <v>193</v>
      </c>
      <c r="C25" s="7">
        <v>954.96</v>
      </c>
    </row>
    <row r="26" spans="2:3" x14ac:dyDescent="0.25">
      <c r="B26" t="s">
        <v>161</v>
      </c>
      <c r="C26" s="7">
        <v>195.77</v>
      </c>
    </row>
    <row r="27" spans="2:3" x14ac:dyDescent="0.25">
      <c r="B27" t="s">
        <v>178</v>
      </c>
      <c r="C27" s="7">
        <v>225.34</v>
      </c>
    </row>
    <row r="28" spans="2:3" x14ac:dyDescent="0.25">
      <c r="B28" t="s">
        <v>177</v>
      </c>
      <c r="C28" s="7">
        <v>237.69</v>
      </c>
    </row>
    <row r="29" spans="2:3" x14ac:dyDescent="0.25">
      <c r="B29" t="s">
        <v>185</v>
      </c>
      <c r="C29" s="7">
        <v>874.01</v>
      </c>
    </row>
    <row r="30" spans="2:3" x14ac:dyDescent="0.25">
      <c r="B30" t="s">
        <v>194</v>
      </c>
      <c r="C30" s="7">
        <v>833.64</v>
      </c>
    </row>
    <row r="31" spans="2:3" x14ac:dyDescent="0.25">
      <c r="B31" t="s">
        <v>166</v>
      </c>
      <c r="C31" s="7">
        <v>320.93</v>
      </c>
    </row>
    <row r="32" spans="2:3" x14ac:dyDescent="0.25">
      <c r="B32" t="s">
        <v>190</v>
      </c>
      <c r="C32" s="7">
        <v>922.06</v>
      </c>
    </row>
    <row r="33" spans="2:3" x14ac:dyDescent="0.25">
      <c r="B33" t="s">
        <v>164</v>
      </c>
      <c r="C33" s="7">
        <v>994.66</v>
      </c>
    </row>
    <row r="34" spans="2:3" x14ac:dyDescent="0.25">
      <c r="B34" t="s">
        <v>199</v>
      </c>
      <c r="C34" s="7">
        <v>405.31</v>
      </c>
    </row>
    <row r="35" spans="2:3" x14ac:dyDescent="0.25">
      <c r="B35" t="s">
        <v>198</v>
      </c>
      <c r="C35" s="7">
        <v>691.57</v>
      </c>
    </row>
    <row r="36" spans="2:3" x14ac:dyDescent="0.25">
      <c r="B36" t="s">
        <v>165</v>
      </c>
      <c r="C36" s="7">
        <v>510.22</v>
      </c>
    </row>
    <row r="37" spans="2:3" x14ac:dyDescent="0.25">
      <c r="B37" t="s">
        <v>175</v>
      </c>
      <c r="C37" s="7">
        <v>225.95</v>
      </c>
    </row>
    <row r="38" spans="2:3" x14ac:dyDescent="0.25">
      <c r="B38" t="s">
        <v>200</v>
      </c>
      <c r="C38" s="7">
        <v>84.36</v>
      </c>
    </row>
    <row r="39" spans="2:3" x14ac:dyDescent="0.25">
      <c r="B39" t="s">
        <v>208</v>
      </c>
      <c r="C39" s="7">
        <v>373.7</v>
      </c>
    </row>
    <row r="40" spans="2:3" x14ac:dyDescent="0.25">
      <c r="B40" t="s">
        <v>170</v>
      </c>
      <c r="C40" s="7">
        <v>291.69</v>
      </c>
    </row>
    <row r="41" spans="2:3" x14ac:dyDescent="0.25">
      <c r="B41" t="s">
        <v>180</v>
      </c>
      <c r="C41" s="7">
        <v>272.98</v>
      </c>
    </row>
    <row r="42" spans="2:3" x14ac:dyDescent="0.25">
      <c r="B42" t="s">
        <v>176</v>
      </c>
      <c r="C42" s="7">
        <v>208.28</v>
      </c>
    </row>
    <row r="43" spans="2:3" x14ac:dyDescent="0.25">
      <c r="B43" t="s">
        <v>202</v>
      </c>
      <c r="C43" s="7">
        <v>57.13</v>
      </c>
    </row>
    <row r="44" spans="2:3" x14ac:dyDescent="0.25">
      <c r="B44" t="s">
        <v>186</v>
      </c>
      <c r="C44" s="7">
        <v>775.01</v>
      </c>
    </row>
    <row r="45" spans="2:3" x14ac:dyDescent="0.25">
      <c r="B45" t="s">
        <v>187</v>
      </c>
      <c r="C45" s="7">
        <v>807.92</v>
      </c>
    </row>
    <row r="46" spans="2:3" x14ac:dyDescent="0.25">
      <c r="B46" t="s">
        <v>197</v>
      </c>
      <c r="C46" s="7">
        <v>402.48</v>
      </c>
    </row>
    <row r="47" spans="2:3" x14ac:dyDescent="0.25">
      <c r="B47" t="s">
        <v>188</v>
      </c>
      <c r="C47" s="7">
        <v>187.26</v>
      </c>
    </row>
    <row r="48" spans="2:3" x14ac:dyDescent="0.25">
      <c r="B48" t="s">
        <v>192</v>
      </c>
      <c r="C48" s="7">
        <v>967.88</v>
      </c>
    </row>
    <row r="49" spans="2:3" x14ac:dyDescent="0.25">
      <c r="B49" t="s">
        <v>191</v>
      </c>
      <c r="C49" s="7">
        <v>34.92</v>
      </c>
    </row>
    <row r="50" spans="2:3" x14ac:dyDescent="0.25">
      <c r="B50" t="s">
        <v>183</v>
      </c>
      <c r="C50" s="7">
        <v>250.41</v>
      </c>
    </row>
    <row r="51" spans="2:3" x14ac:dyDescent="0.25">
      <c r="B51" t="s">
        <v>206</v>
      </c>
      <c r="C51" s="7">
        <v>297.04000000000002</v>
      </c>
    </row>
    <row r="52" spans="2:3" x14ac:dyDescent="0.25">
      <c r="B52" t="s">
        <v>163</v>
      </c>
      <c r="C52" s="7">
        <v>521.86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2:I63"/>
  <sheetViews>
    <sheetView workbookViewId="0">
      <selection activeCell="I8" sqref="I8"/>
    </sheetView>
  </sheetViews>
  <sheetFormatPr defaultRowHeight="15" x14ac:dyDescent="0.25"/>
  <cols>
    <col min="2" max="2" width="10.7109375" bestFit="1" customWidth="1"/>
    <col min="3" max="3" width="10.5703125" bestFit="1" customWidth="1"/>
    <col min="4" max="4" width="11.5703125" bestFit="1" customWidth="1"/>
    <col min="7" max="7" width="7" customWidth="1"/>
    <col min="8" max="8" width="14.85546875" bestFit="1" customWidth="1"/>
  </cols>
  <sheetData>
    <row r="2" spans="2:9" x14ac:dyDescent="0.25">
      <c r="B2" s="4" t="s">
        <v>40</v>
      </c>
      <c r="C2" s="4" t="s">
        <v>212</v>
      </c>
      <c r="D2" s="4" t="s">
        <v>214</v>
      </c>
    </row>
    <row r="3" spans="2:9" x14ac:dyDescent="0.25">
      <c r="B3" s="53">
        <v>39478</v>
      </c>
      <c r="C3" s="7">
        <v>6938.24</v>
      </c>
      <c r="D3" s="18">
        <f>C3/VLOOKUP(MONTH(B3),$G$4:$H$15,2,FALSE)</f>
        <v>13507.711775793101</v>
      </c>
      <c r="G3" s="4" t="s">
        <v>40</v>
      </c>
      <c r="H3" s="4" t="s">
        <v>213</v>
      </c>
    </row>
    <row r="4" spans="2:9" x14ac:dyDescent="0.25">
      <c r="B4" s="53">
        <v>39507</v>
      </c>
      <c r="C4" s="7">
        <v>6246.32</v>
      </c>
      <c r="D4" s="18">
        <f t="shared" ref="D4:D62" si="0">C4/VLOOKUP(MONTH(B4),$G$4:$H$15,2,FALSE)</f>
        <v>9354.6536817949418</v>
      </c>
      <c r="G4" s="14">
        <v>1</v>
      </c>
      <c r="H4" s="54">
        <f>SUMPRODUCT((MONTH($B$3:$B$62)=G4)*($C$3:$C$62))/SUMPRODUCT(--(MONTH($B$3:$B$62)=G4))/AVERAGE($C$3:$C$62)</f>
        <v>0.51365028475317931</v>
      </c>
      <c r="I4" s="54"/>
    </row>
    <row r="5" spans="2:9" x14ac:dyDescent="0.25">
      <c r="B5" s="53">
        <v>39538</v>
      </c>
      <c r="C5" s="7">
        <v>8205.83</v>
      </c>
      <c r="D5" s="18">
        <f t="shared" si="0"/>
        <v>14791.731191837469</v>
      </c>
      <c r="G5" s="14">
        <v>2</v>
      </c>
      <c r="H5" s="54">
        <f t="shared" ref="H5:H15" si="1">SUMPRODUCT((MONTH($B$3:$B$62)=G5)*($C$3:$C$62))/SUMPRODUCT(--(MONTH($B$3:$B$62)=G5))/AVERAGE($C$3:$C$62)</f>
        <v>0.66772327575909529</v>
      </c>
      <c r="I5" s="54"/>
    </row>
    <row r="6" spans="2:9" x14ac:dyDescent="0.25">
      <c r="B6" s="53">
        <v>39568</v>
      </c>
      <c r="C6" s="7">
        <v>23612.639999999999</v>
      </c>
      <c r="D6" s="18">
        <f t="shared" si="0"/>
        <v>10869.20021486308</v>
      </c>
      <c r="G6" s="14">
        <v>3</v>
      </c>
      <c r="H6" s="54">
        <f t="shared" si="1"/>
        <v>0.55475791802708185</v>
      </c>
      <c r="I6" s="54"/>
    </row>
    <row r="7" spans="2:9" x14ac:dyDescent="0.25">
      <c r="B7" s="53">
        <v>39599</v>
      </c>
      <c r="C7" s="7">
        <v>28427.85</v>
      </c>
      <c r="D7" s="18">
        <f t="shared" si="0"/>
        <v>14270.700026968982</v>
      </c>
      <c r="G7" s="14">
        <v>4</v>
      </c>
      <c r="H7" s="54">
        <f t="shared" si="1"/>
        <v>2.1724358309005027</v>
      </c>
      <c r="I7" s="54"/>
    </row>
    <row r="8" spans="2:9" x14ac:dyDescent="0.25">
      <c r="B8" s="53">
        <v>39629</v>
      </c>
      <c r="C8" s="7">
        <v>22472.73</v>
      </c>
      <c r="D8" s="18">
        <f t="shared" si="0"/>
        <v>11449.359446746788</v>
      </c>
      <c r="G8" s="14">
        <v>5</v>
      </c>
      <c r="H8" s="54">
        <f t="shared" si="1"/>
        <v>1.9920431335727486</v>
      </c>
      <c r="I8" s="54"/>
    </row>
    <row r="9" spans="2:9" x14ac:dyDescent="0.25">
      <c r="B9" s="53">
        <v>39660</v>
      </c>
      <c r="C9" s="7">
        <v>7542.89</v>
      </c>
      <c r="D9" s="18">
        <f t="shared" si="0"/>
        <v>11749.534820220069</v>
      </c>
      <c r="G9" s="14">
        <v>6</v>
      </c>
      <c r="H9" s="54">
        <f t="shared" si="1"/>
        <v>1.9627936483717769</v>
      </c>
      <c r="I9" s="54"/>
    </row>
    <row r="10" spans="2:9" x14ac:dyDescent="0.25">
      <c r="B10" s="53">
        <v>39691</v>
      </c>
      <c r="C10" s="7">
        <v>9248.89</v>
      </c>
      <c r="D10" s="18">
        <f t="shared" si="0"/>
        <v>13111.832594686244</v>
      </c>
      <c r="G10" s="14">
        <v>7</v>
      </c>
      <c r="H10" s="54">
        <f t="shared" si="1"/>
        <v>0.64197350068866144</v>
      </c>
      <c r="I10" s="54"/>
    </row>
    <row r="11" spans="2:9" x14ac:dyDescent="0.25">
      <c r="B11" s="53">
        <v>39721</v>
      </c>
      <c r="C11" s="7">
        <v>10591.71</v>
      </c>
      <c r="D11" s="18">
        <f t="shared" si="0"/>
        <v>13880.470761248167</v>
      </c>
      <c r="G11" s="14">
        <v>8</v>
      </c>
      <c r="H11" s="54">
        <f t="shared" si="1"/>
        <v>0.70538499734569848</v>
      </c>
      <c r="I11" s="54"/>
    </row>
    <row r="12" spans="2:9" x14ac:dyDescent="0.25">
      <c r="B12" s="53">
        <v>39752</v>
      </c>
      <c r="C12" s="7">
        <v>8096.57</v>
      </c>
      <c r="D12" s="18">
        <f t="shared" si="0"/>
        <v>12166.026016502257</v>
      </c>
      <c r="G12" s="14">
        <v>9</v>
      </c>
      <c r="H12" s="54">
        <f t="shared" si="1"/>
        <v>0.76306561803150008</v>
      </c>
      <c r="I12" s="54"/>
    </row>
    <row r="13" spans="2:9" x14ac:dyDescent="0.25">
      <c r="B13" s="53">
        <v>39782</v>
      </c>
      <c r="C13" s="7">
        <v>8147.39</v>
      </c>
      <c r="D13" s="18">
        <f t="shared" si="0"/>
        <v>11278.592443641042</v>
      </c>
      <c r="G13" s="14">
        <v>10</v>
      </c>
      <c r="H13" s="54">
        <f t="shared" si="1"/>
        <v>0.66550654988059699</v>
      </c>
      <c r="I13" s="54"/>
    </row>
    <row r="14" spans="2:9" x14ac:dyDescent="0.25">
      <c r="B14" s="53">
        <v>39813</v>
      </c>
      <c r="C14" s="7">
        <v>9755.07</v>
      </c>
      <c r="D14" s="18">
        <f t="shared" si="0"/>
        <v>15283.161312129479</v>
      </c>
      <c r="G14" s="14">
        <v>11</v>
      </c>
      <c r="H14" s="54">
        <f t="shared" si="1"/>
        <v>0.72237648808682342</v>
      </c>
      <c r="I14" s="54"/>
    </row>
    <row r="15" spans="2:9" x14ac:dyDescent="0.25">
      <c r="B15" s="53">
        <v>39844</v>
      </c>
      <c r="C15" s="7">
        <v>7947.75</v>
      </c>
      <c r="D15" s="18">
        <f t="shared" si="0"/>
        <v>15473.076207519433</v>
      </c>
      <c r="G15" s="14">
        <v>12</v>
      </c>
      <c r="H15" s="54">
        <f t="shared" si="1"/>
        <v>0.6382887545823317</v>
      </c>
      <c r="I15" s="54"/>
    </row>
    <row r="16" spans="2:9" x14ac:dyDescent="0.25">
      <c r="B16" s="53">
        <v>39872</v>
      </c>
      <c r="C16" s="7">
        <v>9984.2199999999993</v>
      </c>
      <c r="D16" s="18">
        <f t="shared" si="0"/>
        <v>14952.631370607123</v>
      </c>
    </row>
    <row r="17" spans="2:4" x14ac:dyDescent="0.25">
      <c r="B17" s="53">
        <v>39903</v>
      </c>
      <c r="C17" s="7">
        <v>7943.24</v>
      </c>
      <c r="D17" s="18">
        <f t="shared" si="0"/>
        <v>14318.389592795738</v>
      </c>
    </row>
    <row r="18" spans="2:4" x14ac:dyDescent="0.25">
      <c r="B18" s="53">
        <v>39933</v>
      </c>
      <c r="C18" s="7">
        <v>35029.589999999997</v>
      </c>
      <c r="D18" s="18">
        <f t="shared" si="0"/>
        <v>16124.568330968736</v>
      </c>
    </row>
    <row r="19" spans="2:4" x14ac:dyDescent="0.25">
      <c r="B19" s="53">
        <v>39964</v>
      </c>
      <c r="C19" s="7">
        <v>26306.25</v>
      </c>
      <c r="D19" s="18">
        <f t="shared" si="0"/>
        <v>13205.662847681157</v>
      </c>
    </row>
    <row r="20" spans="2:4" x14ac:dyDescent="0.25">
      <c r="B20" s="53">
        <v>39994</v>
      </c>
      <c r="C20" s="7">
        <v>26650.91</v>
      </c>
      <c r="D20" s="18">
        <f t="shared" si="0"/>
        <v>13578.049848545257</v>
      </c>
    </row>
    <row r="21" spans="2:4" x14ac:dyDescent="0.25">
      <c r="B21" s="53">
        <v>40025</v>
      </c>
      <c r="C21" s="7">
        <v>8928.7000000000007</v>
      </c>
      <c r="D21" s="18">
        <f t="shared" si="0"/>
        <v>13908.206476469753</v>
      </c>
    </row>
    <row r="22" spans="2:4" x14ac:dyDescent="0.25">
      <c r="B22" s="53">
        <v>40056</v>
      </c>
      <c r="C22" s="7">
        <v>8458.3700000000008</v>
      </c>
      <c r="D22" s="18">
        <f t="shared" si="0"/>
        <v>11991.139635558029</v>
      </c>
    </row>
    <row r="23" spans="2:4" x14ac:dyDescent="0.25">
      <c r="B23" s="53">
        <v>40086</v>
      </c>
      <c r="C23" s="7">
        <v>9905.2999999999993</v>
      </c>
      <c r="D23" s="18">
        <f t="shared" si="0"/>
        <v>12980.928200582481</v>
      </c>
    </row>
    <row r="24" spans="2:4" x14ac:dyDescent="0.25">
      <c r="B24" s="53">
        <v>40117</v>
      </c>
      <c r="C24" s="7">
        <v>10339.23</v>
      </c>
      <c r="D24" s="18">
        <f t="shared" si="0"/>
        <v>15535.880153027842</v>
      </c>
    </row>
    <row r="25" spans="2:4" x14ac:dyDescent="0.25">
      <c r="B25" s="53">
        <v>40147</v>
      </c>
      <c r="C25" s="7">
        <v>11062.61</v>
      </c>
      <c r="D25" s="18">
        <f t="shared" si="0"/>
        <v>15314.18890625683</v>
      </c>
    </row>
    <row r="26" spans="2:4" x14ac:dyDescent="0.25">
      <c r="B26" s="53">
        <v>40178</v>
      </c>
      <c r="C26" s="7">
        <v>6681.89</v>
      </c>
      <c r="D26" s="18">
        <f t="shared" si="0"/>
        <v>10468.443869690824</v>
      </c>
    </row>
    <row r="27" spans="2:4" x14ac:dyDescent="0.25">
      <c r="B27" s="53">
        <v>40209</v>
      </c>
      <c r="C27" s="7">
        <v>7710.3</v>
      </c>
      <c r="D27" s="18">
        <f t="shared" si="0"/>
        <v>15010.796701310066</v>
      </c>
    </row>
    <row r="28" spans="2:4" x14ac:dyDescent="0.25">
      <c r="B28" s="53">
        <v>40237</v>
      </c>
      <c r="C28" s="7">
        <v>8325.25</v>
      </c>
      <c r="D28" s="18">
        <f t="shared" si="0"/>
        <v>12468.11411588957</v>
      </c>
    </row>
    <row r="29" spans="2:4" x14ac:dyDescent="0.25">
      <c r="B29" s="53">
        <v>40268</v>
      </c>
      <c r="C29" s="7">
        <v>9858.31</v>
      </c>
      <c r="D29" s="18">
        <f t="shared" si="0"/>
        <v>17770.471911531586</v>
      </c>
    </row>
    <row r="30" spans="2:4" x14ac:dyDescent="0.25">
      <c r="B30" s="53">
        <v>40298</v>
      </c>
      <c r="C30" s="7">
        <v>26274.43</v>
      </c>
      <c r="D30" s="18">
        <f t="shared" si="0"/>
        <v>12094.456198095808</v>
      </c>
    </row>
    <row r="31" spans="2:4" x14ac:dyDescent="0.25">
      <c r="B31" s="53">
        <v>40329</v>
      </c>
      <c r="C31" s="7">
        <v>26713.65</v>
      </c>
      <c r="D31" s="18">
        <f t="shared" si="0"/>
        <v>13410.176491554585</v>
      </c>
    </row>
    <row r="32" spans="2:4" x14ac:dyDescent="0.25">
      <c r="B32" s="53">
        <v>40359</v>
      </c>
      <c r="C32" s="7">
        <v>35178.129999999997</v>
      </c>
      <c r="D32" s="18">
        <f t="shared" si="0"/>
        <v>17922.480047345674</v>
      </c>
    </row>
    <row r="33" spans="2:4" x14ac:dyDescent="0.25">
      <c r="B33" s="53">
        <v>40390</v>
      </c>
      <c r="C33" s="7">
        <v>11632.31</v>
      </c>
      <c r="D33" s="18">
        <f t="shared" si="0"/>
        <v>18119.610836773983</v>
      </c>
    </row>
    <row r="34" spans="2:4" x14ac:dyDescent="0.25">
      <c r="B34" s="53">
        <v>40421</v>
      </c>
      <c r="C34" s="7">
        <v>13022.25</v>
      </c>
      <c r="D34" s="18">
        <f t="shared" si="0"/>
        <v>18461.195019743231</v>
      </c>
    </row>
    <row r="35" spans="2:4" x14ac:dyDescent="0.25">
      <c r="B35" s="53">
        <v>40451</v>
      </c>
      <c r="C35" s="7">
        <v>11089.04</v>
      </c>
      <c r="D35" s="18">
        <f t="shared" si="0"/>
        <v>14532.223360563252</v>
      </c>
    </row>
    <row r="36" spans="2:4" x14ac:dyDescent="0.25">
      <c r="B36" s="53">
        <v>40482</v>
      </c>
      <c r="C36" s="7">
        <v>9778.5400000000009</v>
      </c>
      <c r="D36" s="18">
        <f t="shared" si="0"/>
        <v>14693.379053526121</v>
      </c>
    </row>
    <row r="37" spans="2:4" x14ac:dyDescent="0.25">
      <c r="B37" s="53">
        <v>40512</v>
      </c>
      <c r="C37" s="7">
        <v>11645.14</v>
      </c>
      <c r="D37" s="18">
        <f t="shared" si="0"/>
        <v>16120.596658456518</v>
      </c>
    </row>
    <row r="38" spans="2:4" x14ac:dyDescent="0.25">
      <c r="B38" s="53">
        <v>40543</v>
      </c>
      <c r="C38" s="7">
        <v>10420.52</v>
      </c>
      <c r="D38" s="18">
        <f t="shared" si="0"/>
        <v>16325.714537801521</v>
      </c>
    </row>
    <row r="39" spans="2:4" x14ac:dyDescent="0.25">
      <c r="B39" s="53">
        <v>40574</v>
      </c>
      <c r="C39" s="7">
        <v>9549.4500000000007</v>
      </c>
      <c r="D39" s="18">
        <f t="shared" si="0"/>
        <v>18591.345675178061</v>
      </c>
    </row>
    <row r="40" spans="2:4" x14ac:dyDescent="0.25">
      <c r="B40" s="53">
        <v>40602</v>
      </c>
      <c r="C40" s="7">
        <v>14001.55</v>
      </c>
      <c r="D40" s="18">
        <f t="shared" si="0"/>
        <v>20969.090801997969</v>
      </c>
    </row>
    <row r="41" spans="2:4" x14ac:dyDescent="0.25">
      <c r="B41" s="53">
        <v>40633</v>
      </c>
      <c r="C41" s="7">
        <v>8651.92</v>
      </c>
      <c r="D41" s="18">
        <f t="shared" si="0"/>
        <v>15595.847700145194</v>
      </c>
    </row>
    <row r="42" spans="2:4" x14ac:dyDescent="0.25">
      <c r="B42" s="53">
        <v>40663</v>
      </c>
      <c r="C42" s="7">
        <v>39520.18</v>
      </c>
      <c r="D42" s="18">
        <f t="shared" si="0"/>
        <v>18191.644345885408</v>
      </c>
    </row>
    <row r="43" spans="2:4" x14ac:dyDescent="0.25">
      <c r="B43" s="53">
        <v>40694</v>
      </c>
      <c r="C43" s="7">
        <v>40130.25</v>
      </c>
      <c r="D43" s="18">
        <f t="shared" si="0"/>
        <v>20145.271617701375</v>
      </c>
    </row>
    <row r="44" spans="2:4" x14ac:dyDescent="0.25">
      <c r="B44" s="53">
        <v>40724</v>
      </c>
      <c r="C44" s="7">
        <v>34224.639999999999</v>
      </c>
      <c r="D44" s="18">
        <f t="shared" si="0"/>
        <v>17436.697957725119</v>
      </c>
    </row>
    <row r="45" spans="2:4" x14ac:dyDescent="0.25">
      <c r="B45" s="53">
        <v>40755</v>
      </c>
      <c r="C45" s="7">
        <v>11463.86</v>
      </c>
      <c r="D45" s="18">
        <f t="shared" si="0"/>
        <v>17857.216828580033</v>
      </c>
    </row>
    <row r="46" spans="2:4" x14ac:dyDescent="0.25">
      <c r="B46" s="53">
        <v>40786</v>
      </c>
      <c r="C46" s="7">
        <v>13852.64</v>
      </c>
      <c r="D46" s="18">
        <f t="shared" si="0"/>
        <v>19638.410303772071</v>
      </c>
    </row>
    <row r="47" spans="2:4" x14ac:dyDescent="0.25">
      <c r="B47" s="53">
        <v>40816</v>
      </c>
      <c r="C47" s="7">
        <v>13164.01</v>
      </c>
      <c r="D47" s="18">
        <f t="shared" si="0"/>
        <v>17251.478364284758</v>
      </c>
    </row>
    <row r="48" spans="2:4" x14ac:dyDescent="0.25">
      <c r="B48" s="53">
        <v>40847</v>
      </c>
      <c r="C48" s="7">
        <v>14063.12</v>
      </c>
      <c r="D48" s="18">
        <f t="shared" si="0"/>
        <v>21131.4524290154</v>
      </c>
    </row>
    <row r="49" spans="2:4" x14ac:dyDescent="0.25">
      <c r="B49" s="53">
        <v>40877</v>
      </c>
      <c r="C49" s="7">
        <v>13940.6</v>
      </c>
      <c r="D49" s="18">
        <f t="shared" si="0"/>
        <v>19298.247146610425</v>
      </c>
    </row>
    <row r="50" spans="2:4" x14ac:dyDescent="0.25">
      <c r="B50" s="53">
        <v>40908</v>
      </c>
      <c r="C50" s="7">
        <v>12352.67</v>
      </c>
      <c r="D50" s="18">
        <f t="shared" si="0"/>
        <v>19352.792778063351</v>
      </c>
    </row>
    <row r="51" spans="2:4" x14ac:dyDescent="0.25">
      <c r="B51" s="53">
        <v>40939</v>
      </c>
      <c r="C51" s="7">
        <v>8049.99</v>
      </c>
      <c r="D51" s="18">
        <f t="shared" si="0"/>
        <v>15672.122140199346</v>
      </c>
    </row>
    <row r="52" spans="2:4" x14ac:dyDescent="0.25">
      <c r="B52" s="53">
        <v>40968</v>
      </c>
      <c r="C52" s="7">
        <v>13695.38</v>
      </c>
      <c r="D52" s="18">
        <f t="shared" si="0"/>
        <v>20510.562529710423</v>
      </c>
    </row>
    <row r="53" spans="2:4" x14ac:dyDescent="0.25">
      <c r="B53" s="53">
        <v>40999</v>
      </c>
      <c r="C53" s="7">
        <v>8753.31</v>
      </c>
      <c r="D53" s="18">
        <f t="shared" si="0"/>
        <v>15778.612103690039</v>
      </c>
    </row>
    <row r="54" spans="2:4" x14ac:dyDescent="0.25">
      <c r="B54" s="53">
        <v>41029</v>
      </c>
      <c r="C54" s="7">
        <v>45567.24</v>
      </c>
      <c r="D54" s="18">
        <f t="shared" si="0"/>
        <v>20975.183410186983</v>
      </c>
    </row>
    <row r="55" spans="2:4" x14ac:dyDescent="0.25">
      <c r="B55" s="53">
        <v>41060</v>
      </c>
      <c r="C55" s="7">
        <v>34309.440000000002</v>
      </c>
      <c r="D55" s="18">
        <f t="shared" si="0"/>
        <v>17223.241516093927</v>
      </c>
    </row>
    <row r="56" spans="2:4" x14ac:dyDescent="0.25">
      <c r="B56" s="53">
        <v>41090</v>
      </c>
      <c r="C56" s="7">
        <v>35072.11</v>
      </c>
      <c r="D56" s="18">
        <f t="shared" si="0"/>
        <v>17868.465199637183</v>
      </c>
    </row>
    <row r="57" spans="2:4" x14ac:dyDescent="0.25">
      <c r="B57" s="53">
        <v>41121</v>
      </c>
      <c r="C57" s="7">
        <v>10669.91</v>
      </c>
      <c r="D57" s="18">
        <f t="shared" si="0"/>
        <v>16620.483537956185</v>
      </c>
    </row>
    <row r="58" spans="2:4" x14ac:dyDescent="0.25">
      <c r="B58" s="53">
        <v>41152</v>
      </c>
      <c r="C58" s="7">
        <v>10617.79</v>
      </c>
      <c r="D58" s="18">
        <f t="shared" si="0"/>
        <v>15052.474946240432</v>
      </c>
    </row>
    <row r="59" spans="2:4" x14ac:dyDescent="0.25">
      <c r="B59" s="53">
        <v>41182</v>
      </c>
      <c r="C59" s="7">
        <v>14963.68</v>
      </c>
      <c r="D59" s="18">
        <f t="shared" si="0"/>
        <v>19609.951813321361</v>
      </c>
    </row>
    <row r="60" spans="2:4" x14ac:dyDescent="0.25">
      <c r="B60" s="53">
        <v>41213</v>
      </c>
      <c r="C60" s="7">
        <v>9801.7900000000009</v>
      </c>
      <c r="D60" s="18">
        <f t="shared" si="0"/>
        <v>14728.314847928403</v>
      </c>
    </row>
    <row r="61" spans="2:4" x14ac:dyDescent="0.25">
      <c r="B61" s="53">
        <v>41243</v>
      </c>
      <c r="C61" s="7">
        <v>11733.87</v>
      </c>
      <c r="D61" s="18">
        <f t="shared" si="0"/>
        <v>16243.427345035199</v>
      </c>
    </row>
    <row r="62" spans="2:4" x14ac:dyDescent="0.25">
      <c r="B62" s="53">
        <v>41274</v>
      </c>
      <c r="C62" s="7">
        <v>10739.17</v>
      </c>
      <c r="D62" s="18">
        <f t="shared" si="0"/>
        <v>16824.940002314852</v>
      </c>
    </row>
    <row r="63" spans="2:4" x14ac:dyDescent="0.25">
      <c r="B63" s="11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2:I74"/>
  <sheetViews>
    <sheetView workbookViewId="0">
      <pane ySplit="2" topLeftCell="A14" activePane="bottomLeft" state="frozenSplit"/>
      <selection pane="bottomLeft" activeCell="K20" sqref="K19:K20"/>
    </sheetView>
  </sheetViews>
  <sheetFormatPr defaultRowHeight="15" x14ac:dyDescent="0.25"/>
  <cols>
    <col min="1" max="1" width="4.42578125" customWidth="1"/>
    <col min="2" max="2" width="10.7109375" bestFit="1" customWidth="1"/>
    <col min="3" max="3" width="10.5703125" bestFit="1" customWidth="1"/>
    <col min="4" max="4" width="11.5703125" bestFit="1" customWidth="1"/>
    <col min="5" max="5" width="11.7109375" bestFit="1" customWidth="1"/>
    <col min="7" max="7" width="7" customWidth="1"/>
    <col min="8" max="8" width="14.85546875" bestFit="1" customWidth="1"/>
  </cols>
  <sheetData>
    <row r="2" spans="2:9" x14ac:dyDescent="0.25">
      <c r="B2" s="4" t="s">
        <v>40</v>
      </c>
      <c r="C2" s="4" t="s">
        <v>212</v>
      </c>
      <c r="D2" s="4" t="s">
        <v>214</v>
      </c>
      <c r="E2" s="10" t="s">
        <v>215</v>
      </c>
    </row>
    <row r="3" spans="2:9" x14ac:dyDescent="0.25">
      <c r="B3" s="53">
        <v>39478</v>
      </c>
      <c r="C3" s="7">
        <v>6938.24</v>
      </c>
      <c r="D3" s="18">
        <f>C3/VLOOKUP(MONTH(B3),$G$4:$H$15,2,FALSE)</f>
        <v>13507.711775793101</v>
      </c>
      <c r="G3" s="4" t="s">
        <v>40</v>
      </c>
      <c r="H3" s="4" t="s">
        <v>213</v>
      </c>
    </row>
    <row r="4" spans="2:9" x14ac:dyDescent="0.25">
      <c r="B4" s="53">
        <v>39507</v>
      </c>
      <c r="C4" s="7">
        <v>6246.32</v>
      </c>
      <c r="D4" s="18">
        <f t="shared" ref="D4:D62" si="0">C4/VLOOKUP(MONTH(B4),$G$4:$H$15,2,FALSE)</f>
        <v>9354.6536817949418</v>
      </c>
      <c r="G4" s="14">
        <v>1</v>
      </c>
      <c r="H4" s="54">
        <f>SUMPRODUCT((MONTH($B$3:$B$62)=G4)*($C$3:$C$62))/SUMPRODUCT(--(MONTH($B$3:$B$62)=G4))/AVERAGE($C$3:$C$62)</f>
        <v>0.51365028475317931</v>
      </c>
      <c r="I4" s="54"/>
    </row>
    <row r="5" spans="2:9" x14ac:dyDescent="0.25">
      <c r="B5" s="53">
        <v>39538</v>
      </c>
      <c r="C5" s="7">
        <v>8205.83</v>
      </c>
      <c r="D5" s="18">
        <f t="shared" si="0"/>
        <v>14791.731191837469</v>
      </c>
      <c r="G5" s="14">
        <v>2</v>
      </c>
      <c r="H5" s="54">
        <f t="shared" ref="H5:H15" si="1">SUMPRODUCT((MONTH($B$3:$B$62)=G5)*($C$3:$C$62))/SUMPRODUCT(--(MONTH($B$3:$B$62)=G5))/AVERAGE($C$3:$C$62)</f>
        <v>0.66772327575909529</v>
      </c>
      <c r="I5" s="54"/>
    </row>
    <row r="6" spans="2:9" x14ac:dyDescent="0.25">
      <c r="B6" s="53">
        <v>39568</v>
      </c>
      <c r="C6" s="7">
        <v>23612.639999999999</v>
      </c>
      <c r="D6" s="18">
        <f t="shared" si="0"/>
        <v>10869.20021486308</v>
      </c>
      <c r="G6" s="14">
        <v>3</v>
      </c>
      <c r="H6" s="54">
        <f t="shared" si="1"/>
        <v>0.55475791802708185</v>
      </c>
      <c r="I6" s="54"/>
    </row>
    <row r="7" spans="2:9" x14ac:dyDescent="0.25">
      <c r="B7" s="53">
        <v>39599</v>
      </c>
      <c r="C7" s="7">
        <v>28427.85</v>
      </c>
      <c r="D7" s="18">
        <f t="shared" si="0"/>
        <v>14270.700026968982</v>
      </c>
      <c r="G7" s="14">
        <v>4</v>
      </c>
      <c r="H7" s="54">
        <f t="shared" si="1"/>
        <v>2.1724358309005027</v>
      </c>
      <c r="I7" s="54"/>
    </row>
    <row r="8" spans="2:9" x14ac:dyDescent="0.25">
      <c r="B8" s="53">
        <v>39629</v>
      </c>
      <c r="C8" s="7">
        <v>22472.73</v>
      </c>
      <c r="D8" s="18">
        <f t="shared" si="0"/>
        <v>11449.359446746788</v>
      </c>
      <c r="G8" s="14">
        <v>5</v>
      </c>
      <c r="H8" s="54">
        <f t="shared" si="1"/>
        <v>1.9920431335727486</v>
      </c>
      <c r="I8" s="54"/>
    </row>
    <row r="9" spans="2:9" x14ac:dyDescent="0.25">
      <c r="B9" s="53">
        <v>39660</v>
      </c>
      <c r="C9" s="7">
        <v>7542.89</v>
      </c>
      <c r="D9" s="18">
        <f t="shared" si="0"/>
        <v>11749.534820220069</v>
      </c>
      <c r="G9" s="14">
        <v>6</v>
      </c>
      <c r="H9" s="54">
        <f t="shared" si="1"/>
        <v>1.9627936483717769</v>
      </c>
      <c r="I9" s="54"/>
    </row>
    <row r="10" spans="2:9" x14ac:dyDescent="0.25">
      <c r="B10" s="53">
        <v>39691</v>
      </c>
      <c r="C10" s="7">
        <v>9248.89</v>
      </c>
      <c r="D10" s="18">
        <f t="shared" si="0"/>
        <v>13111.832594686244</v>
      </c>
      <c r="G10" s="14">
        <v>7</v>
      </c>
      <c r="H10" s="54">
        <f t="shared" si="1"/>
        <v>0.64197350068866144</v>
      </c>
      <c r="I10" s="54"/>
    </row>
    <row r="11" spans="2:9" x14ac:dyDescent="0.25">
      <c r="B11" s="53">
        <v>39721</v>
      </c>
      <c r="C11" s="7">
        <v>10591.71</v>
      </c>
      <c r="D11" s="18">
        <f t="shared" si="0"/>
        <v>13880.470761248167</v>
      </c>
      <c r="G11" s="14">
        <v>8</v>
      </c>
      <c r="H11" s="54">
        <f t="shared" si="1"/>
        <v>0.70538499734569848</v>
      </c>
      <c r="I11" s="54"/>
    </row>
    <row r="12" spans="2:9" x14ac:dyDescent="0.25">
      <c r="B12" s="53">
        <v>39752</v>
      </c>
      <c r="C12" s="7">
        <v>8096.57</v>
      </c>
      <c r="D12" s="18">
        <f t="shared" si="0"/>
        <v>12166.026016502257</v>
      </c>
      <c r="G12" s="14">
        <v>9</v>
      </c>
      <c r="H12" s="54">
        <f t="shared" si="1"/>
        <v>0.76306561803150008</v>
      </c>
      <c r="I12" s="54"/>
    </row>
    <row r="13" spans="2:9" x14ac:dyDescent="0.25">
      <c r="B13" s="53">
        <v>39782</v>
      </c>
      <c r="C13" s="7">
        <v>8147.39</v>
      </c>
      <c r="D13" s="18">
        <f t="shared" si="0"/>
        <v>11278.592443641042</v>
      </c>
      <c r="G13" s="14">
        <v>10</v>
      </c>
      <c r="H13" s="54">
        <f t="shared" si="1"/>
        <v>0.66550654988059699</v>
      </c>
      <c r="I13" s="54"/>
    </row>
    <row r="14" spans="2:9" x14ac:dyDescent="0.25">
      <c r="B14" s="53">
        <v>39813</v>
      </c>
      <c r="C14" s="7">
        <v>9755.07</v>
      </c>
      <c r="D14" s="18">
        <f t="shared" si="0"/>
        <v>15283.161312129479</v>
      </c>
      <c r="G14" s="14">
        <v>11</v>
      </c>
      <c r="H14" s="54">
        <f t="shared" si="1"/>
        <v>0.72237648808682342</v>
      </c>
      <c r="I14" s="54"/>
    </row>
    <row r="15" spans="2:9" x14ac:dyDescent="0.25">
      <c r="B15" s="53">
        <v>39844</v>
      </c>
      <c r="C15" s="7">
        <v>7947.75</v>
      </c>
      <c r="D15" s="18">
        <f t="shared" si="0"/>
        <v>15473.076207519433</v>
      </c>
      <c r="G15" s="14">
        <v>12</v>
      </c>
      <c r="H15" s="54">
        <f t="shared" si="1"/>
        <v>0.6382887545823317</v>
      </c>
      <c r="I15" s="54"/>
    </row>
    <row r="16" spans="2:9" x14ac:dyDescent="0.25">
      <c r="B16" s="53">
        <v>39872</v>
      </c>
      <c r="C16" s="7">
        <v>9984.2199999999993</v>
      </c>
      <c r="D16" s="18">
        <f t="shared" si="0"/>
        <v>14952.631370607123</v>
      </c>
    </row>
    <row r="17" spans="2:4" x14ac:dyDescent="0.25">
      <c r="B17" s="53">
        <v>39903</v>
      </c>
      <c r="C17" s="7">
        <v>7943.24</v>
      </c>
      <c r="D17" s="18">
        <f t="shared" si="0"/>
        <v>14318.389592795738</v>
      </c>
    </row>
    <row r="18" spans="2:4" x14ac:dyDescent="0.25">
      <c r="B18" s="53">
        <v>39933</v>
      </c>
      <c r="C18" s="7">
        <v>35029.589999999997</v>
      </c>
      <c r="D18" s="18">
        <f t="shared" si="0"/>
        <v>16124.568330968736</v>
      </c>
    </row>
    <row r="19" spans="2:4" x14ac:dyDescent="0.25">
      <c r="B19" s="53">
        <v>39964</v>
      </c>
      <c r="C19" s="7">
        <v>26306.25</v>
      </c>
      <c r="D19" s="18">
        <f t="shared" si="0"/>
        <v>13205.662847681157</v>
      </c>
    </row>
    <row r="20" spans="2:4" x14ac:dyDescent="0.25">
      <c r="B20" s="53">
        <v>39994</v>
      </c>
      <c r="C20" s="7">
        <v>26650.91</v>
      </c>
      <c r="D20" s="18">
        <f t="shared" si="0"/>
        <v>13578.049848545257</v>
      </c>
    </row>
    <row r="21" spans="2:4" x14ac:dyDescent="0.25">
      <c r="B21" s="53">
        <v>40025</v>
      </c>
      <c r="C21" s="7">
        <v>8928.7000000000007</v>
      </c>
      <c r="D21" s="18">
        <f t="shared" si="0"/>
        <v>13908.206476469753</v>
      </c>
    </row>
    <row r="22" spans="2:4" x14ac:dyDescent="0.25">
      <c r="B22" s="53">
        <v>40056</v>
      </c>
      <c r="C22" s="7">
        <v>8458.3700000000008</v>
      </c>
      <c r="D22" s="18">
        <f t="shared" si="0"/>
        <v>11991.139635558029</v>
      </c>
    </row>
    <row r="23" spans="2:4" x14ac:dyDescent="0.25">
      <c r="B23" s="53">
        <v>40086</v>
      </c>
      <c r="C23" s="7">
        <v>9905.2999999999993</v>
      </c>
      <c r="D23" s="18">
        <f t="shared" si="0"/>
        <v>12980.928200582481</v>
      </c>
    </row>
    <row r="24" spans="2:4" x14ac:dyDescent="0.25">
      <c r="B24" s="53">
        <v>40117</v>
      </c>
      <c r="C24" s="7">
        <v>10339.23</v>
      </c>
      <c r="D24" s="18">
        <f t="shared" si="0"/>
        <v>15535.880153027842</v>
      </c>
    </row>
    <row r="25" spans="2:4" x14ac:dyDescent="0.25">
      <c r="B25" s="53">
        <v>40147</v>
      </c>
      <c r="C25" s="7">
        <v>11062.61</v>
      </c>
      <c r="D25" s="18">
        <f t="shared" si="0"/>
        <v>15314.18890625683</v>
      </c>
    </row>
    <row r="26" spans="2:4" x14ac:dyDescent="0.25">
      <c r="B26" s="53">
        <v>40178</v>
      </c>
      <c r="C26" s="7">
        <v>6681.89</v>
      </c>
      <c r="D26" s="18">
        <f t="shared" si="0"/>
        <v>10468.443869690824</v>
      </c>
    </row>
    <row r="27" spans="2:4" x14ac:dyDescent="0.25">
      <c r="B27" s="53">
        <v>40209</v>
      </c>
      <c r="C27" s="7">
        <v>7710.3</v>
      </c>
      <c r="D27" s="18">
        <f t="shared" si="0"/>
        <v>15010.796701310066</v>
      </c>
    </row>
    <row r="28" spans="2:4" x14ac:dyDescent="0.25">
      <c r="B28" s="53">
        <v>40237</v>
      </c>
      <c r="C28" s="7">
        <v>8325.25</v>
      </c>
      <c r="D28" s="18">
        <f t="shared" si="0"/>
        <v>12468.11411588957</v>
      </c>
    </row>
    <row r="29" spans="2:4" x14ac:dyDescent="0.25">
      <c r="B29" s="53">
        <v>40268</v>
      </c>
      <c r="C29" s="7">
        <v>9858.31</v>
      </c>
      <c r="D29" s="18">
        <f t="shared" si="0"/>
        <v>17770.471911531586</v>
      </c>
    </row>
    <row r="30" spans="2:4" x14ac:dyDescent="0.25">
      <c r="B30" s="53">
        <v>40298</v>
      </c>
      <c r="C30" s="7">
        <v>26274.43</v>
      </c>
      <c r="D30" s="18">
        <f t="shared" si="0"/>
        <v>12094.456198095808</v>
      </c>
    </row>
    <row r="31" spans="2:4" x14ac:dyDescent="0.25">
      <c r="B31" s="53">
        <v>40329</v>
      </c>
      <c r="C31" s="7">
        <v>26713.65</v>
      </c>
      <c r="D31" s="18">
        <f t="shared" si="0"/>
        <v>13410.176491554585</v>
      </c>
    </row>
    <row r="32" spans="2:4" x14ac:dyDescent="0.25">
      <c r="B32" s="53">
        <v>40359</v>
      </c>
      <c r="C32" s="7">
        <v>35178.129999999997</v>
      </c>
      <c r="D32" s="18">
        <f t="shared" si="0"/>
        <v>17922.480047345674</v>
      </c>
    </row>
    <row r="33" spans="2:4" x14ac:dyDescent="0.25">
      <c r="B33" s="53">
        <v>40390</v>
      </c>
      <c r="C33" s="7">
        <v>11632.31</v>
      </c>
      <c r="D33" s="18">
        <f t="shared" si="0"/>
        <v>18119.610836773983</v>
      </c>
    </row>
    <row r="34" spans="2:4" x14ac:dyDescent="0.25">
      <c r="B34" s="53">
        <v>40421</v>
      </c>
      <c r="C34" s="7">
        <v>13022.25</v>
      </c>
      <c r="D34" s="18">
        <f t="shared" si="0"/>
        <v>18461.195019743231</v>
      </c>
    </row>
    <row r="35" spans="2:4" x14ac:dyDescent="0.25">
      <c r="B35" s="53">
        <v>40451</v>
      </c>
      <c r="C35" s="7">
        <v>11089.04</v>
      </c>
      <c r="D35" s="18">
        <f t="shared" si="0"/>
        <v>14532.223360563252</v>
      </c>
    </row>
    <row r="36" spans="2:4" x14ac:dyDescent="0.25">
      <c r="B36" s="53">
        <v>40482</v>
      </c>
      <c r="C36" s="7">
        <v>9778.5400000000009</v>
      </c>
      <c r="D36" s="18">
        <f t="shared" si="0"/>
        <v>14693.379053526121</v>
      </c>
    </row>
    <row r="37" spans="2:4" x14ac:dyDescent="0.25">
      <c r="B37" s="53">
        <v>40512</v>
      </c>
      <c r="C37" s="7">
        <v>11645.14</v>
      </c>
      <c r="D37" s="18">
        <f t="shared" si="0"/>
        <v>16120.596658456518</v>
      </c>
    </row>
    <row r="38" spans="2:4" x14ac:dyDescent="0.25">
      <c r="B38" s="53">
        <v>40543</v>
      </c>
      <c r="C38" s="7">
        <v>10420.52</v>
      </c>
      <c r="D38" s="18">
        <f t="shared" si="0"/>
        <v>16325.714537801521</v>
      </c>
    </row>
    <row r="39" spans="2:4" x14ac:dyDescent="0.25">
      <c r="B39" s="53">
        <v>40574</v>
      </c>
      <c r="C39" s="7">
        <v>9549.4500000000007</v>
      </c>
      <c r="D39" s="18">
        <f t="shared" si="0"/>
        <v>18591.345675178061</v>
      </c>
    </row>
    <row r="40" spans="2:4" x14ac:dyDescent="0.25">
      <c r="B40" s="53">
        <v>40602</v>
      </c>
      <c r="C40" s="7">
        <v>14001.55</v>
      </c>
      <c r="D40" s="18">
        <f t="shared" si="0"/>
        <v>20969.090801997969</v>
      </c>
    </row>
    <row r="41" spans="2:4" x14ac:dyDescent="0.25">
      <c r="B41" s="53">
        <v>40633</v>
      </c>
      <c r="C41" s="7">
        <v>8651.92</v>
      </c>
      <c r="D41" s="18">
        <f t="shared" si="0"/>
        <v>15595.847700145194</v>
      </c>
    </row>
    <row r="42" spans="2:4" x14ac:dyDescent="0.25">
      <c r="B42" s="53">
        <v>40663</v>
      </c>
      <c r="C42" s="7">
        <v>39520.18</v>
      </c>
      <c r="D42" s="18">
        <f t="shared" si="0"/>
        <v>18191.644345885408</v>
      </c>
    </row>
    <row r="43" spans="2:4" x14ac:dyDescent="0.25">
      <c r="B43" s="53">
        <v>40694</v>
      </c>
      <c r="C43" s="7">
        <v>40130.25</v>
      </c>
      <c r="D43" s="18">
        <f t="shared" si="0"/>
        <v>20145.271617701375</v>
      </c>
    </row>
    <row r="44" spans="2:4" x14ac:dyDescent="0.25">
      <c r="B44" s="53">
        <v>40724</v>
      </c>
      <c r="C44" s="7">
        <v>34224.639999999999</v>
      </c>
      <c r="D44" s="18">
        <f t="shared" si="0"/>
        <v>17436.697957725119</v>
      </c>
    </row>
    <row r="45" spans="2:4" x14ac:dyDescent="0.25">
      <c r="B45" s="53">
        <v>40755</v>
      </c>
      <c r="C45" s="7">
        <v>11463.86</v>
      </c>
      <c r="D45" s="18">
        <f t="shared" si="0"/>
        <v>17857.216828580033</v>
      </c>
    </row>
    <row r="46" spans="2:4" x14ac:dyDescent="0.25">
      <c r="B46" s="53">
        <v>40786</v>
      </c>
      <c r="C46" s="7">
        <v>13852.64</v>
      </c>
      <c r="D46" s="18">
        <f t="shared" si="0"/>
        <v>19638.410303772071</v>
      </c>
    </row>
    <row r="47" spans="2:4" x14ac:dyDescent="0.25">
      <c r="B47" s="53">
        <v>40816</v>
      </c>
      <c r="C47" s="7">
        <v>13164.01</v>
      </c>
      <c r="D47" s="18">
        <f t="shared" si="0"/>
        <v>17251.478364284758</v>
      </c>
    </row>
    <row r="48" spans="2:4" x14ac:dyDescent="0.25">
      <c r="B48" s="53">
        <v>40847</v>
      </c>
      <c r="C48" s="7">
        <v>14063.12</v>
      </c>
      <c r="D48" s="18">
        <f t="shared" si="0"/>
        <v>21131.4524290154</v>
      </c>
    </row>
    <row r="49" spans="2:5" x14ac:dyDescent="0.25">
      <c r="B49" s="53">
        <v>40877</v>
      </c>
      <c r="C49" s="7">
        <v>13940.6</v>
      </c>
      <c r="D49" s="18">
        <f t="shared" si="0"/>
        <v>19298.247146610425</v>
      </c>
    </row>
    <row r="50" spans="2:5" x14ac:dyDescent="0.25">
      <c r="B50" s="53">
        <v>40908</v>
      </c>
      <c r="C50" s="7">
        <v>12352.67</v>
      </c>
      <c r="D50" s="18">
        <f t="shared" si="0"/>
        <v>19352.792778063351</v>
      </c>
    </row>
    <row r="51" spans="2:5" x14ac:dyDescent="0.25">
      <c r="B51" s="53">
        <v>40939</v>
      </c>
      <c r="C51" s="7">
        <v>8049.99</v>
      </c>
      <c r="D51" s="18">
        <f t="shared" si="0"/>
        <v>15672.122140199346</v>
      </c>
    </row>
    <row r="52" spans="2:5" x14ac:dyDescent="0.25">
      <c r="B52" s="53">
        <v>40968</v>
      </c>
      <c r="C52" s="7">
        <v>13695.38</v>
      </c>
      <c r="D52" s="18">
        <f t="shared" si="0"/>
        <v>20510.562529710423</v>
      </c>
    </row>
    <row r="53" spans="2:5" x14ac:dyDescent="0.25">
      <c r="B53" s="53">
        <v>40999</v>
      </c>
      <c r="C53" s="7">
        <v>8753.31</v>
      </c>
      <c r="D53" s="18">
        <f t="shared" si="0"/>
        <v>15778.612103690039</v>
      </c>
    </row>
    <row r="54" spans="2:5" x14ac:dyDescent="0.25">
      <c r="B54" s="53">
        <v>41029</v>
      </c>
      <c r="C54" s="7">
        <v>45567.24</v>
      </c>
      <c r="D54" s="18">
        <f t="shared" si="0"/>
        <v>20975.183410186983</v>
      </c>
    </row>
    <row r="55" spans="2:5" x14ac:dyDescent="0.25">
      <c r="B55" s="53">
        <v>41060</v>
      </c>
      <c r="C55" s="7">
        <v>34309.440000000002</v>
      </c>
      <c r="D55" s="18">
        <f t="shared" si="0"/>
        <v>17223.241516093927</v>
      </c>
    </row>
    <row r="56" spans="2:5" x14ac:dyDescent="0.25">
      <c r="B56" s="53">
        <v>41090</v>
      </c>
      <c r="C56" s="7">
        <v>35072.11</v>
      </c>
      <c r="D56" s="18">
        <f t="shared" si="0"/>
        <v>17868.465199637183</v>
      </c>
    </row>
    <row r="57" spans="2:5" x14ac:dyDescent="0.25">
      <c r="B57" s="53">
        <v>41121</v>
      </c>
      <c r="C57" s="7">
        <v>10669.91</v>
      </c>
      <c r="D57" s="18">
        <f t="shared" si="0"/>
        <v>16620.483537956185</v>
      </c>
    </row>
    <row r="58" spans="2:5" x14ac:dyDescent="0.25">
      <c r="B58" s="53">
        <v>41152</v>
      </c>
      <c r="C58" s="7">
        <v>10617.79</v>
      </c>
      <c r="D58" s="18">
        <f t="shared" si="0"/>
        <v>15052.474946240432</v>
      </c>
    </row>
    <row r="59" spans="2:5" x14ac:dyDescent="0.25">
      <c r="B59" s="53">
        <v>41182</v>
      </c>
      <c r="C59" s="7">
        <v>14963.68</v>
      </c>
      <c r="D59" s="18">
        <f t="shared" si="0"/>
        <v>19609.951813321361</v>
      </c>
    </row>
    <row r="60" spans="2:5" x14ac:dyDescent="0.25">
      <c r="B60" s="53">
        <v>41213</v>
      </c>
      <c r="C60" s="7">
        <v>9801.7900000000009</v>
      </c>
      <c r="D60" s="18">
        <f t="shared" si="0"/>
        <v>14728.314847928403</v>
      </c>
    </row>
    <row r="61" spans="2:5" x14ac:dyDescent="0.25">
      <c r="B61" s="53">
        <v>41243</v>
      </c>
      <c r="C61" s="7">
        <v>11733.87</v>
      </c>
      <c r="D61" s="18">
        <f t="shared" si="0"/>
        <v>16243.427345035199</v>
      </c>
    </row>
    <row r="62" spans="2:5" x14ac:dyDescent="0.25">
      <c r="B62" s="53">
        <v>41274</v>
      </c>
      <c r="C62" s="7">
        <v>10739.17</v>
      </c>
      <c r="D62" s="18">
        <f t="shared" si="0"/>
        <v>16824.940002314852</v>
      </c>
    </row>
    <row r="63" spans="2:5" x14ac:dyDescent="0.25">
      <c r="B63" s="53">
        <v>41305</v>
      </c>
      <c r="D63" s="18">
        <f>FORECAST(B63,$D$3:$D$62,$B$3:$B$62)</f>
        <v>19081.026837371377</v>
      </c>
      <c r="E63" s="18">
        <f>D63*VLOOKUP(MONTH(B63),$G$4:$H$15,2,FALSE)</f>
        <v>9800.9748683988637</v>
      </c>
    </row>
    <row r="64" spans="2:5" x14ac:dyDescent="0.25">
      <c r="B64" s="53">
        <v>41333</v>
      </c>
      <c r="D64" s="18">
        <f t="shared" ref="D64:D74" si="2">FORECAST(B64,$D$3:$D$62,$B$3:$B$62)</f>
        <v>19184.305400805082</v>
      </c>
      <c r="E64" s="18">
        <f t="shared" ref="E64:E74" si="3">D64*VLOOKUP(MONTH(B64),$G$4:$H$15,2,FALSE)</f>
        <v>12809.807245388472</v>
      </c>
    </row>
    <row r="65" spans="2:5" x14ac:dyDescent="0.25">
      <c r="B65" s="53">
        <v>41364</v>
      </c>
      <c r="D65" s="18">
        <f t="shared" si="2"/>
        <v>19298.649524606677</v>
      </c>
      <c r="E65" s="18">
        <f t="shared" si="3"/>
        <v>10706.078631005134</v>
      </c>
    </row>
    <row r="66" spans="2:5" x14ac:dyDescent="0.25">
      <c r="B66" s="53">
        <v>41394</v>
      </c>
      <c r="D66" s="18">
        <f t="shared" si="2"/>
        <v>19409.305128285661</v>
      </c>
      <c r="E66" s="18">
        <f t="shared" si="3"/>
        <v>42165.469913568646</v>
      </c>
    </row>
    <row r="67" spans="2:5" x14ac:dyDescent="0.25">
      <c r="B67" s="53">
        <v>41425</v>
      </c>
      <c r="D67" s="18">
        <f t="shared" si="2"/>
        <v>19523.649252087256</v>
      </c>
      <c r="E67" s="18">
        <f t="shared" si="3"/>
        <v>38891.951434903145</v>
      </c>
    </row>
    <row r="68" spans="2:5" x14ac:dyDescent="0.25">
      <c r="B68" s="53">
        <v>41455</v>
      </c>
      <c r="D68" s="18">
        <f t="shared" si="2"/>
        <v>19634.304855766241</v>
      </c>
      <c r="E68" s="18">
        <f t="shared" si="3"/>
        <v>38538.088861093114</v>
      </c>
    </row>
    <row r="69" spans="2:5" x14ac:dyDescent="0.25">
      <c r="B69" s="53">
        <v>41486</v>
      </c>
      <c r="D69" s="18">
        <f t="shared" si="2"/>
        <v>19748.648979567864</v>
      </c>
      <c r="E69" s="18">
        <f t="shared" si="3"/>
        <v>12678.109319284744</v>
      </c>
    </row>
    <row r="70" spans="2:5" x14ac:dyDescent="0.25">
      <c r="B70" s="53">
        <v>41517</v>
      </c>
      <c r="D70" s="18">
        <f t="shared" si="2"/>
        <v>19862.993103369459</v>
      </c>
      <c r="E70" s="18">
        <f t="shared" si="3"/>
        <v>14011.057337497894</v>
      </c>
    </row>
    <row r="71" spans="2:5" x14ac:dyDescent="0.25">
      <c r="B71" s="53">
        <v>41547</v>
      </c>
      <c r="D71" s="18">
        <f t="shared" si="2"/>
        <v>19973.648707048444</v>
      </c>
      <c r="E71" s="18">
        <f t="shared" si="3"/>
        <v>15241.204594987994</v>
      </c>
    </row>
    <row r="72" spans="2:5" x14ac:dyDescent="0.25">
      <c r="B72" s="53">
        <v>41578</v>
      </c>
      <c r="D72" s="18">
        <f t="shared" si="2"/>
        <v>20087.992830850038</v>
      </c>
      <c r="E72" s="18">
        <f t="shared" si="3"/>
        <v>13368.690802885176</v>
      </c>
    </row>
    <row r="73" spans="2:5" x14ac:dyDescent="0.25">
      <c r="B73" s="53">
        <v>41608</v>
      </c>
      <c r="D73" s="18">
        <f t="shared" si="2"/>
        <v>20198.648434529023</v>
      </c>
      <c r="E73" s="18">
        <f t="shared" si="3"/>
        <v>14591.028720235488</v>
      </c>
    </row>
    <row r="74" spans="2:5" x14ac:dyDescent="0.25">
      <c r="B74" s="53">
        <v>41639</v>
      </c>
      <c r="D74" s="18">
        <f t="shared" si="2"/>
        <v>20312.992558330647</v>
      </c>
      <c r="E74" s="18">
        <f t="shared" si="3"/>
        <v>12965.554721897041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82</vt:lpstr>
      <vt:lpstr>82.1</vt:lpstr>
      <vt:lpstr>83</vt:lpstr>
      <vt:lpstr>83.1</vt:lpstr>
      <vt:lpstr>84</vt:lpstr>
      <vt:lpstr>85</vt:lpstr>
      <vt:lpstr>86</vt:lpstr>
      <vt:lpstr>86.1</vt:lpstr>
      <vt:lpstr>87</vt:lpstr>
      <vt:lpstr>87.1</vt:lpstr>
      <vt:lpstr>88</vt:lpstr>
      <vt:lpstr>88.1</vt:lpstr>
      <vt:lpstr>88.2</vt:lpstr>
      <vt:lpstr>89</vt:lpstr>
      <vt:lpstr>89.1</vt:lpstr>
      <vt:lpstr>90</vt:lpstr>
      <vt:lpstr>90.1</vt:lpstr>
      <vt:lpstr>91</vt:lpstr>
      <vt:lpstr>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2013-10-28T00:19:55Z</dcterms:created>
  <dcterms:modified xsi:type="dcterms:W3CDTF">2014-02-16T22:51:01Z</dcterms:modified>
</cp:coreProperties>
</file>