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.sharepoint.com/sites/TransportSystemAnalysis344/Delte dokumenter/General/PF_4/"/>
    </mc:Choice>
  </mc:AlternateContent>
  <xr:revisionPtr revIDLastSave="86" documentId="11_C023436FA06B742E199C0A98693398F62C73F800" xr6:coauthVersionLast="47" xr6:coauthVersionMax="47" xr10:uidLastSave="{FFB5C70C-4FFC-4578-96F6-74D12D43A82D}"/>
  <bookViews>
    <workbookView xWindow="-110" yWindow="-110" windowWidth="19420" windowHeight="10300" activeTab="2" xr2:uid="{00000000-000D-0000-FFFF-FFFF00000000}"/>
  </bookViews>
  <sheets>
    <sheet name="Q1" sheetId="1" r:id="rId1"/>
    <sheet name="Q2" sheetId="2" r:id="rId2"/>
    <sheet name="Q2 (2)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4" l="1"/>
  <c r="E31" i="4"/>
  <c r="E29" i="4"/>
  <c r="N23" i="1"/>
  <c r="O23" i="1"/>
  <c r="P23" i="1"/>
  <c r="Q23" i="1"/>
  <c r="O22" i="1"/>
  <c r="P22" i="1"/>
  <c r="Q22" i="1"/>
  <c r="N22" i="1"/>
  <c r="I4" i="1"/>
  <c r="I18" i="1"/>
  <c r="I14" i="1"/>
  <c r="O3" i="1"/>
  <c r="C32" i="4"/>
  <c r="G32" i="4"/>
  <c r="I32" i="4"/>
  <c r="K32" i="4"/>
  <c r="M32" i="4"/>
  <c r="O32" i="4"/>
  <c r="Q32" i="4"/>
  <c r="S32" i="4"/>
  <c r="U32" i="4"/>
  <c r="W32" i="4"/>
  <c r="E32" i="4"/>
  <c r="I31" i="4"/>
  <c r="K31" i="4"/>
  <c r="M31" i="4"/>
  <c r="O31" i="4"/>
  <c r="Q31" i="4"/>
  <c r="S31" i="4"/>
  <c r="U31" i="4"/>
  <c r="W31" i="4"/>
  <c r="G31" i="4"/>
  <c r="F29" i="4"/>
  <c r="X30" i="4"/>
  <c r="W30" i="4"/>
  <c r="V30" i="4"/>
  <c r="U30" i="4"/>
  <c r="X29" i="4"/>
  <c r="W29" i="4"/>
  <c r="V29" i="4"/>
  <c r="U29" i="4"/>
  <c r="T30" i="4"/>
  <c r="S30" i="4"/>
  <c r="R30" i="4"/>
  <c r="Q30" i="4"/>
  <c r="P30" i="4"/>
  <c r="O30" i="4"/>
  <c r="N30" i="4"/>
  <c r="M30" i="4"/>
  <c r="T29" i="4"/>
  <c r="S29" i="4"/>
  <c r="R29" i="4"/>
  <c r="Q29" i="4"/>
  <c r="P29" i="4"/>
  <c r="O29" i="4"/>
  <c r="N29" i="4"/>
  <c r="M29" i="4"/>
  <c r="L30" i="4"/>
  <c r="K30" i="4"/>
  <c r="J30" i="4"/>
  <c r="I30" i="4"/>
  <c r="L29" i="4"/>
  <c r="K29" i="4"/>
  <c r="J29" i="4"/>
  <c r="I29" i="4"/>
  <c r="H30" i="4"/>
  <c r="G30" i="4"/>
  <c r="H29" i="4"/>
  <c r="G29" i="4"/>
  <c r="F30" i="4"/>
  <c r="E30" i="4"/>
  <c r="G23" i="4"/>
  <c r="F24" i="4"/>
  <c r="E24" i="4"/>
  <c r="F23" i="4"/>
  <c r="E23" i="4"/>
  <c r="C25" i="4"/>
  <c r="D23" i="4"/>
  <c r="C23" i="4"/>
  <c r="C24" i="4"/>
  <c r="D24" i="4"/>
  <c r="G4" i="4"/>
  <c r="G9" i="4" s="1"/>
  <c r="H4" i="4"/>
  <c r="G5" i="4"/>
  <c r="H5" i="4"/>
  <c r="I4" i="4"/>
  <c r="M23" i="2"/>
  <c r="N23" i="2"/>
  <c r="H5" i="2"/>
  <c r="N5" i="2" s="1"/>
  <c r="H4" i="2"/>
  <c r="N4" i="2" s="1"/>
  <c r="G5" i="2"/>
  <c r="G4" i="2"/>
  <c r="M14" i="2" s="1"/>
  <c r="J5" i="4"/>
  <c r="I5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AD23" i="4"/>
  <c r="AB15" i="4"/>
  <c r="AA15" i="4"/>
  <c r="AB14" i="4"/>
  <c r="AA14" i="4"/>
  <c r="AG4" i="4"/>
  <c r="AA10" i="4" s="1"/>
  <c r="AG3" i="4"/>
  <c r="AA5" i="4" s="1"/>
  <c r="M15" i="2"/>
  <c r="N14" i="2"/>
  <c r="K15" i="1"/>
  <c r="I15" i="1"/>
  <c r="J15" i="1"/>
  <c r="L15" i="1"/>
  <c r="J14" i="1"/>
  <c r="K14" i="1"/>
  <c r="L14" i="1"/>
  <c r="K15" i="2"/>
  <c r="L15" i="2"/>
  <c r="L14" i="2"/>
  <c r="K14" i="2"/>
  <c r="M10" i="2"/>
  <c r="M5" i="2"/>
  <c r="Q4" i="2"/>
  <c r="K10" i="2" s="1"/>
  <c r="Q3" i="2"/>
  <c r="K5" i="2" s="1"/>
  <c r="I23" i="1"/>
  <c r="K18" i="1"/>
  <c r="I19" i="1"/>
  <c r="J19" i="1"/>
  <c r="K19" i="1"/>
  <c r="L19" i="1"/>
  <c r="J23" i="1" s="1"/>
  <c r="J18" i="1"/>
  <c r="L18" i="1"/>
  <c r="J22" i="1" s="1"/>
  <c r="I10" i="1"/>
  <c r="I9" i="1"/>
  <c r="J10" i="1"/>
  <c r="K10" i="1"/>
  <c r="L10" i="1"/>
  <c r="J9" i="1"/>
  <c r="K9" i="1"/>
  <c r="L9" i="1"/>
  <c r="O4" i="1"/>
  <c r="J5" i="1"/>
  <c r="J4" i="1"/>
  <c r="I5" i="1"/>
  <c r="K5" i="1"/>
  <c r="L5" i="1"/>
  <c r="K4" i="1"/>
  <c r="L4" i="1"/>
  <c r="E25" i="4" l="1"/>
  <c r="E26" i="4" s="1"/>
  <c r="AC4" i="4"/>
  <c r="N10" i="2"/>
  <c r="N15" i="2"/>
  <c r="N19" i="2" s="1"/>
  <c r="N9" i="2"/>
  <c r="M4" i="2"/>
  <c r="M9" i="2"/>
  <c r="M18" i="2" s="1"/>
  <c r="AD14" i="4"/>
  <c r="AC14" i="4"/>
  <c r="AC10" i="4"/>
  <c r="AC15" i="4"/>
  <c r="AB4" i="4"/>
  <c r="AA9" i="4"/>
  <c r="AD4" i="4"/>
  <c r="AD10" i="4"/>
  <c r="AD15" i="4"/>
  <c r="AC5" i="4"/>
  <c r="AD5" i="4"/>
  <c r="AA19" i="4"/>
  <c r="AB9" i="4"/>
  <c r="AB18" i="4" s="1"/>
  <c r="AA4" i="4"/>
  <c r="AB5" i="4"/>
  <c r="AB10" i="4"/>
  <c r="AB19" i="4" s="1"/>
  <c r="AC9" i="4"/>
  <c r="AD9" i="4"/>
  <c r="I22" i="1"/>
  <c r="J25" i="1" s="1"/>
  <c r="L4" i="2"/>
  <c r="K9" i="2"/>
  <c r="L9" i="2"/>
  <c r="L18" i="2" s="1"/>
  <c r="L10" i="2"/>
  <c r="L5" i="2"/>
  <c r="L19" i="2" s="1"/>
  <c r="K19" i="2"/>
  <c r="M19" i="2"/>
  <c r="K4" i="2"/>
  <c r="K18" i="2" s="1"/>
  <c r="N18" i="2"/>
  <c r="M22" i="2" l="1"/>
  <c r="M25" i="2" s="1"/>
  <c r="AC19" i="4"/>
  <c r="AC18" i="4"/>
  <c r="AA18" i="4"/>
  <c r="AD18" i="4"/>
  <c r="AD19" i="4"/>
  <c r="AC22" i="4" l="1"/>
  <c r="AC23" i="4" s="1"/>
  <c r="AE25" i="4" s="1"/>
  <c r="O25" i="2"/>
  <c r="AC25" i="4" l="1"/>
</calcChain>
</file>

<file path=xl/sharedStrings.xml><?xml version="1.0" encoding="utf-8"?>
<sst xmlns="http://schemas.openxmlformats.org/spreadsheetml/2006/main" count="80" uniqueCount="36">
  <si>
    <t>i</t>
  </si>
  <si>
    <t>j</t>
  </si>
  <si>
    <t>OD</t>
  </si>
  <si>
    <t>BASE</t>
  </si>
  <si>
    <t>SCENARIO</t>
  </si>
  <si>
    <t>Free-flow travel time</t>
  </si>
  <si>
    <t>Congestion travel time</t>
  </si>
  <si>
    <t>Length</t>
  </si>
  <si>
    <t>GTC=pkm·km+pfix+VoT*t</t>
  </si>
  <si>
    <t>VoFFT</t>
  </si>
  <si>
    <t>VoFFT*FFT</t>
  </si>
  <si>
    <t>VoCT*CT</t>
  </si>
  <si>
    <t>fix cost</t>
  </si>
  <si>
    <t>DKK/min</t>
  </si>
  <si>
    <t>DKK/km</t>
  </si>
  <si>
    <t>cost</t>
  </si>
  <si>
    <t>VoCT</t>
  </si>
  <si>
    <t>GTC*people</t>
  </si>
  <si>
    <t>SC1-Base (1)</t>
  </si>
  <si>
    <t>SC1-Base (2)</t>
  </si>
  <si>
    <t>Total</t>
  </si>
  <si>
    <t>DKK</t>
  </si>
  <si>
    <t>1)</t>
  </si>
  <si>
    <t>Disc factor</t>
  </si>
  <si>
    <t>Sum2030</t>
  </si>
  <si>
    <t>Sum2030_2021prices</t>
  </si>
  <si>
    <t>Benefits</t>
  </si>
  <si>
    <t>Costs</t>
  </si>
  <si>
    <t>Cost</t>
  </si>
  <si>
    <t>Benefit</t>
  </si>
  <si>
    <t>NPV</t>
  </si>
  <si>
    <t>BCR</t>
  </si>
  <si>
    <t xml:space="preserve">generalised cost </t>
  </si>
  <si>
    <t>Q2a</t>
  </si>
  <si>
    <t>consumer surplus</t>
  </si>
  <si>
    <t>Q2b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</si>
</sst>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/>
    <xf numFmtId="0" fontId="0" fillId="6" borderId="1" xfId="0" applyFill="1" applyBorder="1"/>
    <xf numFmtId="0" fontId="0" fillId="3" borderId="1" xfId="0" applyFill="1" applyBorder="1"/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6" borderId="0" xfId="0" applyFill="1" applyBorder="1"/>
    <xf numFmtId="0" fontId="5" fillId="6" borderId="0" xfId="0" applyFont="1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7" borderId="0" xfId="0" applyFill="1"/>
    <xf numFmtId="0" fontId="0" fillId="5" borderId="1" xfId="0" applyFill="1" applyBorder="1"/>
    <xf numFmtId="0" fontId="3" fillId="8" borderId="0" xfId="0" applyFont="1" applyFill="1" applyAlignment="1">
      <alignment horizontal="center"/>
    </xf>
    <xf numFmtId="9" fontId="0" fillId="0" borderId="0" xfId="1" applyFont="1"/>
    <xf numFmtId="0" fontId="4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506910</xdr:colOff>
          <xdr:row>5</xdr:row>
          <xdr:rowOff>95250</xdr:rowOff>
        </xdr:from>
        <xdr:to>
          <xdr:col>17</xdr:col>
          <xdr:colOff>552449</xdr:colOff>
          <xdr:row>15</xdr:row>
          <xdr:rowOff>107825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6EFD9A5-F4D1-49DE-8FA0-05F0DED1E7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494210</xdr:colOff>
          <xdr:row>8</xdr:row>
          <xdr:rowOff>82550</xdr:rowOff>
        </xdr:from>
        <xdr:to>
          <xdr:col>19</xdr:col>
          <xdr:colOff>539749</xdr:colOff>
          <xdr:row>18</xdr:row>
          <xdr:rowOff>95125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62F8339-5520-4297-85B9-AEA0CC464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494210</xdr:colOff>
          <xdr:row>8</xdr:row>
          <xdr:rowOff>82550</xdr:rowOff>
        </xdr:from>
        <xdr:to>
          <xdr:col>35</xdr:col>
          <xdr:colOff>539749</xdr:colOff>
          <xdr:row>18</xdr:row>
          <xdr:rowOff>95125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A376CFE0-F3F3-49A6-A04D-8DD74BAC15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opLeftCell="A4" workbookViewId="0">
      <selection activeCell="Q18" sqref="Q18"/>
    </sheetView>
  </sheetViews>
  <sheetFormatPr baseColWidth="10" defaultColWidth="8.7265625" defaultRowHeight="14.5" x14ac:dyDescent="0.35"/>
  <cols>
    <col min="8" max="8" width="9.7265625" customWidth="1"/>
  </cols>
  <sheetData>
    <row r="1" spans="1:16" x14ac:dyDescent="0.35">
      <c r="C1" s="9" t="s">
        <v>3</v>
      </c>
      <c r="D1" s="9"/>
      <c r="E1" s="10" t="s">
        <v>4</v>
      </c>
      <c r="F1" s="10"/>
    </row>
    <row r="2" spans="1:16" x14ac:dyDescent="0.35">
      <c r="B2" t="s">
        <v>2</v>
      </c>
      <c r="C2" s="2" t="s">
        <v>1</v>
      </c>
      <c r="D2" s="2"/>
      <c r="E2" s="2"/>
      <c r="F2" s="2"/>
      <c r="N2" t="s">
        <v>8</v>
      </c>
    </row>
    <row r="3" spans="1:16" x14ac:dyDescent="0.35">
      <c r="C3" s="5">
        <v>1</v>
      </c>
      <c r="D3" s="7">
        <v>2</v>
      </c>
      <c r="E3" s="5">
        <v>1</v>
      </c>
      <c r="F3" s="5">
        <v>2</v>
      </c>
      <c r="H3" t="s">
        <v>10</v>
      </c>
      <c r="I3" s="5">
        <v>1</v>
      </c>
      <c r="J3" s="7">
        <v>2</v>
      </c>
      <c r="K3" s="5">
        <v>1</v>
      </c>
      <c r="L3" s="5">
        <v>2</v>
      </c>
      <c r="N3" t="s">
        <v>9</v>
      </c>
      <c r="O3" s="11">
        <f>70/60</f>
        <v>1.1666666666666667</v>
      </c>
      <c r="P3" t="s">
        <v>13</v>
      </c>
    </row>
    <row r="4" spans="1:16" x14ac:dyDescent="0.35">
      <c r="A4" s="2" t="s">
        <v>0</v>
      </c>
      <c r="B4" s="5">
        <v>1</v>
      </c>
      <c r="C4" s="3">
        <v>49</v>
      </c>
      <c r="D4" s="8">
        <v>74</v>
      </c>
      <c r="E4" s="4">
        <v>59</v>
      </c>
      <c r="F4" s="4">
        <v>75</v>
      </c>
      <c r="H4" s="5">
        <v>1</v>
      </c>
      <c r="I4" s="3">
        <f>C4*C9*$O$3</f>
        <v>3144.166666666667</v>
      </c>
      <c r="J4" s="3">
        <f>D4*D9*$O$3</f>
        <v>3971.3333333333335</v>
      </c>
      <c r="K4" s="4">
        <f t="shared" ref="J4:L4" si="0">E4*E9*$O$3</f>
        <v>3579.3333333333335</v>
      </c>
      <c r="L4" s="4">
        <f t="shared" si="0"/>
        <v>3325</v>
      </c>
      <c r="N4" t="s">
        <v>16</v>
      </c>
      <c r="O4" s="11">
        <f>70/60*1.5</f>
        <v>1.75</v>
      </c>
      <c r="P4" t="s">
        <v>13</v>
      </c>
    </row>
    <row r="5" spans="1:16" x14ac:dyDescent="0.35">
      <c r="A5" s="2"/>
      <c r="B5" s="5">
        <v>2</v>
      </c>
      <c r="C5" s="3">
        <v>63</v>
      </c>
      <c r="D5" s="8">
        <v>83</v>
      </c>
      <c r="E5" s="4">
        <v>69</v>
      </c>
      <c r="F5" s="4">
        <v>94</v>
      </c>
      <c r="H5" s="5">
        <v>2</v>
      </c>
      <c r="I5" s="3">
        <f>C5*C10*$O$3</f>
        <v>3601.5000000000005</v>
      </c>
      <c r="J5" s="3">
        <f>D5*D10*$O$3</f>
        <v>3679.666666666667</v>
      </c>
      <c r="K5" s="4">
        <f t="shared" ref="K5" si="1">E5*E10*$O$3</f>
        <v>3300.5</v>
      </c>
      <c r="L5" s="4">
        <f t="shared" ref="L5" si="2">F5*F10*$O$3</f>
        <v>3838.3333333333335</v>
      </c>
      <c r="N5" t="s">
        <v>12</v>
      </c>
      <c r="O5">
        <v>1.89</v>
      </c>
      <c r="P5" t="s">
        <v>14</v>
      </c>
    </row>
    <row r="7" spans="1:16" x14ac:dyDescent="0.35">
      <c r="B7" t="s">
        <v>5</v>
      </c>
    </row>
    <row r="8" spans="1:16" x14ac:dyDescent="0.35">
      <c r="C8" s="5">
        <v>1</v>
      </c>
      <c r="D8" s="7">
        <v>2</v>
      </c>
      <c r="E8" s="5">
        <v>1</v>
      </c>
      <c r="F8" s="5">
        <v>2</v>
      </c>
      <c r="H8" t="s">
        <v>11</v>
      </c>
      <c r="I8" s="5">
        <v>1</v>
      </c>
      <c r="J8" s="7">
        <v>2</v>
      </c>
      <c r="K8" s="5">
        <v>1</v>
      </c>
      <c r="L8" s="5">
        <v>2</v>
      </c>
    </row>
    <row r="9" spans="1:16" x14ac:dyDescent="0.35">
      <c r="B9" s="5">
        <v>1</v>
      </c>
      <c r="C9" s="3">
        <v>55</v>
      </c>
      <c r="D9" s="8">
        <v>46</v>
      </c>
      <c r="E9" s="4">
        <v>52</v>
      </c>
      <c r="F9" s="4">
        <v>38</v>
      </c>
      <c r="H9" s="5">
        <v>1</v>
      </c>
      <c r="I9" s="3">
        <f>C4*C14*$O$4</f>
        <v>1029</v>
      </c>
      <c r="J9" s="3">
        <f t="shared" ref="J9:L9" si="3">D4*D14*$O$4</f>
        <v>1036</v>
      </c>
      <c r="K9" s="4">
        <f t="shared" si="3"/>
        <v>929.25</v>
      </c>
      <c r="L9" s="4">
        <f t="shared" si="3"/>
        <v>787.5</v>
      </c>
    </row>
    <row r="10" spans="1:16" x14ac:dyDescent="0.35">
      <c r="B10" s="5">
        <v>2</v>
      </c>
      <c r="C10" s="3">
        <v>49</v>
      </c>
      <c r="D10" s="8">
        <v>38</v>
      </c>
      <c r="E10" s="4">
        <v>41</v>
      </c>
      <c r="F10" s="4">
        <v>35</v>
      </c>
      <c r="H10" s="5">
        <v>2</v>
      </c>
      <c r="I10" s="3">
        <f>C5*C15*$O$4</f>
        <v>661.5</v>
      </c>
      <c r="J10" s="3">
        <f t="shared" ref="J10" si="4">D5*D15*$O$4</f>
        <v>1452.5</v>
      </c>
      <c r="K10" s="4">
        <f t="shared" ref="K10" si="5">E5*E15*$O$4</f>
        <v>603.75</v>
      </c>
      <c r="L10" s="4">
        <f t="shared" ref="L10" si="6">F5*F15*$O$4</f>
        <v>1316</v>
      </c>
    </row>
    <row r="12" spans="1:16" x14ac:dyDescent="0.35">
      <c r="B12" t="s">
        <v>6</v>
      </c>
    </row>
    <row r="13" spans="1:16" x14ac:dyDescent="0.35">
      <c r="C13" s="5">
        <v>1</v>
      </c>
      <c r="D13" s="7">
        <v>2</v>
      </c>
      <c r="E13" s="5">
        <v>1</v>
      </c>
      <c r="F13" s="5">
        <v>2</v>
      </c>
      <c r="H13" t="s">
        <v>15</v>
      </c>
      <c r="I13" s="5">
        <v>1</v>
      </c>
      <c r="J13" s="7">
        <v>2</v>
      </c>
      <c r="K13" s="5">
        <v>1</v>
      </c>
      <c r="L13" s="5">
        <v>2</v>
      </c>
    </row>
    <row r="14" spans="1:16" x14ac:dyDescent="0.35">
      <c r="B14" s="5">
        <v>1</v>
      </c>
      <c r="C14" s="3">
        <v>12</v>
      </c>
      <c r="D14" s="8">
        <v>8</v>
      </c>
      <c r="E14" s="4">
        <v>9</v>
      </c>
      <c r="F14" s="4">
        <v>6</v>
      </c>
      <c r="H14" s="5">
        <v>1</v>
      </c>
      <c r="I14" s="3">
        <f>C19*$O$5*C4</f>
        <v>1389.1499999999999</v>
      </c>
      <c r="J14" s="3">
        <f t="shared" ref="J14:L14" si="7">D19*$O$5*D4</f>
        <v>1678.32</v>
      </c>
      <c r="K14" s="4">
        <f t="shared" si="7"/>
        <v>1672.6499999999999</v>
      </c>
      <c r="L14" s="4">
        <f t="shared" si="7"/>
        <v>1701</v>
      </c>
    </row>
    <row r="15" spans="1:16" x14ac:dyDescent="0.35">
      <c r="B15" s="5">
        <v>2</v>
      </c>
      <c r="C15" s="3">
        <v>6</v>
      </c>
      <c r="D15" s="8">
        <v>10</v>
      </c>
      <c r="E15" s="4">
        <v>5</v>
      </c>
      <c r="F15" s="4">
        <v>8</v>
      </c>
      <c r="H15" s="5">
        <v>2</v>
      </c>
      <c r="I15" s="3">
        <f>C20*$O$5*C5</f>
        <v>1547.91</v>
      </c>
      <c r="J15" s="3">
        <f t="shared" ref="J15" si="8">D20*$O$5*D5</f>
        <v>2196.1799999999998</v>
      </c>
      <c r="K15" s="4">
        <f>E20*$O$5*E5</f>
        <v>1695.33</v>
      </c>
      <c r="L15" s="4">
        <f t="shared" ref="L15" si="9">F20*$O$5*F5</f>
        <v>2487.2399999999998</v>
      </c>
    </row>
    <row r="17" spans="2:17" x14ac:dyDescent="0.35">
      <c r="B17" t="s">
        <v>7</v>
      </c>
      <c r="H17" t="s">
        <v>17</v>
      </c>
    </row>
    <row r="18" spans="2:17" x14ac:dyDescent="0.35">
      <c r="C18" s="5">
        <v>1</v>
      </c>
      <c r="D18" s="7">
        <v>2</v>
      </c>
      <c r="E18" s="5">
        <v>1</v>
      </c>
      <c r="F18" s="5">
        <v>2</v>
      </c>
      <c r="I18">
        <f>(I14+I9+I4)</f>
        <v>5562.3166666666666</v>
      </c>
      <c r="J18">
        <f t="shared" ref="J18:L19" si="10">J14+J9+J4</f>
        <v>6685.6533333333336</v>
      </c>
      <c r="K18">
        <f>K14+K9+K4</f>
        <v>6181.2333333333336</v>
      </c>
      <c r="L18">
        <f t="shared" si="10"/>
        <v>5813.5</v>
      </c>
    </row>
    <row r="19" spans="2:17" x14ac:dyDescent="0.35">
      <c r="B19" s="5">
        <v>1</v>
      </c>
      <c r="C19" s="3">
        <v>15</v>
      </c>
      <c r="D19" s="8">
        <v>12</v>
      </c>
      <c r="E19" s="4">
        <v>15</v>
      </c>
      <c r="F19" s="4">
        <v>12</v>
      </c>
      <c r="I19">
        <f>I15+I10+I5</f>
        <v>5810.91</v>
      </c>
      <c r="J19">
        <f t="shared" si="10"/>
        <v>7328.3466666666664</v>
      </c>
      <c r="K19">
        <f t="shared" si="10"/>
        <v>5599.58</v>
      </c>
      <c r="L19">
        <f t="shared" si="10"/>
        <v>7641.5733333333337</v>
      </c>
    </row>
    <row r="20" spans="2:17" x14ac:dyDescent="0.35">
      <c r="B20" s="5">
        <v>2</v>
      </c>
      <c r="C20" s="3">
        <v>13</v>
      </c>
      <c r="D20" s="8">
        <v>14</v>
      </c>
      <c r="E20" s="4">
        <v>13</v>
      </c>
      <c r="F20" s="4">
        <v>14</v>
      </c>
    </row>
    <row r="21" spans="2:17" x14ac:dyDescent="0.35">
      <c r="I21" s="12" t="s">
        <v>18</v>
      </c>
      <c r="J21" s="12" t="s">
        <v>19</v>
      </c>
      <c r="M21" t="s">
        <v>32</v>
      </c>
    </row>
    <row r="22" spans="2:17" x14ac:dyDescent="0.35">
      <c r="H22" s="5">
        <v>1</v>
      </c>
      <c r="I22">
        <f>K18-I18</f>
        <v>618.91666666666697</v>
      </c>
      <c r="J22">
        <f>L18-J18</f>
        <v>-872.15333333333365</v>
      </c>
      <c r="N22">
        <f>I18/C4</f>
        <v>113.51666666666667</v>
      </c>
      <c r="O22">
        <f t="shared" ref="O22:Q22" si="11">J18/D4</f>
        <v>90.346666666666664</v>
      </c>
      <c r="P22">
        <f t="shared" si="11"/>
        <v>104.76666666666667</v>
      </c>
      <c r="Q22">
        <f t="shared" si="11"/>
        <v>77.513333333333335</v>
      </c>
    </row>
    <row r="23" spans="2:17" x14ac:dyDescent="0.35">
      <c r="H23" s="5">
        <v>2</v>
      </c>
      <c r="I23">
        <f>K19-I19</f>
        <v>-211.32999999999993</v>
      </c>
      <c r="J23">
        <f>L19-J19</f>
        <v>313.22666666666737</v>
      </c>
      <c r="N23">
        <f>I19/C5</f>
        <v>92.236666666666665</v>
      </c>
      <c r="O23">
        <f t="shared" ref="O23" si="12">J19/D5</f>
        <v>88.293333333333337</v>
      </c>
      <c r="P23">
        <f t="shared" ref="P23" si="13">K19/E5</f>
        <v>81.153333333333336</v>
      </c>
      <c r="Q23">
        <f t="shared" ref="Q23" si="14">L19/F5</f>
        <v>81.293333333333337</v>
      </c>
    </row>
    <row r="25" spans="2:17" x14ac:dyDescent="0.35">
      <c r="H25" t="s">
        <v>22</v>
      </c>
      <c r="I25" s="13" t="s">
        <v>20</v>
      </c>
      <c r="J25" s="14">
        <f>SUM(I22:J23)</f>
        <v>-151.33999999999924</v>
      </c>
      <c r="K25" s="15" t="s">
        <v>21</v>
      </c>
    </row>
  </sheetData>
  <mergeCells count="4">
    <mergeCell ref="A4:A5"/>
    <mergeCell ref="C1:D1"/>
    <mergeCell ref="E1:F1"/>
    <mergeCell ref="C2:F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r:id="rId4">
            <anchor moveWithCells="1">
              <from>
                <xdr:col>12</xdr:col>
                <xdr:colOff>508000</xdr:colOff>
                <xdr:row>5</xdr:row>
                <xdr:rowOff>95250</xdr:rowOff>
              </from>
              <to>
                <xdr:col>17</xdr:col>
                <xdr:colOff>552450</xdr:colOff>
                <xdr:row>15</xdr:row>
                <xdr:rowOff>107950</xdr:rowOff>
              </to>
            </anchor>
          </objectPr>
        </oleObject>
      </mc:Choice>
      <mc:Fallback>
        <oleObject progId="Paint.Picture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6BC1-0644-4810-90A8-F6548FADC8EB}">
  <dimension ref="A1:R25"/>
  <sheetViews>
    <sheetView topLeftCell="C1" workbookViewId="0">
      <selection activeCell="P2" sqref="P2"/>
    </sheetView>
  </sheetViews>
  <sheetFormatPr baseColWidth="10" defaultColWidth="8.7265625" defaultRowHeight="14.5" x14ac:dyDescent="0.35"/>
  <cols>
    <col min="10" max="10" width="9.7265625" customWidth="1"/>
  </cols>
  <sheetData>
    <row r="1" spans="1:18" x14ac:dyDescent="0.35">
      <c r="C1" s="9" t="s">
        <v>3</v>
      </c>
      <c r="D1" s="9"/>
      <c r="E1" s="10" t="s">
        <v>4</v>
      </c>
      <c r="F1" s="10"/>
      <c r="G1" s="18">
        <v>2030</v>
      </c>
      <c r="H1" s="18"/>
    </row>
    <row r="2" spans="1:18" x14ac:dyDescent="0.35">
      <c r="B2" t="s">
        <v>2</v>
      </c>
      <c r="C2" s="2" t="s">
        <v>1</v>
      </c>
      <c r="D2" s="2"/>
      <c r="E2" s="2"/>
      <c r="F2" s="2"/>
      <c r="G2" s="1"/>
      <c r="H2" s="1"/>
      <c r="P2" t="s">
        <v>8</v>
      </c>
    </row>
    <row r="3" spans="1:18" x14ac:dyDescent="0.35">
      <c r="C3" s="5">
        <v>1</v>
      </c>
      <c r="D3" s="7">
        <v>2</v>
      </c>
      <c r="E3" s="5">
        <v>1</v>
      </c>
      <c r="F3" s="7">
        <v>2</v>
      </c>
      <c r="G3" s="5"/>
      <c r="H3" s="5"/>
      <c r="J3" t="s">
        <v>10</v>
      </c>
      <c r="K3" s="5">
        <v>1</v>
      </c>
      <c r="L3" s="7">
        <v>2</v>
      </c>
      <c r="M3" s="5">
        <v>1</v>
      </c>
      <c r="N3" s="5">
        <v>2</v>
      </c>
      <c r="P3" t="s">
        <v>9</v>
      </c>
      <c r="Q3" s="11">
        <f>70/60</f>
        <v>1.1666666666666667</v>
      </c>
      <c r="R3" t="s">
        <v>13</v>
      </c>
    </row>
    <row r="4" spans="1:18" x14ac:dyDescent="0.35">
      <c r="A4" s="2" t="s">
        <v>0</v>
      </c>
      <c r="B4" s="5">
        <v>1</v>
      </c>
      <c r="C4" s="3">
        <v>49</v>
      </c>
      <c r="D4" s="8">
        <v>74</v>
      </c>
      <c r="E4" s="4">
        <v>59</v>
      </c>
      <c r="F4" s="17">
        <v>75</v>
      </c>
      <c r="G4" s="16">
        <f>E4*1.02^9</f>
        <v>70.510461548716336</v>
      </c>
      <c r="H4" s="16">
        <f>F4*1.02^9</f>
        <v>89.631942646673309</v>
      </c>
      <c r="J4" s="5">
        <v>1</v>
      </c>
      <c r="K4" s="3">
        <f>C4*C9*$Q$3</f>
        <v>3144.166666666667</v>
      </c>
      <c r="L4" s="3">
        <f>D4*D9*$Q$3</f>
        <v>3971.3333333333335</v>
      </c>
      <c r="M4" s="16">
        <f>G4*E9*$Q$3</f>
        <v>4277.6346672887912</v>
      </c>
      <c r="N4" s="16">
        <f>H4*F9*$Q$3</f>
        <v>3973.6827906691838</v>
      </c>
      <c r="P4" t="s">
        <v>16</v>
      </c>
      <c r="Q4" s="11">
        <f>70/60*1.5</f>
        <v>1.75</v>
      </c>
      <c r="R4" t="s">
        <v>13</v>
      </c>
    </row>
    <row r="5" spans="1:18" x14ac:dyDescent="0.35">
      <c r="A5" s="2"/>
      <c r="B5" s="5">
        <v>2</v>
      </c>
      <c r="C5" s="3">
        <v>63</v>
      </c>
      <c r="D5" s="8">
        <v>83</v>
      </c>
      <c r="E5" s="4">
        <v>69</v>
      </c>
      <c r="F5" s="17">
        <v>94</v>
      </c>
      <c r="G5" s="16">
        <f>E5*1.02^9</f>
        <v>82.461387234939451</v>
      </c>
      <c r="H5" s="16">
        <f>F5*1.02^9</f>
        <v>112.33870145049721</v>
      </c>
      <c r="J5" s="5">
        <v>2</v>
      </c>
      <c r="K5" s="3">
        <f>C5*C10*$Q$3</f>
        <v>3601.5000000000005</v>
      </c>
      <c r="L5" s="3">
        <f>D5*D10*$Q$3</f>
        <v>3679.666666666667</v>
      </c>
      <c r="M5" s="16">
        <f>G5*E10*$Q$3</f>
        <v>3944.4030227379371</v>
      </c>
      <c r="N5" s="16">
        <f>H5*F10*$Q$3</f>
        <v>4587.1636425619699</v>
      </c>
      <c r="P5" t="s">
        <v>12</v>
      </c>
      <c r="Q5">
        <v>1.89</v>
      </c>
      <c r="R5" t="s">
        <v>14</v>
      </c>
    </row>
    <row r="6" spans="1:18" x14ac:dyDescent="0.35">
      <c r="P6" s="20" t="s">
        <v>23</v>
      </c>
      <c r="Q6" s="19">
        <v>0.06</v>
      </c>
    </row>
    <row r="7" spans="1:18" x14ac:dyDescent="0.35">
      <c r="B7" t="s">
        <v>5</v>
      </c>
    </row>
    <row r="8" spans="1:18" x14ac:dyDescent="0.35">
      <c r="C8" s="5">
        <v>1</v>
      </c>
      <c r="D8" s="7">
        <v>2</v>
      </c>
      <c r="E8" s="5">
        <v>1</v>
      </c>
      <c r="F8" s="5">
        <v>2</v>
      </c>
      <c r="G8" s="5"/>
      <c r="H8" s="5"/>
      <c r="J8" t="s">
        <v>11</v>
      </c>
      <c r="K8" s="5">
        <v>1</v>
      </c>
      <c r="L8" s="7">
        <v>2</v>
      </c>
      <c r="M8" s="5">
        <v>1</v>
      </c>
      <c r="N8" s="5">
        <v>2</v>
      </c>
    </row>
    <row r="9" spans="1:18" x14ac:dyDescent="0.35">
      <c r="B9" s="5">
        <v>1</v>
      </c>
      <c r="C9" s="3">
        <v>55</v>
      </c>
      <c r="D9" s="8">
        <v>46</v>
      </c>
      <c r="E9" s="4">
        <v>52</v>
      </c>
      <c r="F9" s="4">
        <v>38</v>
      </c>
      <c r="G9" s="4"/>
      <c r="H9" s="4"/>
      <c r="J9" s="5">
        <v>1</v>
      </c>
      <c r="K9" s="3">
        <f>C4*C14*$Q$4</f>
        <v>1029</v>
      </c>
      <c r="L9" s="3">
        <f>D4*D14*$Q$4</f>
        <v>1036</v>
      </c>
      <c r="M9" s="16">
        <f>G4*E14*$Q$4</f>
        <v>1110.5397693922823</v>
      </c>
      <c r="N9" s="16">
        <f>H4*F14*$Q$4</f>
        <v>941.13539779006965</v>
      </c>
    </row>
    <row r="10" spans="1:18" x14ac:dyDescent="0.35">
      <c r="B10" s="5">
        <v>2</v>
      </c>
      <c r="C10" s="3">
        <v>49</v>
      </c>
      <c r="D10" s="8">
        <v>38</v>
      </c>
      <c r="E10" s="4">
        <v>41</v>
      </c>
      <c r="F10" s="4">
        <v>35</v>
      </c>
      <c r="G10" s="4"/>
      <c r="H10" s="4"/>
      <c r="J10" s="5">
        <v>2</v>
      </c>
      <c r="K10" s="3">
        <f>C5*C15*$Q$4</f>
        <v>661.5</v>
      </c>
      <c r="L10" s="3">
        <f>D5*D15*$Q$4</f>
        <v>1452.5</v>
      </c>
      <c r="M10" s="16">
        <f>G5*E15*$Q$4</f>
        <v>721.53713830572019</v>
      </c>
      <c r="N10" s="16">
        <f>H5*F15*$Q$4</f>
        <v>1572.741820306961</v>
      </c>
    </row>
    <row r="12" spans="1:18" x14ac:dyDescent="0.35">
      <c r="B12" t="s">
        <v>6</v>
      </c>
    </row>
    <row r="13" spans="1:18" x14ac:dyDescent="0.35">
      <c r="C13" s="5">
        <v>1</v>
      </c>
      <c r="D13" s="7">
        <v>2</v>
      </c>
      <c r="E13" s="5">
        <v>1</v>
      </c>
      <c r="F13" s="5">
        <v>2</v>
      </c>
      <c r="G13" s="5"/>
      <c r="H13" s="5"/>
      <c r="J13" t="s">
        <v>15</v>
      </c>
      <c r="K13" s="5">
        <v>1</v>
      </c>
      <c r="L13" s="7">
        <v>2</v>
      </c>
      <c r="M13" s="5">
        <v>1</v>
      </c>
      <c r="N13" s="5">
        <v>2</v>
      </c>
    </row>
    <row r="14" spans="1:18" x14ac:dyDescent="0.35">
      <c r="B14" s="5">
        <v>1</v>
      </c>
      <c r="C14" s="3">
        <v>12</v>
      </c>
      <c r="D14" s="8">
        <v>8</v>
      </c>
      <c r="E14" s="4">
        <v>9</v>
      </c>
      <c r="F14" s="4">
        <v>6</v>
      </c>
      <c r="G14" s="4"/>
      <c r="H14" s="4"/>
      <c r="J14" s="5">
        <v>1</v>
      </c>
      <c r="K14" s="3">
        <f>C19*$Q$5*C4</f>
        <v>1389.1499999999999</v>
      </c>
      <c r="L14" s="3">
        <f t="shared" ref="L14:N14" si="0">D19*$Q$5*D4</f>
        <v>1678.32</v>
      </c>
      <c r="M14" s="16">
        <f>E19*$Q$5*G4</f>
        <v>1998.9715849061079</v>
      </c>
      <c r="N14" s="16">
        <f>F19*$Q$5*H4</f>
        <v>2032.8524592265505</v>
      </c>
    </row>
    <row r="15" spans="1:18" x14ac:dyDescent="0.35">
      <c r="B15" s="5">
        <v>2</v>
      </c>
      <c r="C15" s="3">
        <v>6</v>
      </c>
      <c r="D15" s="8">
        <v>10</v>
      </c>
      <c r="E15" s="4">
        <v>5</v>
      </c>
      <c r="F15" s="4">
        <v>8</v>
      </c>
      <c r="G15" s="4"/>
      <c r="H15" s="4"/>
      <c r="J15" s="5">
        <v>2</v>
      </c>
      <c r="K15" s="3">
        <f>C20*$Q$5*C5</f>
        <v>1547.91</v>
      </c>
      <c r="L15" s="3">
        <f t="shared" ref="L15" si="1">D20*$Q$5*D5</f>
        <v>2196.1799999999998</v>
      </c>
      <c r="M15" s="16">
        <f>E20*$Q$5*G5</f>
        <v>2026.0762843624623</v>
      </c>
      <c r="N15" s="16">
        <f>F20*$Q$5*H5</f>
        <v>2972.4820403801559</v>
      </c>
    </row>
    <row r="17" spans="2:15" x14ac:dyDescent="0.35">
      <c r="B17" t="s">
        <v>7</v>
      </c>
      <c r="J17" t="s">
        <v>17</v>
      </c>
      <c r="K17" s="5">
        <v>1</v>
      </c>
      <c r="L17" s="7">
        <v>2</v>
      </c>
      <c r="M17" s="5">
        <v>1</v>
      </c>
      <c r="N17" s="5">
        <v>2</v>
      </c>
    </row>
    <row r="18" spans="2:15" x14ac:dyDescent="0.35">
      <c r="C18" s="5">
        <v>1</v>
      </c>
      <c r="D18" s="7">
        <v>2</v>
      </c>
      <c r="E18" s="5">
        <v>1</v>
      </c>
      <c r="F18" s="5">
        <v>2</v>
      </c>
      <c r="G18" s="5"/>
      <c r="H18" s="5"/>
      <c r="J18" s="5">
        <v>1</v>
      </c>
      <c r="K18" s="3">
        <f>K14+K9+K4</f>
        <v>5562.3166666666666</v>
      </c>
      <c r="L18" s="3">
        <f t="shared" ref="L18:N19" si="2">L14+L9+L4</f>
        <v>6685.6533333333336</v>
      </c>
      <c r="M18" s="16">
        <f>M14+M9+M4</f>
        <v>7387.1460215871812</v>
      </c>
      <c r="N18" s="16">
        <f t="shared" si="2"/>
        <v>6947.6706476858035</v>
      </c>
    </row>
    <row r="19" spans="2:15" x14ac:dyDescent="0.35">
      <c r="B19" s="5">
        <v>1</v>
      </c>
      <c r="C19" s="3">
        <v>15</v>
      </c>
      <c r="D19" s="8">
        <v>12</v>
      </c>
      <c r="E19" s="4">
        <v>15</v>
      </c>
      <c r="F19" s="4">
        <v>12</v>
      </c>
      <c r="G19" s="4"/>
      <c r="H19" s="4"/>
      <c r="J19" s="5">
        <v>2</v>
      </c>
      <c r="K19" s="3">
        <f>K15+K10+K5</f>
        <v>5810.91</v>
      </c>
      <c r="L19" s="3">
        <f t="shared" si="2"/>
        <v>7328.3466666666664</v>
      </c>
      <c r="M19" s="16">
        <f t="shared" si="2"/>
        <v>6692.0164454061196</v>
      </c>
      <c r="N19" s="16">
        <f t="shared" si="2"/>
        <v>9132.3875032490869</v>
      </c>
    </row>
    <row r="20" spans="2:15" x14ac:dyDescent="0.35">
      <c r="B20" s="5">
        <v>2</v>
      </c>
      <c r="C20" s="3">
        <v>13</v>
      </c>
      <c r="D20" s="8">
        <v>14</v>
      </c>
      <c r="E20" s="4">
        <v>13</v>
      </c>
      <c r="F20" s="4">
        <v>14</v>
      </c>
      <c r="G20" s="4"/>
      <c r="H20" s="4"/>
      <c r="J20" s="22"/>
      <c r="K20" s="22"/>
      <c r="L20" s="22"/>
      <c r="M20" s="22"/>
      <c r="N20" s="22"/>
    </row>
    <row r="21" spans="2:15" x14ac:dyDescent="0.35">
      <c r="J21" s="22"/>
      <c r="K21" s="23"/>
      <c r="L21" s="23"/>
      <c r="M21" s="22" t="s">
        <v>26</v>
      </c>
      <c r="N21" s="22" t="s">
        <v>27</v>
      </c>
    </row>
    <row r="22" spans="2:15" x14ac:dyDescent="0.35">
      <c r="J22" s="22"/>
      <c r="K22" s="24" t="s">
        <v>24</v>
      </c>
      <c r="L22" s="24"/>
      <c r="M22" s="22">
        <f>SUM(M18:N19)</f>
        <v>30159.220617928189</v>
      </c>
      <c r="N22" s="22">
        <v>500</v>
      </c>
    </row>
    <row r="23" spans="2:15" x14ac:dyDescent="0.35">
      <c r="J23" s="22"/>
      <c r="K23" s="25" t="s">
        <v>25</v>
      </c>
      <c r="L23" s="26"/>
      <c r="M23" s="27">
        <f>M22/(1+Q6)^9</f>
        <v>17851.196345014745</v>
      </c>
      <c r="N23" s="22">
        <f>N22/(1+Q6)^9</f>
        <v>295.94923176501248</v>
      </c>
    </row>
    <row r="24" spans="2:15" x14ac:dyDescent="0.35">
      <c r="N24">
        <v>14000</v>
      </c>
    </row>
    <row r="25" spans="2:15" x14ac:dyDescent="0.35">
      <c r="L25" s="21"/>
      <c r="M25" s="21">
        <f>(M23-N23)/N24</f>
        <v>1.2539462223749811</v>
      </c>
      <c r="O25">
        <f>M23/(N23+N24)</f>
        <v>1.248689125542648</v>
      </c>
    </row>
  </sheetData>
  <mergeCells count="7">
    <mergeCell ref="K23:L23"/>
    <mergeCell ref="C1:D1"/>
    <mergeCell ref="E1:F1"/>
    <mergeCell ref="C2:F2"/>
    <mergeCell ref="A4:A5"/>
    <mergeCell ref="G1:H1"/>
    <mergeCell ref="K22:L2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r:id="rId4">
            <anchor moveWithCells="1">
              <from>
                <xdr:col>14</xdr:col>
                <xdr:colOff>495300</xdr:colOff>
                <xdr:row>8</xdr:row>
                <xdr:rowOff>82550</xdr:rowOff>
              </from>
              <to>
                <xdr:col>19</xdr:col>
                <xdr:colOff>539750</xdr:colOff>
                <xdr:row>18</xdr:row>
                <xdr:rowOff>95250</xdr:rowOff>
              </to>
            </anchor>
          </objectPr>
        </oleObject>
      </mc:Choice>
      <mc:Fallback>
        <oleObject progId="Paint.Picture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82EA-D530-45EE-A073-1824CFA29D5C}">
  <dimension ref="A1:AH33"/>
  <sheetViews>
    <sheetView tabSelected="1" topLeftCell="A9" zoomScale="80" zoomScaleNormal="80" workbookViewId="0">
      <selection activeCell="P29" sqref="P29"/>
    </sheetView>
  </sheetViews>
  <sheetFormatPr baseColWidth="10" defaultColWidth="8.7265625" defaultRowHeight="14.5" x14ac:dyDescent="0.35"/>
  <cols>
    <col min="6" max="6" width="10.81640625" customWidth="1"/>
    <col min="26" max="26" width="9.7265625" customWidth="1"/>
  </cols>
  <sheetData>
    <row r="1" spans="1:34" x14ac:dyDescent="0.35">
      <c r="C1" s="9" t="s">
        <v>3</v>
      </c>
      <c r="D1" s="9"/>
      <c r="E1" s="10">
        <v>2021</v>
      </c>
      <c r="F1" s="10"/>
      <c r="G1" s="10">
        <v>2022</v>
      </c>
      <c r="H1" s="10"/>
      <c r="I1" s="10">
        <v>2023</v>
      </c>
      <c r="J1" s="10"/>
      <c r="K1" s="10">
        <v>2024</v>
      </c>
      <c r="L1" s="10"/>
      <c r="M1" s="10">
        <v>2025</v>
      </c>
      <c r="N1" s="10"/>
      <c r="O1" s="10">
        <v>2026</v>
      </c>
      <c r="P1" s="10"/>
      <c r="Q1" s="10">
        <v>2027</v>
      </c>
      <c r="R1" s="10"/>
      <c r="S1" s="10">
        <v>2028</v>
      </c>
      <c r="T1" s="10"/>
      <c r="U1" s="18">
        <v>2029</v>
      </c>
      <c r="V1" s="18"/>
      <c r="W1" s="18">
        <v>2030</v>
      </c>
      <c r="X1" s="18"/>
    </row>
    <row r="2" spans="1:34" x14ac:dyDescent="0.35">
      <c r="B2" t="s">
        <v>2</v>
      </c>
      <c r="C2" s="6" t="s">
        <v>1</v>
      </c>
      <c r="D2" s="6"/>
      <c r="E2" s="6">
        <v>0</v>
      </c>
      <c r="F2" s="6"/>
      <c r="G2" s="1">
        <v>1</v>
      </c>
      <c r="H2" s="1"/>
      <c r="I2" s="1">
        <v>2</v>
      </c>
      <c r="J2" s="1"/>
      <c r="K2" s="1">
        <v>3</v>
      </c>
      <c r="L2" s="1"/>
      <c r="M2" s="1">
        <v>4</v>
      </c>
      <c r="N2" s="1"/>
      <c r="O2" s="1">
        <v>5</v>
      </c>
      <c r="P2" s="1"/>
      <c r="Q2" s="1">
        <v>6</v>
      </c>
      <c r="R2" s="1"/>
      <c r="S2" s="1">
        <v>7</v>
      </c>
      <c r="T2" s="1"/>
      <c r="U2" s="1">
        <v>8</v>
      </c>
      <c r="V2" s="1"/>
      <c r="W2" s="1">
        <v>9</v>
      </c>
      <c r="X2" s="1"/>
      <c r="AF2" t="s">
        <v>8</v>
      </c>
    </row>
    <row r="3" spans="1:34" x14ac:dyDescent="0.35">
      <c r="C3" s="5">
        <v>1</v>
      </c>
      <c r="D3" s="7">
        <v>2</v>
      </c>
      <c r="E3" s="5">
        <v>1</v>
      </c>
      <c r="F3" s="7">
        <v>2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"/>
      <c r="V3" s="5"/>
      <c r="W3" s="5"/>
      <c r="X3" s="5"/>
      <c r="Z3" t="s">
        <v>10</v>
      </c>
      <c r="AA3" s="5">
        <v>1</v>
      </c>
      <c r="AB3" s="7">
        <v>2</v>
      </c>
      <c r="AC3" s="5">
        <v>1</v>
      </c>
      <c r="AD3" s="5">
        <v>2</v>
      </c>
      <c r="AF3" t="s">
        <v>9</v>
      </c>
      <c r="AG3" s="11">
        <f>70/60</f>
        <v>1.1666666666666667</v>
      </c>
      <c r="AH3" t="s">
        <v>13</v>
      </c>
    </row>
    <row r="4" spans="1:34" x14ac:dyDescent="0.35">
      <c r="A4" s="2" t="s">
        <v>0</v>
      </c>
      <c r="B4" s="5">
        <v>1</v>
      </c>
      <c r="C4" s="3">
        <v>49</v>
      </c>
      <c r="D4" s="8">
        <v>74</v>
      </c>
      <c r="E4" s="4">
        <v>59</v>
      </c>
      <c r="F4" s="17">
        <v>75</v>
      </c>
      <c r="G4" s="16">
        <f>$F$4*1.02^G2</f>
        <v>76.5</v>
      </c>
      <c r="H4" s="16">
        <f>$F$4*1.02^G2</f>
        <v>76.5</v>
      </c>
      <c r="I4" s="16">
        <f>$E$4*1.02^I2</f>
        <v>61.383600000000001</v>
      </c>
      <c r="J4" s="16">
        <f>$F$4*1.02^I2</f>
        <v>78.03</v>
      </c>
      <c r="K4" s="16">
        <f t="shared" ref="K4:X4" si="0">$E$4*1.02^K2</f>
        <v>62.611271999999992</v>
      </c>
      <c r="L4" s="16">
        <f t="shared" ref="L4:X4" si="1">$F$4*1.02^K2</f>
        <v>79.590599999999995</v>
      </c>
      <c r="M4" s="16">
        <f t="shared" ref="M4:X4" si="2">$E$4*1.02^M2</f>
        <v>63.863497439999996</v>
      </c>
      <c r="N4" s="16">
        <f t="shared" ref="N4:X4" si="3">$F$4*1.02^M2</f>
        <v>81.182411999999999</v>
      </c>
      <c r="O4" s="16">
        <f t="shared" ref="O4:X4" si="4">$E$4*1.02^O2</f>
        <v>65.140767388800001</v>
      </c>
      <c r="P4" s="16">
        <f t="shared" ref="P4:X4" si="5">$F$4*1.02^O2</f>
        <v>82.806060240000008</v>
      </c>
      <c r="Q4" s="16">
        <f t="shared" ref="Q4:X4" si="6">$E$4*1.02^Q2</f>
        <v>66.443582736576005</v>
      </c>
      <c r="R4" s="16">
        <f t="shared" ref="R4:X4" si="7">$F$4*1.02^Q2</f>
        <v>84.462181444800009</v>
      </c>
      <c r="S4" s="16">
        <f t="shared" ref="S4:X4" si="8">$E$4*1.02^S2</f>
        <v>67.772454391307505</v>
      </c>
      <c r="T4" s="16">
        <f t="shared" ref="T4:X4" si="9">$F$4*1.02^S2</f>
        <v>86.151425073695989</v>
      </c>
      <c r="U4" s="16">
        <f t="shared" ref="U4:X4" si="10">$E$4*1.02^U2</f>
        <v>69.127903479133664</v>
      </c>
      <c r="V4" s="16">
        <f t="shared" ref="V4:X4" si="11">$F$4*1.02^U2</f>
        <v>87.874453575169909</v>
      </c>
      <c r="W4" s="16">
        <f t="shared" ref="W4:X4" si="12">$E$4*1.02^W2</f>
        <v>70.510461548716336</v>
      </c>
      <c r="X4" s="16">
        <f t="shared" ref="X4" si="13">$F$4*1.02^W2</f>
        <v>89.631942646673309</v>
      </c>
      <c r="Z4" s="5">
        <v>1</v>
      </c>
      <c r="AA4" s="3">
        <f>C4*C9*$AG$3</f>
        <v>3144.166666666667</v>
      </c>
      <c r="AB4" s="3">
        <f>D4*D9*$AG$3</f>
        <v>3971.3333333333335</v>
      </c>
      <c r="AC4" s="16">
        <f>G4*E9*$AG$3</f>
        <v>4641</v>
      </c>
      <c r="AD4" s="16">
        <f>H4*F9*$AG$3</f>
        <v>3391.5</v>
      </c>
      <c r="AF4" t="s">
        <v>16</v>
      </c>
      <c r="AG4" s="11">
        <f>70/60*1.5</f>
        <v>1.75</v>
      </c>
      <c r="AH4" t="s">
        <v>13</v>
      </c>
    </row>
    <row r="5" spans="1:34" x14ac:dyDescent="0.35">
      <c r="A5" s="2"/>
      <c r="B5" s="5">
        <v>2</v>
      </c>
      <c r="C5" s="3">
        <v>63</v>
      </c>
      <c r="D5" s="8">
        <v>83</v>
      </c>
      <c r="E5" s="4">
        <v>69</v>
      </c>
      <c r="F5" s="17">
        <v>94</v>
      </c>
      <c r="G5" s="16">
        <f>$E$5*1.02^G2</f>
        <v>70.38</v>
      </c>
      <c r="H5" s="16">
        <f>$F$5*1.02^G2</f>
        <v>95.88</v>
      </c>
      <c r="I5" s="16">
        <f>$E$5*1.02^I2</f>
        <v>71.787599999999998</v>
      </c>
      <c r="J5" s="16">
        <f>$F$5*1.02^I2</f>
        <v>97.797600000000003</v>
      </c>
      <c r="K5" s="16">
        <f t="shared" ref="K5:X5" si="14">$E$5*1.02^K2</f>
        <v>73.223351999999991</v>
      </c>
      <c r="L5" s="16">
        <f t="shared" ref="L5:X5" si="15">$F$5*1.02^K2</f>
        <v>99.753551999999999</v>
      </c>
      <c r="M5" s="16">
        <f t="shared" ref="M5:X5" si="16">$E$5*1.02^M2</f>
        <v>74.687819039999994</v>
      </c>
      <c r="N5" s="16">
        <f t="shared" ref="N5:X5" si="17">$F$5*1.02^M2</f>
        <v>101.74862304</v>
      </c>
      <c r="O5" s="16">
        <f t="shared" ref="O5:X5" si="18">$E$5*1.02^O2</f>
        <v>76.181575420800002</v>
      </c>
      <c r="P5" s="16">
        <f t="shared" ref="P5:X5" si="19">$F$5*1.02^O2</f>
        <v>103.7835955008</v>
      </c>
      <c r="Q5" s="16">
        <f t="shared" ref="Q5:X5" si="20">$E$5*1.02^Q2</f>
        <v>77.705206929216004</v>
      </c>
      <c r="R5" s="16">
        <f t="shared" ref="R5:X5" si="21">$F$5*1.02^Q2</f>
        <v>105.859267410816</v>
      </c>
      <c r="S5" s="16">
        <f t="shared" ref="S5:X5" si="22">$E$5*1.02^S2</f>
        <v>79.259311067800311</v>
      </c>
      <c r="T5" s="16">
        <f t="shared" ref="T5:X5" si="23">$F$5*1.02^S2</f>
        <v>107.9764527590323</v>
      </c>
      <c r="U5" s="16">
        <f t="shared" ref="U5:X5" si="24">$E$5*1.02^U2</f>
        <v>80.844497289156322</v>
      </c>
      <c r="V5" s="16">
        <f t="shared" ref="V5:X5" si="25">$F$5*1.02^U2</f>
        <v>110.13598181421295</v>
      </c>
      <c r="W5" s="16">
        <f t="shared" ref="W5:X5" si="26">$E$5*1.02^W2</f>
        <v>82.461387234939451</v>
      </c>
      <c r="X5" s="16">
        <f t="shared" ref="X5" si="27">$F$5*1.02^W2</f>
        <v>112.33870145049721</v>
      </c>
      <c r="Z5" s="5">
        <v>2</v>
      </c>
      <c r="AA5" s="3">
        <f>C5*C10*$AG$3</f>
        <v>3601.5000000000005</v>
      </c>
      <c r="AB5" s="3">
        <f>D5*D10*$AG$3</f>
        <v>3679.666666666667</v>
      </c>
      <c r="AC5" s="16">
        <f>G5*E10*$AG$3</f>
        <v>3366.51</v>
      </c>
      <c r="AD5" s="16">
        <f>H5*F10*$AG$3</f>
        <v>3915.1</v>
      </c>
      <c r="AF5" t="s">
        <v>12</v>
      </c>
      <c r="AG5">
        <v>1.89</v>
      </c>
      <c r="AH5" t="s">
        <v>14</v>
      </c>
    </row>
    <row r="6" spans="1:34" x14ac:dyDescent="0.35">
      <c r="AF6" s="20" t="s">
        <v>23</v>
      </c>
      <c r="AG6" s="19">
        <v>0.06</v>
      </c>
    </row>
    <row r="7" spans="1:34" x14ac:dyDescent="0.35">
      <c r="B7" t="s">
        <v>5</v>
      </c>
    </row>
    <row r="8" spans="1:34" x14ac:dyDescent="0.35">
      <c r="C8" s="5">
        <v>1</v>
      </c>
      <c r="D8" s="7">
        <v>2</v>
      </c>
      <c r="E8" s="5">
        <v>1</v>
      </c>
      <c r="F8" s="5">
        <v>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Z8" t="s">
        <v>11</v>
      </c>
      <c r="AA8" s="5">
        <v>1</v>
      </c>
      <c r="AB8" s="7">
        <v>2</v>
      </c>
      <c r="AC8" s="5">
        <v>1</v>
      </c>
      <c r="AD8" s="5">
        <v>2</v>
      </c>
    </row>
    <row r="9" spans="1:34" x14ac:dyDescent="0.35">
      <c r="B9" s="5">
        <v>1</v>
      </c>
      <c r="C9" s="3">
        <v>55</v>
      </c>
      <c r="D9" s="8">
        <v>46</v>
      </c>
      <c r="E9" s="4">
        <v>52</v>
      </c>
      <c r="F9" s="4">
        <v>38</v>
      </c>
      <c r="G9" s="4">
        <f>G4*(C9-E9)*AG3</f>
        <v>267.75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Z9" s="5">
        <v>1</v>
      </c>
      <c r="AA9" s="3">
        <f>C4*C14*$AG$4</f>
        <v>1029</v>
      </c>
      <c r="AB9" s="3">
        <f>D4*D14*$AG$4</f>
        <v>1036</v>
      </c>
      <c r="AC9" s="16">
        <f>G4*E14*$AG$4</f>
        <v>1204.875</v>
      </c>
      <c r="AD9" s="16">
        <f>H4*F14*$AG$4</f>
        <v>803.25</v>
      </c>
    </row>
    <row r="10" spans="1:34" x14ac:dyDescent="0.35">
      <c r="B10" s="5">
        <v>2</v>
      </c>
      <c r="C10" s="3">
        <v>49</v>
      </c>
      <c r="D10" s="8">
        <v>38</v>
      </c>
      <c r="E10" s="4">
        <v>41</v>
      </c>
      <c r="F10" s="4">
        <v>35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Z10" s="5">
        <v>2</v>
      </c>
      <c r="AA10" s="3">
        <f>C5*C15*$AG$4</f>
        <v>661.5</v>
      </c>
      <c r="AB10" s="3">
        <f>D5*D15*$AG$4</f>
        <v>1452.5</v>
      </c>
      <c r="AC10" s="16">
        <f>G5*E15*$AG$4</f>
        <v>615.82499999999993</v>
      </c>
      <c r="AD10" s="16">
        <f>H5*F15*$AG$4</f>
        <v>1342.32</v>
      </c>
    </row>
    <row r="12" spans="1:34" x14ac:dyDescent="0.35">
      <c r="B12" t="s">
        <v>6</v>
      </c>
    </row>
    <row r="13" spans="1:34" x14ac:dyDescent="0.35">
      <c r="C13" s="5">
        <v>1</v>
      </c>
      <c r="D13" s="7">
        <v>2</v>
      </c>
      <c r="E13" s="5">
        <v>1</v>
      </c>
      <c r="F13" s="5">
        <v>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Z13" t="s">
        <v>15</v>
      </c>
      <c r="AA13" s="5">
        <v>1</v>
      </c>
      <c r="AB13" s="7">
        <v>2</v>
      </c>
      <c r="AC13" s="5">
        <v>1</v>
      </c>
      <c r="AD13" s="5">
        <v>2</v>
      </c>
    </row>
    <row r="14" spans="1:34" x14ac:dyDescent="0.35">
      <c r="B14" s="5">
        <v>1</v>
      </c>
      <c r="C14" s="3">
        <v>12</v>
      </c>
      <c r="D14" s="8">
        <v>8</v>
      </c>
      <c r="E14" s="4">
        <v>9</v>
      </c>
      <c r="F14" s="4">
        <v>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Z14" s="5">
        <v>1</v>
      </c>
      <c r="AA14" s="3">
        <f>C19*$AG$5*C4</f>
        <v>1389.1499999999999</v>
      </c>
      <c r="AB14" s="3">
        <f t="shared" ref="AB14:AB15" si="28">D19*$AG$5*D4</f>
        <v>1678.32</v>
      </c>
      <c r="AC14" s="16">
        <f>E19*$AG$5*G4</f>
        <v>2168.7749999999996</v>
      </c>
      <c r="AD14" s="16">
        <f>F19*$AG$5*H4</f>
        <v>1735.02</v>
      </c>
    </row>
    <row r="15" spans="1:34" x14ac:dyDescent="0.35">
      <c r="B15" s="5">
        <v>2</v>
      </c>
      <c r="C15" s="3">
        <v>6</v>
      </c>
      <c r="D15" s="8">
        <v>10</v>
      </c>
      <c r="E15" s="4">
        <v>5</v>
      </c>
      <c r="F15" s="4">
        <v>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Z15" s="5">
        <v>2</v>
      </c>
      <c r="AA15" s="3">
        <f>C20*$AG$5*C5</f>
        <v>1547.91</v>
      </c>
      <c r="AB15" s="3">
        <f t="shared" si="28"/>
        <v>2196.1799999999998</v>
      </c>
      <c r="AC15" s="16">
        <f>E20*$AG$5*G5</f>
        <v>1729.2366</v>
      </c>
      <c r="AD15" s="16">
        <f>F20*$AG$5*H5</f>
        <v>2536.9847999999997</v>
      </c>
    </row>
    <row r="17" spans="2:31" x14ac:dyDescent="0.35">
      <c r="B17" t="s">
        <v>7</v>
      </c>
      <c r="Z17" t="s">
        <v>17</v>
      </c>
      <c r="AA17" s="5">
        <v>1</v>
      </c>
      <c r="AB17" s="7">
        <v>2</v>
      </c>
      <c r="AC17" s="5">
        <v>1</v>
      </c>
      <c r="AD17" s="5">
        <v>2</v>
      </c>
    </row>
    <row r="18" spans="2:31" x14ac:dyDescent="0.35">
      <c r="C18" s="5">
        <v>1</v>
      </c>
      <c r="D18" s="7">
        <v>2</v>
      </c>
      <c r="E18" s="5">
        <v>1</v>
      </c>
      <c r="F18" s="5">
        <v>2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Z18" s="5">
        <v>1</v>
      </c>
      <c r="AA18" s="3">
        <f>AA14+AA9+AA4</f>
        <v>5562.3166666666666</v>
      </c>
      <c r="AB18" s="3">
        <f t="shared" ref="AB18:AD19" si="29">AB14+AB9+AB4</f>
        <v>6685.6533333333336</v>
      </c>
      <c r="AC18" s="16">
        <f>AC14+AC9+AC4</f>
        <v>8014.65</v>
      </c>
      <c r="AD18" s="16">
        <f t="shared" si="29"/>
        <v>5929.77</v>
      </c>
    </row>
    <row r="19" spans="2:31" x14ac:dyDescent="0.35">
      <c r="B19" s="5">
        <v>1</v>
      </c>
      <c r="C19" s="3">
        <v>15</v>
      </c>
      <c r="D19" s="8">
        <v>12</v>
      </c>
      <c r="E19" s="4">
        <v>15</v>
      </c>
      <c r="F19" s="4">
        <v>12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Z19" s="5">
        <v>2</v>
      </c>
      <c r="AA19" s="3">
        <f>AA15+AA10+AA5</f>
        <v>5810.91</v>
      </c>
      <c r="AB19" s="3">
        <f t="shared" si="29"/>
        <v>7328.3466666666664</v>
      </c>
      <c r="AC19" s="16">
        <f t="shared" si="29"/>
        <v>5711.5716000000002</v>
      </c>
      <c r="AD19" s="16">
        <f t="shared" si="29"/>
        <v>7794.4048000000003</v>
      </c>
    </row>
    <row r="20" spans="2:31" x14ac:dyDescent="0.35">
      <c r="B20" s="5">
        <v>2</v>
      </c>
      <c r="C20" s="3">
        <v>13</v>
      </c>
      <c r="D20" s="8">
        <v>14</v>
      </c>
      <c r="E20" s="4">
        <v>13</v>
      </c>
      <c r="F20" s="4">
        <v>14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Z20" s="22"/>
      <c r="AA20" s="22"/>
      <c r="AB20" s="22"/>
      <c r="AC20" s="22"/>
      <c r="AD20" s="22"/>
    </row>
    <row r="21" spans="2:31" x14ac:dyDescent="0.35">
      <c r="Z21" s="22"/>
      <c r="AA21" s="23"/>
      <c r="AB21" s="23"/>
      <c r="AC21" s="22" t="s">
        <v>26</v>
      </c>
      <c r="AD21" s="22" t="s">
        <v>27</v>
      </c>
    </row>
    <row r="22" spans="2:31" x14ac:dyDescent="0.35">
      <c r="Z22" s="22"/>
      <c r="AA22" s="24" t="s">
        <v>24</v>
      </c>
      <c r="AB22" s="24"/>
      <c r="AC22" s="22">
        <f>SUM(AC18:AD19)</f>
        <v>27450.396400000001</v>
      </c>
      <c r="AD22" s="22">
        <v>500</v>
      </c>
    </row>
    <row r="23" spans="2:31" x14ac:dyDescent="0.35">
      <c r="C23" s="28">
        <f>(C4)*(C9*$AG$3+C14*$AG$4+C19*$AG$5)</f>
        <v>5562.3166666666666</v>
      </c>
      <c r="D23" s="29">
        <f>(D4)*(D9*$AG$3+D14*$AG$4+D19*$AG$5)</f>
        <v>6685.6533333333327</v>
      </c>
      <c r="E23" s="28">
        <f>(E4)*($E$9*$AG$3+$E$14*$AG$4+$E$19*$AG$5)</f>
        <v>6181.2333333333336</v>
      </c>
      <c r="F23" s="29">
        <f>(F4)*($F$9*$AG$3+$F$14*$AG$4+$F$19*$AG$5)</f>
        <v>5813.5</v>
      </c>
      <c r="G23">
        <f>(1)*(E9*$AG$3+E14*$AG$4+E19*$AG$5)</f>
        <v>104.76666666666667</v>
      </c>
      <c r="Z23" s="22"/>
      <c r="AA23" s="25" t="s">
        <v>25</v>
      </c>
      <c r="AB23" s="26"/>
      <c r="AC23" s="27">
        <f>AC22/(1+AG6)^10</f>
        <v>15328.157974009555</v>
      </c>
      <c r="AD23" s="22">
        <f>AD22/(1+AG6)^10</f>
        <v>279.19738845755893</v>
      </c>
    </row>
    <row r="24" spans="2:31" x14ac:dyDescent="0.35">
      <c r="C24" s="30">
        <f>(C5)*(C10*$AG$3+C15*$AG$4+C20*$AG$5)</f>
        <v>5810.9100000000008</v>
      </c>
      <c r="D24" s="31">
        <f>(D5)*(D10*$AG$3+D15*$AG$4+D20*$AG$5)</f>
        <v>7328.3466666666673</v>
      </c>
      <c r="E24" s="30">
        <f>(E5)*($E$10*$AG$3+$E$15*$AG$4+$E$20*$AG$5)</f>
        <v>5599.58</v>
      </c>
      <c r="F24" s="31">
        <f>(F5)*($F$10*$AG$3+$F$15*$AG$4+$F$20*$AG$5)</f>
        <v>7641.5733333333337</v>
      </c>
      <c r="N24" t="s">
        <v>33</v>
      </c>
      <c r="O24">
        <v>1966.2</v>
      </c>
      <c r="P24" t="s">
        <v>34</v>
      </c>
      <c r="AD24">
        <v>14000</v>
      </c>
    </row>
    <row r="25" spans="2:31" x14ac:dyDescent="0.35">
      <c r="B25" t="s">
        <v>28</v>
      </c>
      <c r="C25" s="32">
        <f>SUM(C23:D24)</f>
        <v>25387.226666666669</v>
      </c>
      <c r="D25" s="32"/>
      <c r="E25" s="32">
        <f>SUM(E23:F24)</f>
        <v>25235.886666666665</v>
      </c>
      <c r="F25" s="32"/>
      <c r="N25" t="s">
        <v>35</v>
      </c>
      <c r="O25">
        <v>1.31</v>
      </c>
      <c r="AB25" s="21"/>
      <c r="AC25" s="21">
        <f>(AC23-AD23)/AD24</f>
        <v>1.0749257561108569</v>
      </c>
      <c r="AE25">
        <f>AC23/(AD23+AD24)</f>
        <v>1.0734607525210005</v>
      </c>
    </row>
    <row r="26" spans="2:31" x14ac:dyDescent="0.35">
      <c r="B26" t="s">
        <v>29</v>
      </c>
      <c r="E26">
        <f>C25-E25</f>
        <v>151.34000000000378</v>
      </c>
    </row>
    <row r="29" spans="2:31" x14ac:dyDescent="0.35">
      <c r="B29" t="s">
        <v>29</v>
      </c>
      <c r="E29">
        <f>E4*(($C$9-$E$9)*$AG$3+($C$14-$E$14)*$AG$4)*1.02^E2</f>
        <v>516.25</v>
      </c>
      <c r="F29">
        <f>F4*(($D$9-$F$9)*$AG$3+($D$14-$F$14)*$AG$4)*1.02^E2</f>
        <v>962.5</v>
      </c>
      <c r="G29">
        <f>G4*(($C$9-$E$9)*$AG$3+($C$14-$E$14)*$AG$4)*1.02^G2</f>
        <v>682.76250000000005</v>
      </c>
      <c r="H29">
        <f>H4*(($D$9-$F$9)*$AG$3+($D$14-$F$14)*$AG$4)*1.02^G2</f>
        <v>1001.385</v>
      </c>
      <c r="I29">
        <f>I4*(($C$9-$E$9)*$AG$3+($C$14-$E$14)*$AG$4)*1.02^I2</f>
        <v>558.80560259999993</v>
      </c>
      <c r="J29">
        <f>J4*(($D$9-$F$9)*$AG$3+($D$14-$F$14)*$AG$4)*1.02^I2</f>
        <v>1041.840954</v>
      </c>
      <c r="K29">
        <f>K4*(($C$9-$E$9)*$AG$3+($C$14-$E$14)*$AG$4)*1.02^K2</f>
        <v>581.38134894503992</v>
      </c>
      <c r="L29">
        <f>L4*(($D$9-$F$9)*$AG$3+($D$14-$F$14)*$AG$4)*1.02^K2</f>
        <v>1083.9313285415999</v>
      </c>
      <c r="M29">
        <f>M4*(($C$9-$E$9)*$AG$3+($C$14-$E$14)*$AG$4)*1.02^M2</f>
        <v>604.86915544241958</v>
      </c>
      <c r="N29">
        <f>N4*(($D$9-$F$9)*$AG$3+($D$14-$F$14)*$AG$4)*1.02^M2</f>
        <v>1127.7221542146806</v>
      </c>
      <c r="O29">
        <f>O4*(($C$9-$E$9)*$AG$3+($C$14-$E$14)*$AG$4)*1.02^O2</f>
        <v>629.30586932229346</v>
      </c>
      <c r="P29">
        <f>P4*(($D$9-$F$9)*$AG$3+($D$14-$F$14)*$AG$4)*1.02^O2</f>
        <v>1173.2821292449539</v>
      </c>
      <c r="Q29">
        <f>Q4*(($C$9-$E$9)*$AG$3+($C$14-$E$14)*$AG$4)*1.02^Q2</f>
        <v>654.72982644291415</v>
      </c>
      <c r="R29">
        <f>R4*(($D$9-$F$9)*$AG$3+($D$14-$F$14)*$AG$4)*1.02^Q2</f>
        <v>1220.68272726645</v>
      </c>
      <c r="S29">
        <f>S4*(($C$9-$E$9)*$AG$3+($C$14-$E$14)*$AG$4)*1.02^S2</f>
        <v>681.18091143120739</v>
      </c>
      <c r="T29">
        <f>T4*(($D$9-$F$9)*$AG$3+($D$14-$F$14)*$AG$4)*1.02^S2</f>
        <v>1269.9983094480142</v>
      </c>
      <c r="U29">
        <f>U4*(($C$9-$E$9)*$AG$3+($C$14-$E$14)*$AG$4)*1.02^U2</f>
        <v>708.70062025302843</v>
      </c>
      <c r="V29">
        <f>V4*(($D$9-$F$9)*$AG$3+($D$14-$F$14)*$AG$4)*1.02^U2</f>
        <v>1321.306241149714</v>
      </c>
      <c r="W29">
        <f>W4*(($C$9-$E$9)*$AG$3+($C$14-$E$14)*$AG$4)*1.02^W2</f>
        <v>737.33212531125082</v>
      </c>
      <c r="X29">
        <f>X4*(($D$9-$F$9)*$AG$3+($D$14-$F$14)*$AG$4)*1.02^W2</f>
        <v>1374.6870132921624</v>
      </c>
    </row>
    <row r="30" spans="2:31" x14ac:dyDescent="0.35">
      <c r="E30">
        <f>E5*(($C$10-$E$10)*$AG$3+($C$15-$E$15)*$AG$4)*1.02^E2</f>
        <v>764.75</v>
      </c>
      <c r="F30">
        <f>F5*(($D$10-$F$10)*$AG$3+($D$15-$F$15)*$AG$4)*1.02^E2</f>
        <v>658</v>
      </c>
      <c r="G30">
        <f>G5*(($C$10-$E$10)*$AG$3+($C$15-$E$15)*$AG$4)*1.02^G2</f>
        <v>795.64589999999998</v>
      </c>
      <c r="H30">
        <f>H5*(($D$10-$F$10)*$AG$3+($D$15-$F$15)*$AG$4)*1.02^G2</f>
        <v>684.58320000000003</v>
      </c>
      <c r="I30">
        <f>I5*(($C$10-$E$10)*$AG$3+($C$15-$E$15)*$AG$4)*1.02^I2</f>
        <v>827.78999435999992</v>
      </c>
      <c r="J30">
        <f>J5*(($D$10-$F$10)*$AG$3+($D$15-$F$15)*$AG$4)*1.02^I2</f>
        <v>712.24036128</v>
      </c>
      <c r="K30">
        <f>K5*(($C$10-$E$10)*$AG$3+($C$15-$E$15)*$AG$4)*1.02^K2</f>
        <v>861.23271013214389</v>
      </c>
      <c r="L30">
        <f>L5*(($D$10-$F$10)*$AG$3+($D$15-$F$15)*$AG$4)*1.02^K2</f>
        <v>741.01487187571195</v>
      </c>
      <c r="M30">
        <f>M5*(($C$10-$E$10)*$AG$3+($C$15-$E$15)*$AG$4)*1.02^M2</f>
        <v>896.02651162148254</v>
      </c>
      <c r="N30">
        <f>N5*(($D$10-$F$10)*$AG$3+($D$15-$F$15)*$AG$4)*1.02^M2</f>
        <v>770.95187269949076</v>
      </c>
      <c r="O30">
        <f>O5*(($C$10-$E$10)*$AG$3+($C$15-$E$15)*$AG$4)*1.02^O2</f>
        <v>932.22598269099058</v>
      </c>
      <c r="P30">
        <f>P5*(($D$10-$F$10)*$AG$3+($D$15-$F$15)*$AG$4)*1.02^O2</f>
        <v>802.09832835655027</v>
      </c>
      <c r="Q30">
        <f>Q5*(($C$10-$E$10)*$AG$3+($C$15-$E$15)*$AG$4)*1.02^Q2</f>
        <v>969.88791239170678</v>
      </c>
      <c r="R30">
        <f>R5*(($D$10-$F$10)*$AG$3+($D$15-$F$15)*$AG$4)*1.02^Q2</f>
        <v>834.50310082215492</v>
      </c>
      <c r="S30">
        <f>S5*(($C$10-$E$10)*$AG$3+($C$15-$E$15)*$AG$4)*1.02^S2</f>
        <v>1009.0713840523313</v>
      </c>
      <c r="T30">
        <f>T5*(($D$10-$F$10)*$AG$3+($D$15-$F$15)*$AG$4)*1.02^S2</f>
        <v>868.21702609536953</v>
      </c>
      <c r="U30">
        <f>U5*(($C$10-$E$10)*$AG$3+($C$15-$E$15)*$AG$4)*1.02^U2</f>
        <v>1049.8378679680457</v>
      </c>
      <c r="V30">
        <f>V5*(($D$10-$F$10)*$AG$3+($D$15-$F$15)*$AG$4)*1.02^U2</f>
        <v>903.29299394962266</v>
      </c>
      <c r="W30">
        <f>W5*(($C$10-$E$10)*$AG$3+($C$15-$E$15)*$AG$4)*1.02^W2</f>
        <v>1092.2513178339548</v>
      </c>
      <c r="X30">
        <f>X5*(($D$10-$F$10)*$AG$3+($D$15-$F$15)*$AG$4)*1.02^W2</f>
        <v>939.78603090518743</v>
      </c>
    </row>
    <row r="31" spans="2:31" x14ac:dyDescent="0.35">
      <c r="E31" s="2">
        <f>SUM(E29:F30)*1.06^-E2</f>
        <v>2901.5</v>
      </c>
      <c r="F31" s="2"/>
      <c r="G31" s="2">
        <f>SUM(G29:H30)*1.06^-G2</f>
        <v>2985.2609433962261</v>
      </c>
      <c r="H31" s="2"/>
      <c r="I31" s="2">
        <f t="shared" ref="I31:X31" si="30">SUM(I29:J30)*1.06^-I2</f>
        <v>2795.1912711285149</v>
      </c>
      <c r="J31" s="2"/>
      <c r="K31" s="2">
        <f t="shared" ref="K31:X31" si="31">SUM(K29:L30)*1.06^-K2</f>
        <v>2743.5066023416098</v>
      </c>
      <c r="L31" s="2"/>
      <c r="M31" s="2">
        <f t="shared" ref="M31:X31" si="32">SUM(M29:N30)*1.06^-M2</f>
        <v>2692.7776123360482</v>
      </c>
      <c r="N31" s="2"/>
      <c r="O31" s="2">
        <f t="shared" ref="O31:X31" si="33">SUM(O29:P30)*1.06^-O2</f>
        <v>2642.9866300702115</v>
      </c>
      <c r="P31" s="2"/>
      <c r="Q31" s="2">
        <f t="shared" ref="Q31:X31" si="34">SUM(Q29:R30)*1.06^-Q2</f>
        <v>2594.1163112500458</v>
      </c>
      <c r="R31" s="2"/>
      <c r="S31" s="2">
        <f t="shared" ref="S31:X31" si="35">SUM(S29:T30)*1.06^-S2</f>
        <v>2546.1496322873072</v>
      </c>
      <c r="T31" s="2"/>
      <c r="U31" s="2">
        <f t="shared" ref="U31:X31" si="36">SUM(U29:V30)*1.06^-U2</f>
        <v>2499.0698843695427</v>
      </c>
      <c r="V31" s="2"/>
      <c r="W31" s="2">
        <f t="shared" ref="W31:X31" si="37">SUM(W29:X30)*1.06^-W2</f>
        <v>2452.8606676396907</v>
      </c>
      <c r="X31" s="2"/>
    </row>
    <row r="32" spans="2:31" x14ac:dyDescent="0.35">
      <c r="B32" t="s">
        <v>30</v>
      </c>
      <c r="C32">
        <f>SUM(E31:X31) - SUM(E32:X32)-14000</f>
        <v>8952.5734175694124</v>
      </c>
      <c r="E32" s="2">
        <f>500*1.06^-E2</f>
        <v>500</v>
      </c>
      <c r="F32" s="2"/>
      <c r="G32" s="2">
        <f t="shared" ref="G32:X32" si="38">500*1.06^-G2</f>
        <v>471.69811320754712</v>
      </c>
      <c r="H32" s="2"/>
      <c r="I32" s="2">
        <f t="shared" ref="I32:X32" si="39">500*1.06^-I2</f>
        <v>444.99822000711993</v>
      </c>
      <c r="J32" s="2"/>
      <c r="K32" s="2">
        <f t="shared" ref="K32:X32" si="40">500*1.06^-K2</f>
        <v>419.8096415161508</v>
      </c>
      <c r="L32" s="2"/>
      <c r="M32" s="2">
        <f t="shared" ref="M32:X32" si="41">500*1.06^-M2</f>
        <v>396.04683161901022</v>
      </c>
      <c r="N32" s="2"/>
      <c r="O32" s="2">
        <f t="shared" ref="O32:X32" si="42">500*1.06^-O2</f>
        <v>373.62908643302842</v>
      </c>
      <c r="P32" s="2"/>
      <c r="Q32" s="2">
        <f t="shared" ref="Q32:X32" si="43">500*1.06^-Q2</f>
        <v>352.48027021983813</v>
      </c>
      <c r="R32" s="2"/>
      <c r="S32" s="2">
        <f t="shared" ref="S32:X32" si="44">500*1.06^-S2</f>
        <v>332.52855681116802</v>
      </c>
      <c r="T32" s="2"/>
      <c r="U32" s="2">
        <f t="shared" ref="U32:X32" si="45">500*1.06^-U2</f>
        <v>313.70618567091321</v>
      </c>
      <c r="V32" s="2"/>
      <c r="W32" s="2">
        <f t="shared" ref="W32:X32" si="46">500*1.06^-W2</f>
        <v>295.94923176501248</v>
      </c>
      <c r="X32" s="2"/>
    </row>
    <row r="33" spans="2:3" x14ac:dyDescent="0.35">
      <c r="B33" t="s">
        <v>31</v>
      </c>
      <c r="C33">
        <f>(C32+14000)/14000</f>
        <v>1.6394695298263866</v>
      </c>
    </row>
  </sheetData>
  <mergeCells count="36">
    <mergeCell ref="Q32:R32"/>
    <mergeCell ref="S32:T32"/>
    <mergeCell ref="U32:V32"/>
    <mergeCell ref="W32:X32"/>
    <mergeCell ref="E32:F32"/>
    <mergeCell ref="G32:H32"/>
    <mergeCell ref="I32:J32"/>
    <mergeCell ref="K32:L32"/>
    <mergeCell ref="M32:N32"/>
    <mergeCell ref="O32:P32"/>
    <mergeCell ref="M31:N31"/>
    <mergeCell ref="O31:P31"/>
    <mergeCell ref="Q31:R31"/>
    <mergeCell ref="S31:T31"/>
    <mergeCell ref="U31:V31"/>
    <mergeCell ref="W31:X31"/>
    <mergeCell ref="C25:D25"/>
    <mergeCell ref="E25:F25"/>
    <mergeCell ref="E31:F31"/>
    <mergeCell ref="G31:H31"/>
    <mergeCell ref="I31:J31"/>
    <mergeCell ref="K31:L31"/>
    <mergeCell ref="AA23:AB23"/>
    <mergeCell ref="W1:X1"/>
    <mergeCell ref="G1:H1"/>
    <mergeCell ref="I1:J1"/>
    <mergeCell ref="K1:L1"/>
    <mergeCell ref="M1:N1"/>
    <mergeCell ref="O1:P1"/>
    <mergeCell ref="Q1:R1"/>
    <mergeCell ref="S1:T1"/>
    <mergeCell ref="C1:D1"/>
    <mergeCell ref="E1:F1"/>
    <mergeCell ref="U1:V1"/>
    <mergeCell ref="A4:A5"/>
    <mergeCell ref="AA22:AB2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4097" r:id="rId3">
          <objectPr defaultSize="0" autoPict="0" r:id="rId4">
            <anchor moveWithCells="1">
              <from>
                <xdr:col>30</xdr:col>
                <xdr:colOff>495300</xdr:colOff>
                <xdr:row>8</xdr:row>
                <xdr:rowOff>82550</xdr:rowOff>
              </from>
              <to>
                <xdr:col>35</xdr:col>
                <xdr:colOff>539750</xdr:colOff>
                <xdr:row>18</xdr:row>
                <xdr:rowOff>95250</xdr:rowOff>
              </to>
            </anchor>
          </objectPr>
        </oleObject>
      </mc:Choice>
      <mc:Fallback>
        <oleObject progId="Paint.Picture" shapeId="4097" r:id="rId3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6F83F3328124643823395A77329FA9D" ma:contentTypeVersion="8" ma:contentTypeDescription="Opret et nyt dokument." ma:contentTypeScope="" ma:versionID="bc5b999f3c2fd7ba43f18f32cbf09230">
  <xsd:schema xmlns:xsd="http://www.w3.org/2001/XMLSchema" xmlns:xs="http://www.w3.org/2001/XMLSchema" xmlns:p="http://schemas.microsoft.com/office/2006/metadata/properties" xmlns:ns2="c88fe7f2-a034-44a4-bb87-6b5aface2747" targetNamespace="http://schemas.microsoft.com/office/2006/metadata/properties" ma:root="true" ma:fieldsID="accd9281846a760f29e670847927e05a" ns2:_="">
    <xsd:import namespace="c88fe7f2-a034-44a4-bb87-6b5aface27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8fe7f2-a034-44a4-bb87-6b5aface2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FE90A5-B72F-46A0-838D-D1770B18BA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8fe7f2-a034-44a4-bb87-6b5aface27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F8301C-F869-45A9-9044-1A46B13EF6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0C9896-FBE3-4A74-B9E5-CA1F09A89CB5}">
  <ds:schemaRefs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c88fe7f2-a034-44a4-bb87-6b5aface274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Q1</vt:lpstr>
      <vt:lpstr>Q2</vt:lpstr>
      <vt:lpstr>Q2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irenegosanpapa98@gmail.com</cp:lastModifiedBy>
  <cp:revision/>
  <dcterms:created xsi:type="dcterms:W3CDTF">2021-11-10T14:16:52Z</dcterms:created>
  <dcterms:modified xsi:type="dcterms:W3CDTF">2021-11-10T16:06:20Z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0x01010086F83F3328124643823395A77329FA9D</vt:lpwstr>
  </property>
</Properties>
</file>