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fileSharing readOnlyRecommended="1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enzi\Desktop\"/>
    </mc:Choice>
  </mc:AlternateContent>
  <xr:revisionPtr revIDLastSave="0" documentId="8_{57D70AE3-2B5A-419C-B8FF-D1D38DCF8DF4}" xr6:coauthVersionLast="47" xr6:coauthVersionMax="47" xr10:uidLastSave="{00000000-0000-0000-0000-000000000000}"/>
  <workbookProtection workbookAlgorithmName="SHA-512" workbookHashValue="atp1GAZAZTPj7+YzW42L7q4AP5+imR/dZWYKy2e/UNkGpmfhYLc67+oIzObPF8yQza1FQIT9ph5f+pn3ve5qYQ==" workbookSaltValue="fkPJD8ge8O9Vnaqzlr88EQ==" workbookSpinCount="100000" lockStructure="1"/>
  <bookViews>
    <workbookView xWindow="-108" yWindow="-108" windowWidth="23256" windowHeight="12456" firstSheet="2" activeTab="2" xr2:uid="{682BA642-4C8E-43EB-97F1-CD27FD53539F}"/>
  </bookViews>
  <sheets>
    <sheet name="Intro" sheetId="3" state="hidden" r:id="rId1"/>
    <sheet name="Summary" sheetId="2" state="hidden" r:id="rId2"/>
    <sheet name="Auto Calculate" sheetId="8" r:id="rId3"/>
    <sheet name="Sheet1" sheetId="9" state="hidden" r:id="rId4"/>
    <sheet name="Calculation Debt" sheetId="1" state="hidden" r:id="rId5"/>
    <sheet name="Without Debt" sheetId="7" state="hidden" r:id="rId6"/>
    <sheet name="Finance" sheetId="4" state="hidden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" i="2" l="1"/>
  <c r="D18" i="2"/>
  <c r="D10" i="2"/>
  <c r="D9" i="2"/>
  <c r="F19" i="2"/>
  <c r="F8" i="8"/>
  <c r="D14" i="2" l="1"/>
  <c r="I2" i="1" s="1"/>
  <c r="I2" i="7" s="1"/>
  <c r="F10" i="8"/>
  <c r="I13" i="7"/>
  <c r="J13" i="7" s="1"/>
  <c r="C7" i="1"/>
  <c r="C7" i="7" s="1"/>
  <c r="H22" i="7"/>
  <c r="H22" i="1"/>
  <c r="Q17" i="2"/>
  <c r="C20" i="7"/>
  <c r="C18" i="7"/>
  <c r="C17" i="7"/>
  <c r="C16" i="7"/>
  <c r="C14" i="7"/>
  <c r="C13" i="7"/>
  <c r="C12" i="7"/>
  <c r="C11" i="7"/>
  <c r="C10" i="7"/>
  <c r="I31" i="7"/>
  <c r="I30" i="7"/>
  <c r="I29" i="7"/>
  <c r="H32" i="7"/>
  <c r="H31" i="7"/>
  <c r="H30" i="7"/>
  <c r="H29" i="7"/>
  <c r="H28" i="7"/>
  <c r="H21" i="7"/>
  <c r="I20" i="7"/>
  <c r="H20" i="7"/>
  <c r="D16" i="4"/>
  <c r="C150" i="7"/>
  <c r="A148" i="7"/>
  <c r="AB134" i="7"/>
  <c r="AA134" i="7"/>
  <c r="Z134" i="7"/>
  <c r="Z128" i="7" s="1"/>
  <c r="Y134" i="7"/>
  <c r="X134" i="7"/>
  <c r="X128" i="7" s="1"/>
  <c r="W134" i="7"/>
  <c r="W128" i="7" s="1"/>
  <c r="V134" i="7"/>
  <c r="U134" i="7"/>
  <c r="T134" i="7"/>
  <c r="S134" i="7"/>
  <c r="S128" i="7" s="1"/>
  <c r="R134" i="7"/>
  <c r="Q134" i="7"/>
  <c r="Q128" i="7" s="1"/>
  <c r="P134" i="7"/>
  <c r="P128" i="7" s="1"/>
  <c r="O134" i="7"/>
  <c r="O128" i="7" s="1"/>
  <c r="N134" i="7"/>
  <c r="N128" i="7" s="1"/>
  <c r="M134" i="7"/>
  <c r="M128" i="7" s="1"/>
  <c r="L134" i="7"/>
  <c r="L128" i="7" s="1"/>
  <c r="K134" i="7"/>
  <c r="K128" i="7" s="1"/>
  <c r="J134" i="7"/>
  <c r="J128" i="7" s="1"/>
  <c r="I134" i="7"/>
  <c r="H134" i="7"/>
  <c r="H128" i="7" s="1"/>
  <c r="G134" i="7"/>
  <c r="G128" i="7" s="1"/>
  <c r="F134" i="7"/>
  <c r="E134" i="7"/>
  <c r="D134" i="7"/>
  <c r="D87" i="7" s="1"/>
  <c r="AB133" i="7"/>
  <c r="AA133" i="7"/>
  <c r="Z133" i="7"/>
  <c r="Y133" i="7"/>
  <c r="X133" i="7"/>
  <c r="W133" i="7"/>
  <c r="V133" i="7"/>
  <c r="U133" i="7"/>
  <c r="T133" i="7"/>
  <c r="S133" i="7"/>
  <c r="R133" i="7"/>
  <c r="Q133" i="7"/>
  <c r="P133" i="7"/>
  <c r="O133" i="7"/>
  <c r="N133" i="7"/>
  <c r="M133" i="7"/>
  <c r="L133" i="7"/>
  <c r="K133" i="7"/>
  <c r="J133" i="7"/>
  <c r="I133" i="7"/>
  <c r="H133" i="7"/>
  <c r="G133" i="7"/>
  <c r="F133" i="7"/>
  <c r="E133" i="7"/>
  <c r="D133" i="7"/>
  <c r="AB132" i="7"/>
  <c r="AB127" i="7" s="1"/>
  <c r="AA132" i="7"/>
  <c r="Z132" i="7"/>
  <c r="Z127" i="7" s="1"/>
  <c r="Y132" i="7"/>
  <c r="Y127" i="7" s="1"/>
  <c r="X132" i="7"/>
  <c r="X127" i="7" s="1"/>
  <c r="W132" i="7"/>
  <c r="V132" i="7"/>
  <c r="V127" i="7" s="1"/>
  <c r="U132" i="7"/>
  <c r="U127" i="7" s="1"/>
  <c r="T132" i="7"/>
  <c r="S132" i="7"/>
  <c r="S127" i="7" s="1"/>
  <c r="R132" i="7"/>
  <c r="R127" i="7" s="1"/>
  <c r="Q132" i="7"/>
  <c r="P132" i="7"/>
  <c r="N132" i="7"/>
  <c r="N127" i="7" s="1"/>
  <c r="M132" i="7"/>
  <c r="M127" i="7" s="1"/>
  <c r="L132" i="7"/>
  <c r="L127" i="7" s="1"/>
  <c r="K132" i="7"/>
  <c r="K127" i="7" s="1"/>
  <c r="J132" i="7"/>
  <c r="J127" i="7" s="1"/>
  <c r="I132" i="7"/>
  <c r="I127" i="7" s="1"/>
  <c r="H132" i="7"/>
  <c r="G132" i="7"/>
  <c r="G127" i="7" s="1"/>
  <c r="F132" i="7"/>
  <c r="F127" i="7" s="1"/>
  <c r="E132" i="7"/>
  <c r="E127" i="7" s="1"/>
  <c r="D132" i="7"/>
  <c r="AB131" i="7"/>
  <c r="AA131" i="7"/>
  <c r="Z131" i="7"/>
  <c r="Y131" i="7"/>
  <c r="X131" i="7"/>
  <c r="W131" i="7"/>
  <c r="V131" i="7"/>
  <c r="U131" i="7"/>
  <c r="T131" i="7"/>
  <c r="S131" i="7"/>
  <c r="R131" i="7"/>
  <c r="Q131" i="7"/>
  <c r="P131" i="7"/>
  <c r="V128" i="7"/>
  <c r="T128" i="7"/>
  <c r="AB122" i="7"/>
  <c r="AA122" i="7"/>
  <c r="Z122" i="7"/>
  <c r="Y122" i="7"/>
  <c r="X122" i="7"/>
  <c r="W122" i="7"/>
  <c r="V122" i="7"/>
  <c r="U122" i="7"/>
  <c r="T122" i="7"/>
  <c r="S122" i="7"/>
  <c r="R122" i="7"/>
  <c r="Q122" i="7"/>
  <c r="P122" i="7"/>
  <c r="O122" i="7"/>
  <c r="N122" i="7"/>
  <c r="M122" i="7"/>
  <c r="L122" i="7"/>
  <c r="K122" i="7"/>
  <c r="J122" i="7"/>
  <c r="I122" i="7"/>
  <c r="H122" i="7"/>
  <c r="G122" i="7"/>
  <c r="F122" i="7"/>
  <c r="E122" i="7"/>
  <c r="D122" i="7"/>
  <c r="AB121" i="7"/>
  <c r="AA121" i="7"/>
  <c r="Z121" i="7"/>
  <c r="Y121" i="7"/>
  <c r="X121" i="7"/>
  <c r="W121" i="7"/>
  <c r="V121" i="7"/>
  <c r="U121" i="7"/>
  <c r="T121" i="7"/>
  <c r="S121" i="7"/>
  <c r="R121" i="7"/>
  <c r="Q121" i="7"/>
  <c r="P121" i="7"/>
  <c r="O121" i="7"/>
  <c r="N121" i="7"/>
  <c r="M121" i="7"/>
  <c r="L121" i="7"/>
  <c r="K121" i="7"/>
  <c r="J121" i="7"/>
  <c r="I121" i="7"/>
  <c r="H121" i="7"/>
  <c r="G121" i="7"/>
  <c r="F121" i="7"/>
  <c r="E121" i="7"/>
  <c r="D121" i="7"/>
  <c r="AB90" i="7"/>
  <c r="AA90" i="7"/>
  <c r="Z90" i="7"/>
  <c r="Y90" i="7"/>
  <c r="X90" i="7"/>
  <c r="W90" i="7"/>
  <c r="V90" i="7"/>
  <c r="U90" i="7"/>
  <c r="T90" i="7"/>
  <c r="S90" i="7"/>
  <c r="R90" i="7"/>
  <c r="Q90" i="7"/>
  <c r="P90" i="7"/>
  <c r="O90" i="7"/>
  <c r="N90" i="7"/>
  <c r="M90" i="7"/>
  <c r="L90" i="7"/>
  <c r="K90" i="7"/>
  <c r="J90" i="7"/>
  <c r="I90" i="7"/>
  <c r="H90" i="7"/>
  <c r="G90" i="7"/>
  <c r="F90" i="7"/>
  <c r="E90" i="7"/>
  <c r="D90" i="7"/>
  <c r="D91" i="7" s="1"/>
  <c r="D89" i="7" s="1"/>
  <c r="D92" i="7" s="1"/>
  <c r="E91" i="7" s="1"/>
  <c r="AB78" i="7"/>
  <c r="AA78" i="7"/>
  <c r="Z78" i="7"/>
  <c r="Y78" i="7"/>
  <c r="X78" i="7"/>
  <c r="W78" i="7"/>
  <c r="V78" i="7"/>
  <c r="U78" i="7"/>
  <c r="T78" i="7"/>
  <c r="S78" i="7"/>
  <c r="R78" i="7"/>
  <c r="Q78" i="7"/>
  <c r="P78" i="7"/>
  <c r="O78" i="7"/>
  <c r="N78" i="7"/>
  <c r="M78" i="7"/>
  <c r="L78" i="7"/>
  <c r="K78" i="7"/>
  <c r="J78" i="7"/>
  <c r="I78" i="7"/>
  <c r="H78" i="7"/>
  <c r="G78" i="7"/>
  <c r="F78" i="7"/>
  <c r="E78" i="7"/>
  <c r="D78" i="7"/>
  <c r="D79" i="7" s="1"/>
  <c r="D77" i="7" s="1"/>
  <c r="D57" i="7"/>
  <c r="D19" i="7"/>
  <c r="C19" i="7"/>
  <c r="D64" i="7" s="1"/>
  <c r="E64" i="7" s="1"/>
  <c r="F64" i="7" s="1"/>
  <c r="G64" i="7" s="1"/>
  <c r="H64" i="7" s="1"/>
  <c r="I64" i="7" s="1"/>
  <c r="J64" i="7" s="1"/>
  <c r="K64" i="7" s="1"/>
  <c r="L64" i="7" s="1"/>
  <c r="M64" i="7" s="1"/>
  <c r="N64" i="7" s="1"/>
  <c r="O64" i="7" s="1"/>
  <c r="P64" i="7" s="1"/>
  <c r="Q64" i="7" s="1"/>
  <c r="R64" i="7" s="1"/>
  <c r="S64" i="7" s="1"/>
  <c r="T64" i="7" s="1"/>
  <c r="U64" i="7" s="1"/>
  <c r="V64" i="7" s="1"/>
  <c r="W64" i="7" s="1"/>
  <c r="X64" i="7" s="1"/>
  <c r="Y64" i="7" s="1"/>
  <c r="Z64" i="7" s="1"/>
  <c r="AA64" i="7" s="1"/>
  <c r="AB64" i="7" s="1"/>
  <c r="H16" i="7"/>
  <c r="C15" i="7"/>
  <c r="I14" i="7"/>
  <c r="J14" i="7" s="1"/>
  <c r="D9" i="7"/>
  <c r="I7" i="7"/>
  <c r="I6" i="7"/>
  <c r="H8" i="7" s="1"/>
  <c r="D6" i="7"/>
  <c r="C6" i="7"/>
  <c r="D2" i="7"/>
  <c r="D13" i="4"/>
  <c r="E26" i="4"/>
  <c r="E22" i="4"/>
  <c r="E24" i="4" s="1"/>
  <c r="D3" i="4"/>
  <c r="D44" i="7" l="1"/>
  <c r="V45" i="7" s="1"/>
  <c r="D44" i="1"/>
  <c r="C9" i="7"/>
  <c r="AB26" i="2"/>
  <c r="D65" i="7"/>
  <c r="E65" i="7" s="1"/>
  <c r="F65" i="7" s="1"/>
  <c r="G65" i="7" s="1"/>
  <c r="H65" i="7" s="1"/>
  <c r="I65" i="7" s="1"/>
  <c r="J65" i="7" s="1"/>
  <c r="K65" i="7" s="1"/>
  <c r="L65" i="7" s="1"/>
  <c r="M65" i="7" s="1"/>
  <c r="N65" i="7" s="1"/>
  <c r="O65" i="7" s="1"/>
  <c r="P65" i="7" s="1"/>
  <c r="Q65" i="7" s="1"/>
  <c r="R65" i="7" s="1"/>
  <c r="S65" i="7" s="1"/>
  <c r="T65" i="7" s="1"/>
  <c r="U65" i="7" s="1"/>
  <c r="V65" i="7" s="1"/>
  <c r="W65" i="7" s="1"/>
  <c r="X65" i="7" s="1"/>
  <c r="Y65" i="7" s="1"/>
  <c r="Z65" i="7" s="1"/>
  <c r="AA65" i="7" s="1"/>
  <c r="AB65" i="7" s="1"/>
  <c r="D62" i="7"/>
  <c r="E62" i="7" s="1"/>
  <c r="F62" i="7" s="1"/>
  <c r="G62" i="7" s="1"/>
  <c r="H62" i="7" s="1"/>
  <c r="I62" i="7" s="1"/>
  <c r="J62" i="7" s="1"/>
  <c r="K62" i="7" s="1"/>
  <c r="L62" i="7" s="1"/>
  <c r="M62" i="7" s="1"/>
  <c r="N62" i="7" s="1"/>
  <c r="O62" i="7" s="1"/>
  <c r="P62" i="7" s="1"/>
  <c r="Q62" i="7" s="1"/>
  <c r="R62" i="7" s="1"/>
  <c r="S62" i="7" s="1"/>
  <c r="T62" i="7" s="1"/>
  <c r="U62" i="7" s="1"/>
  <c r="V62" i="7" s="1"/>
  <c r="W62" i="7" s="1"/>
  <c r="X62" i="7" s="1"/>
  <c r="Y62" i="7" s="1"/>
  <c r="Z62" i="7" s="1"/>
  <c r="AA62" i="7" s="1"/>
  <c r="AB62" i="7" s="1"/>
  <c r="D63" i="7"/>
  <c r="E63" i="7" s="1"/>
  <c r="F63" i="7" s="1"/>
  <c r="G63" i="7" s="1"/>
  <c r="H63" i="7" s="1"/>
  <c r="I63" i="7" s="1"/>
  <c r="J63" i="7" s="1"/>
  <c r="K63" i="7" s="1"/>
  <c r="L63" i="7" s="1"/>
  <c r="M63" i="7" s="1"/>
  <c r="N63" i="7" s="1"/>
  <c r="O63" i="7" s="1"/>
  <c r="P63" i="7" s="1"/>
  <c r="Q63" i="7" s="1"/>
  <c r="R63" i="7" s="1"/>
  <c r="S63" i="7" s="1"/>
  <c r="T63" i="7" s="1"/>
  <c r="U63" i="7" s="1"/>
  <c r="V63" i="7" s="1"/>
  <c r="W63" i="7" s="1"/>
  <c r="X63" i="7" s="1"/>
  <c r="Y63" i="7" s="1"/>
  <c r="Z63" i="7" s="1"/>
  <c r="AA63" i="7" s="1"/>
  <c r="AB63" i="7" s="1"/>
  <c r="N48" i="7"/>
  <c r="D128" i="7"/>
  <c r="R58" i="7"/>
  <c r="E58" i="7"/>
  <c r="D58" i="7"/>
  <c r="AB47" i="7"/>
  <c r="E55" i="7"/>
  <c r="X56" i="7"/>
  <c r="U47" i="7"/>
  <c r="Y47" i="7"/>
  <c r="Z47" i="7"/>
  <c r="AA47" i="7"/>
  <c r="Y56" i="7"/>
  <c r="AB56" i="7"/>
  <c r="E57" i="7"/>
  <c r="F57" i="7" s="1"/>
  <c r="G57" i="7" s="1"/>
  <c r="H57" i="7" s="1"/>
  <c r="I57" i="7" s="1"/>
  <c r="J57" i="7" s="1"/>
  <c r="K57" i="7" s="1"/>
  <c r="L57" i="7" s="1"/>
  <c r="M57" i="7" s="1"/>
  <c r="N57" i="7" s="1"/>
  <c r="O57" i="7" s="1"/>
  <c r="P57" i="7" s="1"/>
  <c r="Q57" i="7" s="1"/>
  <c r="R57" i="7" s="1"/>
  <c r="S57" i="7" s="1"/>
  <c r="T57" i="7" s="1"/>
  <c r="U57" i="7" s="1"/>
  <c r="V57" i="7" s="1"/>
  <c r="W57" i="7" s="1"/>
  <c r="F58" i="7"/>
  <c r="D55" i="7"/>
  <c r="M47" i="7"/>
  <c r="G55" i="7"/>
  <c r="V55" i="7"/>
  <c r="W55" i="7"/>
  <c r="H55" i="7"/>
  <c r="X55" i="7"/>
  <c r="I55" i="7"/>
  <c r="Y55" i="7"/>
  <c r="J55" i="7"/>
  <c r="Z55" i="7"/>
  <c r="K55" i="7"/>
  <c r="AA55" i="7"/>
  <c r="L55" i="7"/>
  <c r="AB55" i="7"/>
  <c r="M55" i="7"/>
  <c r="N55" i="7"/>
  <c r="O55" i="7"/>
  <c r="P55" i="7"/>
  <c r="Q55" i="7"/>
  <c r="R55" i="7"/>
  <c r="S55" i="7"/>
  <c r="T55" i="7"/>
  <c r="U55" i="7"/>
  <c r="F55" i="7"/>
  <c r="Q58" i="7"/>
  <c r="L56" i="7"/>
  <c r="M56" i="7"/>
  <c r="T58" i="7"/>
  <c r="N56" i="7"/>
  <c r="U58" i="7"/>
  <c r="S56" i="7"/>
  <c r="V58" i="7"/>
  <c r="T56" i="7"/>
  <c r="W58" i="7"/>
  <c r="D47" i="7"/>
  <c r="U56" i="7"/>
  <c r="AA58" i="7"/>
  <c r="H47" i="7"/>
  <c r="V56" i="7"/>
  <c r="I47" i="7"/>
  <c r="W56" i="7"/>
  <c r="U48" i="7"/>
  <c r="S48" i="7"/>
  <c r="T48" i="7"/>
  <c r="V48" i="7"/>
  <c r="G48" i="7"/>
  <c r="H48" i="7"/>
  <c r="I48" i="7"/>
  <c r="R48" i="7"/>
  <c r="AA127" i="7"/>
  <c r="Y128" i="7"/>
  <c r="E89" i="7"/>
  <c r="E92" i="7" s="1"/>
  <c r="F91" i="7" s="1"/>
  <c r="I128" i="7"/>
  <c r="D80" i="7"/>
  <c r="E79" i="7" s="1"/>
  <c r="D127" i="7"/>
  <c r="U128" i="7"/>
  <c r="Z48" i="7"/>
  <c r="H127" i="7"/>
  <c r="F128" i="7"/>
  <c r="T127" i="7"/>
  <c r="R128" i="7"/>
  <c r="D75" i="7"/>
  <c r="X58" i="7"/>
  <c r="S47" i="7"/>
  <c r="AA48" i="7"/>
  <c r="Y58" i="7"/>
  <c r="D86" i="7"/>
  <c r="D88" i="7" s="1"/>
  <c r="E87" i="7" s="1"/>
  <c r="E128" i="7"/>
  <c r="V47" i="7"/>
  <c r="F47" i="7"/>
  <c r="X47" i="7"/>
  <c r="G47" i="7"/>
  <c r="W47" i="7"/>
  <c r="E47" i="7"/>
  <c r="L47" i="7"/>
  <c r="K47" i="7"/>
  <c r="J47" i="7"/>
  <c r="Q47" i="7"/>
  <c r="J17" i="7"/>
  <c r="L58" i="7"/>
  <c r="O47" i="7"/>
  <c r="F56" i="7"/>
  <c r="K48" i="7"/>
  <c r="J48" i="7"/>
  <c r="P47" i="7"/>
  <c r="H58" i="7"/>
  <c r="N47" i="7"/>
  <c r="G56" i="7"/>
  <c r="L48" i="7"/>
  <c r="G58" i="7"/>
  <c r="E56" i="7"/>
  <c r="R47" i="7"/>
  <c r="T47" i="7"/>
  <c r="AB48" i="7"/>
  <c r="D56" i="7"/>
  <c r="Z58" i="7"/>
  <c r="W127" i="7"/>
  <c r="H56" i="7"/>
  <c r="M58" i="7"/>
  <c r="M48" i="7"/>
  <c r="P48" i="7"/>
  <c r="O48" i="7"/>
  <c r="Y48" i="7"/>
  <c r="F48" i="7"/>
  <c r="X48" i="7"/>
  <c r="E48" i="7"/>
  <c r="W48" i="7"/>
  <c r="D48" i="7"/>
  <c r="S58" i="7"/>
  <c r="P56" i="7"/>
  <c r="P58" i="7"/>
  <c r="AA56" i="7"/>
  <c r="J56" i="7"/>
  <c r="O58" i="7"/>
  <c r="Z56" i="7"/>
  <c r="I56" i="7"/>
  <c r="K58" i="7"/>
  <c r="R56" i="7"/>
  <c r="J58" i="7"/>
  <c r="Q56" i="7"/>
  <c r="AB58" i="7"/>
  <c r="I58" i="7"/>
  <c r="O56" i="7"/>
  <c r="Q48" i="7"/>
  <c r="K56" i="7"/>
  <c r="N58" i="7"/>
  <c r="P127" i="7"/>
  <c r="Q127" i="7"/>
  <c r="AA128" i="7"/>
  <c r="AB128" i="7"/>
  <c r="E23" i="4"/>
  <c r="AA45" i="7" l="1"/>
  <c r="F45" i="7"/>
  <c r="J45" i="7"/>
  <c r="X45" i="7"/>
  <c r="E44" i="7"/>
  <c r="L45" i="7"/>
  <c r="G45" i="7"/>
  <c r="N45" i="7"/>
  <c r="P45" i="7"/>
  <c r="K45" i="7"/>
  <c r="O45" i="7"/>
  <c r="Q45" i="7"/>
  <c r="S45" i="7"/>
  <c r="T45" i="7"/>
  <c r="R45" i="7"/>
  <c r="W45" i="7"/>
  <c r="Y45" i="7"/>
  <c r="D45" i="7"/>
  <c r="I45" i="7"/>
  <c r="M45" i="7"/>
  <c r="U45" i="7"/>
  <c r="Z45" i="7"/>
  <c r="E45" i="7"/>
  <c r="AB45" i="7"/>
  <c r="H45" i="7"/>
  <c r="D46" i="7"/>
  <c r="D50" i="7" s="1"/>
  <c r="E46" i="7"/>
  <c r="E51" i="7" s="1"/>
  <c r="E86" i="7"/>
  <c r="E88" i="7" s="1"/>
  <c r="F87" i="7" s="1"/>
  <c r="D73" i="7"/>
  <c r="D76" i="7" s="1"/>
  <c r="E75" i="7" s="1"/>
  <c r="F89" i="7"/>
  <c r="F92" i="7" s="1"/>
  <c r="G91" i="7" s="1"/>
  <c r="E77" i="7"/>
  <c r="E80" i="7" s="1"/>
  <c r="F79" i="7" s="1"/>
  <c r="F44" i="7"/>
  <c r="F46" i="7" s="1"/>
  <c r="D4" i="4"/>
  <c r="D5" i="4"/>
  <c r="D6" i="4"/>
  <c r="O12" i="2"/>
  <c r="D60" i="7" s="1"/>
  <c r="E60" i="7" s="1"/>
  <c r="F60" i="7" s="1"/>
  <c r="G60" i="7" s="1"/>
  <c r="H60" i="7" s="1"/>
  <c r="I60" i="7" s="1"/>
  <c r="J60" i="7" s="1"/>
  <c r="K60" i="7" s="1"/>
  <c r="L60" i="7" s="1"/>
  <c r="M60" i="7" s="1"/>
  <c r="N60" i="7" s="1"/>
  <c r="O60" i="7" s="1"/>
  <c r="P60" i="7" s="1"/>
  <c r="Q60" i="7" s="1"/>
  <c r="R60" i="7" s="1"/>
  <c r="S60" i="7" s="1"/>
  <c r="T60" i="7" s="1"/>
  <c r="U60" i="7" s="1"/>
  <c r="V60" i="7" s="1"/>
  <c r="W60" i="7" s="1"/>
  <c r="X60" i="7" s="1"/>
  <c r="Y60" i="7" s="1"/>
  <c r="Z60" i="7" s="1"/>
  <c r="AA60" i="7" s="1"/>
  <c r="AB60" i="7" s="1"/>
  <c r="C9" i="1"/>
  <c r="I13" i="1"/>
  <c r="J13" i="1" s="1"/>
  <c r="I6" i="1"/>
  <c r="H8" i="1" s="1"/>
  <c r="D57" i="1"/>
  <c r="I14" i="1"/>
  <c r="J14" i="1" s="1"/>
  <c r="C6" i="1"/>
  <c r="D19" i="1"/>
  <c r="C19" i="1"/>
  <c r="D65" i="1" s="1"/>
  <c r="D6" i="1"/>
  <c r="D9" i="1"/>
  <c r="H23" i="1"/>
  <c r="H23" i="7" s="1"/>
  <c r="E65" i="1" l="1"/>
  <c r="R26" i="2"/>
  <c r="E61" i="1"/>
  <c r="D63" i="1"/>
  <c r="E63" i="1" s="1"/>
  <c r="F63" i="1" s="1"/>
  <c r="G63" i="1" s="1"/>
  <c r="H63" i="1" s="1"/>
  <c r="I63" i="1" s="1"/>
  <c r="J63" i="1" s="1"/>
  <c r="K63" i="1" s="1"/>
  <c r="L63" i="1" s="1"/>
  <c r="M63" i="1" s="1"/>
  <c r="N63" i="1" s="1"/>
  <c r="O63" i="1" s="1"/>
  <c r="P63" i="1" s="1"/>
  <c r="Q63" i="1" s="1"/>
  <c r="R63" i="1" s="1"/>
  <c r="S63" i="1" s="1"/>
  <c r="T63" i="1" s="1"/>
  <c r="U63" i="1" s="1"/>
  <c r="V63" i="1" s="1"/>
  <c r="W63" i="1" s="1"/>
  <c r="X63" i="1" s="1"/>
  <c r="Y63" i="1" s="1"/>
  <c r="Z63" i="1" s="1"/>
  <c r="AA63" i="1" s="1"/>
  <c r="AB63" i="1" s="1"/>
  <c r="D62" i="1"/>
  <c r="E62" i="1" s="1"/>
  <c r="F62" i="1" s="1"/>
  <c r="G62" i="1" s="1"/>
  <c r="H62" i="1" s="1"/>
  <c r="I62" i="1" s="1"/>
  <c r="J62" i="1" s="1"/>
  <c r="K62" i="1" s="1"/>
  <c r="L62" i="1" s="1"/>
  <c r="M62" i="1" s="1"/>
  <c r="N62" i="1" s="1"/>
  <c r="O62" i="1" s="1"/>
  <c r="P62" i="1" s="1"/>
  <c r="Q62" i="1" s="1"/>
  <c r="R62" i="1" s="1"/>
  <c r="S62" i="1" s="1"/>
  <c r="T62" i="1" s="1"/>
  <c r="U62" i="1" s="1"/>
  <c r="V62" i="1" s="1"/>
  <c r="W62" i="1" s="1"/>
  <c r="X62" i="1" s="1"/>
  <c r="Y62" i="1" s="1"/>
  <c r="Z62" i="1" s="1"/>
  <c r="AA62" i="1" s="1"/>
  <c r="AB62" i="1" s="1"/>
  <c r="D64" i="1"/>
  <c r="E64" i="1" s="1"/>
  <c r="F64" i="1" s="1"/>
  <c r="G64" i="1" s="1"/>
  <c r="H64" i="1" s="1"/>
  <c r="I64" i="1" s="1"/>
  <c r="J64" i="1" s="1"/>
  <c r="K64" i="1" s="1"/>
  <c r="L64" i="1" s="1"/>
  <c r="M64" i="1" s="1"/>
  <c r="N64" i="1" s="1"/>
  <c r="O64" i="1" s="1"/>
  <c r="P64" i="1" s="1"/>
  <c r="Q64" i="1" s="1"/>
  <c r="R64" i="1" s="1"/>
  <c r="S64" i="1" s="1"/>
  <c r="T64" i="1" s="1"/>
  <c r="U64" i="1" s="1"/>
  <c r="V64" i="1" s="1"/>
  <c r="W64" i="1" s="1"/>
  <c r="X64" i="1" s="1"/>
  <c r="Y64" i="1" s="1"/>
  <c r="Z64" i="1" s="1"/>
  <c r="AA64" i="1" s="1"/>
  <c r="AB64" i="1" s="1"/>
  <c r="E50" i="7"/>
  <c r="E52" i="7" s="1"/>
  <c r="D51" i="7"/>
  <c r="D52" i="7" s="1"/>
  <c r="W61" i="7"/>
  <c r="T61" i="7"/>
  <c r="S61" i="7"/>
  <c r="U61" i="7"/>
  <c r="J61" i="7"/>
  <c r="Z61" i="7"/>
  <c r="E61" i="7"/>
  <c r="P61" i="7"/>
  <c r="X61" i="7"/>
  <c r="R61" i="7"/>
  <c r="H61" i="7"/>
  <c r="K61" i="7"/>
  <c r="Q61" i="7"/>
  <c r="AA61" i="7"/>
  <c r="N61" i="7"/>
  <c r="L61" i="7"/>
  <c r="Y61" i="7"/>
  <c r="M61" i="7"/>
  <c r="I61" i="7"/>
  <c r="F61" i="7"/>
  <c r="G61" i="7"/>
  <c r="V61" i="7"/>
  <c r="AB61" i="7"/>
  <c r="O61" i="7"/>
  <c r="D61" i="7"/>
  <c r="L55" i="1"/>
  <c r="AB55" i="1"/>
  <c r="M55" i="1"/>
  <c r="G55" i="1"/>
  <c r="N55" i="1"/>
  <c r="O55" i="1"/>
  <c r="P55" i="1"/>
  <c r="Q55" i="1"/>
  <c r="R55" i="1"/>
  <c r="S55" i="1"/>
  <c r="T55" i="1"/>
  <c r="U55" i="1"/>
  <c r="V55" i="1"/>
  <c r="W55" i="1"/>
  <c r="H55" i="1"/>
  <c r="X55" i="1"/>
  <c r="I55" i="1"/>
  <c r="Y55" i="1"/>
  <c r="J55" i="1"/>
  <c r="Z55" i="1"/>
  <c r="K55" i="1"/>
  <c r="AA55" i="1"/>
  <c r="F77" i="7"/>
  <c r="F80" i="7" s="1"/>
  <c r="G79" i="7" s="1"/>
  <c r="G89" i="7"/>
  <c r="G92" i="7" s="1"/>
  <c r="H91" i="7" s="1"/>
  <c r="E73" i="7"/>
  <c r="E76" i="7" s="1"/>
  <c r="F75" i="7" s="1"/>
  <c r="F86" i="7"/>
  <c r="F88" i="7"/>
  <c r="G87" i="7" s="1"/>
  <c r="G44" i="7"/>
  <c r="F51" i="7"/>
  <c r="F50" i="7"/>
  <c r="D58" i="1"/>
  <c r="D13" i="2"/>
  <c r="E57" i="1"/>
  <c r="F57" i="1" s="1"/>
  <c r="G57" i="1" s="1"/>
  <c r="H57" i="1" s="1"/>
  <c r="I57" i="1" s="1"/>
  <c r="J57" i="1" s="1"/>
  <c r="K57" i="1" s="1"/>
  <c r="L57" i="1" s="1"/>
  <c r="M57" i="1" s="1"/>
  <c r="N57" i="1" s="1"/>
  <c r="O57" i="1" s="1"/>
  <c r="P57" i="1" s="1"/>
  <c r="Q57" i="1" s="1"/>
  <c r="R57" i="1" s="1"/>
  <c r="S57" i="1" s="1"/>
  <c r="T57" i="1" s="1"/>
  <c r="U57" i="1" s="1"/>
  <c r="V57" i="1" s="1"/>
  <c r="W57" i="1" s="1"/>
  <c r="E44" i="1"/>
  <c r="J17" i="1"/>
  <c r="I7" i="1"/>
  <c r="C15" i="1"/>
  <c r="D2" i="1"/>
  <c r="H7" i="7" l="1"/>
  <c r="H7" i="1"/>
  <c r="F65" i="1"/>
  <c r="G65" i="1" s="1"/>
  <c r="H65" i="1" s="1"/>
  <c r="I65" i="1" s="1"/>
  <c r="J65" i="1" s="1"/>
  <c r="K65" i="1" s="1"/>
  <c r="L65" i="1" s="1"/>
  <c r="M65" i="1" s="1"/>
  <c r="N65" i="1" s="1"/>
  <c r="O65" i="1" s="1"/>
  <c r="P65" i="1" s="1"/>
  <c r="Q65" i="1" s="1"/>
  <c r="R65" i="1" s="1"/>
  <c r="S65" i="1" s="1"/>
  <c r="T65" i="1" s="1"/>
  <c r="U65" i="1" s="1"/>
  <c r="V65" i="1" s="1"/>
  <c r="W65" i="1" s="1"/>
  <c r="X65" i="1" s="1"/>
  <c r="Y65" i="1" s="1"/>
  <c r="Z65" i="1" s="1"/>
  <c r="AA65" i="1" s="1"/>
  <c r="AB65" i="1" s="1"/>
  <c r="H11" i="1"/>
  <c r="I3" i="1" s="1"/>
  <c r="H11" i="7"/>
  <c r="F52" i="7"/>
  <c r="F73" i="7"/>
  <c r="F76" i="7" s="1"/>
  <c r="G75" i="7" s="1"/>
  <c r="H89" i="7"/>
  <c r="H92" i="7"/>
  <c r="I91" i="7" s="1"/>
  <c r="G86" i="7"/>
  <c r="G88" i="7" s="1"/>
  <c r="H87" i="7" s="1"/>
  <c r="G77" i="7"/>
  <c r="G80" i="7" s="1"/>
  <c r="H79" i="7" s="1"/>
  <c r="H44" i="7"/>
  <c r="G46" i="7"/>
  <c r="G50" i="7" s="1"/>
  <c r="D48" i="1"/>
  <c r="W48" i="1"/>
  <c r="H48" i="1"/>
  <c r="X48" i="1"/>
  <c r="I48" i="1"/>
  <c r="Y48" i="1"/>
  <c r="J48" i="1"/>
  <c r="Z48" i="1"/>
  <c r="K48" i="1"/>
  <c r="AA48" i="1"/>
  <c r="L48" i="1"/>
  <c r="AB48" i="1"/>
  <c r="M48" i="1"/>
  <c r="F48" i="1"/>
  <c r="N48" i="1"/>
  <c r="G48" i="1"/>
  <c r="O48" i="1"/>
  <c r="E48" i="1"/>
  <c r="P48" i="1"/>
  <c r="Q48" i="1"/>
  <c r="R48" i="1"/>
  <c r="S48" i="1"/>
  <c r="T48" i="1"/>
  <c r="U48" i="1"/>
  <c r="V48" i="1"/>
  <c r="Q61" i="1"/>
  <c r="U61" i="1"/>
  <c r="T58" i="1"/>
  <c r="V61" i="1"/>
  <c r="E58" i="1"/>
  <c r="U58" i="1"/>
  <c r="W61" i="1"/>
  <c r="F58" i="1"/>
  <c r="V58" i="1"/>
  <c r="X61" i="1"/>
  <c r="G58" i="1"/>
  <c r="W58" i="1"/>
  <c r="Y61" i="1"/>
  <c r="H58" i="1"/>
  <c r="X58" i="1"/>
  <c r="Z61" i="1"/>
  <c r="I58" i="1"/>
  <c r="Y58" i="1"/>
  <c r="P58" i="1"/>
  <c r="Q58" i="1"/>
  <c r="T61" i="1"/>
  <c r="S58" i="1"/>
  <c r="F61" i="1"/>
  <c r="G61" i="1"/>
  <c r="H61" i="1"/>
  <c r="I61" i="1"/>
  <c r="J61" i="1"/>
  <c r="K61" i="1"/>
  <c r="AA61" i="1"/>
  <c r="J58" i="1"/>
  <c r="Z58" i="1"/>
  <c r="AB61" i="1"/>
  <c r="K58" i="1"/>
  <c r="AA58" i="1"/>
  <c r="D61" i="1"/>
  <c r="L58" i="1"/>
  <c r="AB58" i="1"/>
  <c r="M58" i="1"/>
  <c r="N58" i="1"/>
  <c r="O58" i="1"/>
  <c r="R61" i="1"/>
  <c r="S61" i="1"/>
  <c r="R58" i="1"/>
  <c r="L61" i="1"/>
  <c r="M61" i="1"/>
  <c r="N61" i="1"/>
  <c r="O61" i="1"/>
  <c r="P61" i="1"/>
  <c r="C151" i="1"/>
  <c r="AB135" i="1"/>
  <c r="AB129" i="1" s="1"/>
  <c r="AA135" i="1"/>
  <c r="AA129" i="1" s="1"/>
  <c r="Z135" i="1"/>
  <c r="Z129" i="1" s="1"/>
  <c r="Y135" i="1"/>
  <c r="Y129" i="1" s="1"/>
  <c r="X135" i="1"/>
  <c r="X129" i="1" s="1"/>
  <c r="W135" i="1"/>
  <c r="W129" i="1" s="1"/>
  <c r="V135" i="1"/>
  <c r="V129" i="1" s="1"/>
  <c r="U135" i="1"/>
  <c r="U129" i="1" s="1"/>
  <c r="T135" i="1"/>
  <c r="T129" i="1" s="1"/>
  <c r="S135" i="1"/>
  <c r="S129" i="1" s="1"/>
  <c r="R135" i="1"/>
  <c r="R129" i="1" s="1"/>
  <c r="Q135" i="1"/>
  <c r="Q129" i="1" s="1"/>
  <c r="P135" i="1"/>
  <c r="P129" i="1" s="1"/>
  <c r="O135" i="1"/>
  <c r="O129" i="1" s="1"/>
  <c r="N135" i="1"/>
  <c r="N129" i="1" s="1"/>
  <c r="M135" i="1"/>
  <c r="M129" i="1" s="1"/>
  <c r="L135" i="1"/>
  <c r="L129" i="1" s="1"/>
  <c r="K135" i="1"/>
  <c r="K129" i="1" s="1"/>
  <c r="J135" i="1"/>
  <c r="J129" i="1" s="1"/>
  <c r="I135" i="1"/>
  <c r="I129" i="1" s="1"/>
  <c r="H135" i="1"/>
  <c r="H129" i="1" s="1"/>
  <c r="G135" i="1"/>
  <c r="G129" i="1" s="1"/>
  <c r="F135" i="1"/>
  <c r="F129" i="1" s="1"/>
  <c r="E135" i="1"/>
  <c r="E129" i="1" s="1"/>
  <c r="D135" i="1"/>
  <c r="D129" i="1" s="1"/>
  <c r="AB134" i="1"/>
  <c r="AA134" i="1"/>
  <c r="Z134" i="1"/>
  <c r="Y134" i="1"/>
  <c r="X134" i="1"/>
  <c r="W134" i="1"/>
  <c r="V134" i="1"/>
  <c r="U134" i="1"/>
  <c r="T134" i="1"/>
  <c r="S134" i="1"/>
  <c r="R134" i="1"/>
  <c r="Q134" i="1"/>
  <c r="P134" i="1"/>
  <c r="O134" i="1"/>
  <c r="N134" i="1"/>
  <c r="M134" i="1"/>
  <c r="L134" i="1"/>
  <c r="K134" i="1"/>
  <c r="J134" i="1"/>
  <c r="I134" i="1"/>
  <c r="H134" i="1"/>
  <c r="G134" i="1"/>
  <c r="F134" i="1"/>
  <c r="E134" i="1"/>
  <c r="D134" i="1"/>
  <c r="AB133" i="1"/>
  <c r="AB128" i="1" s="1"/>
  <c r="AA133" i="1"/>
  <c r="AA128" i="1" s="1"/>
  <c r="Z133" i="1"/>
  <c r="Z128" i="1" s="1"/>
  <c r="Y133" i="1"/>
  <c r="Y128" i="1" s="1"/>
  <c r="X133" i="1"/>
  <c r="X128" i="1" s="1"/>
  <c r="W133" i="1"/>
  <c r="W128" i="1" s="1"/>
  <c r="V133" i="1"/>
  <c r="V128" i="1" s="1"/>
  <c r="U133" i="1"/>
  <c r="U128" i="1" s="1"/>
  <c r="T133" i="1"/>
  <c r="T128" i="1" s="1"/>
  <c r="S133" i="1"/>
  <c r="S128" i="1" s="1"/>
  <c r="R133" i="1"/>
  <c r="R128" i="1" s="1"/>
  <c r="Q133" i="1"/>
  <c r="Q128" i="1" s="1"/>
  <c r="P133" i="1"/>
  <c r="P128" i="1" s="1"/>
  <c r="N133" i="1"/>
  <c r="N128" i="1" s="1"/>
  <c r="M133" i="1"/>
  <c r="M128" i="1" s="1"/>
  <c r="L133" i="1"/>
  <c r="L128" i="1" s="1"/>
  <c r="K133" i="1"/>
  <c r="K128" i="1" s="1"/>
  <c r="J133" i="1"/>
  <c r="J128" i="1" s="1"/>
  <c r="I133" i="1"/>
  <c r="I128" i="1" s="1"/>
  <c r="H133" i="1"/>
  <c r="H128" i="1" s="1"/>
  <c r="G133" i="1"/>
  <c r="G128" i="1" s="1"/>
  <c r="F133" i="1"/>
  <c r="F128" i="1" s="1"/>
  <c r="E133" i="1"/>
  <c r="E128" i="1" s="1"/>
  <c r="D133" i="1"/>
  <c r="D128" i="1" s="1"/>
  <c r="AB132" i="1"/>
  <c r="AA132" i="1"/>
  <c r="Z132" i="1"/>
  <c r="Y132" i="1"/>
  <c r="X132" i="1"/>
  <c r="W132" i="1"/>
  <c r="V132" i="1"/>
  <c r="U132" i="1"/>
  <c r="T132" i="1"/>
  <c r="S132" i="1"/>
  <c r="R132" i="1"/>
  <c r="Q132" i="1"/>
  <c r="P132" i="1"/>
  <c r="AB91" i="1"/>
  <c r="AA91" i="1"/>
  <c r="Z91" i="1"/>
  <c r="Y91" i="1"/>
  <c r="X91" i="1"/>
  <c r="W91" i="1"/>
  <c r="V91" i="1"/>
  <c r="U91" i="1"/>
  <c r="T91" i="1"/>
  <c r="S91" i="1"/>
  <c r="R91" i="1"/>
  <c r="Q91" i="1"/>
  <c r="P91" i="1"/>
  <c r="O91" i="1"/>
  <c r="N91" i="1"/>
  <c r="M91" i="1"/>
  <c r="L91" i="1"/>
  <c r="K91" i="1"/>
  <c r="J91" i="1"/>
  <c r="I91" i="1"/>
  <c r="H91" i="1"/>
  <c r="G91" i="1"/>
  <c r="F91" i="1"/>
  <c r="E91" i="1"/>
  <c r="D91" i="1"/>
  <c r="D92" i="1" s="1"/>
  <c r="AB79" i="1"/>
  <c r="AA79" i="1"/>
  <c r="Z79" i="1"/>
  <c r="Y79" i="1"/>
  <c r="X79" i="1"/>
  <c r="W79" i="1"/>
  <c r="V79" i="1"/>
  <c r="U79" i="1"/>
  <c r="T79" i="1"/>
  <c r="S79" i="1"/>
  <c r="R79" i="1"/>
  <c r="Q79" i="1"/>
  <c r="P79" i="1"/>
  <c r="O79" i="1"/>
  <c r="N79" i="1"/>
  <c r="M79" i="1"/>
  <c r="L79" i="1"/>
  <c r="K79" i="1"/>
  <c r="J79" i="1"/>
  <c r="I79" i="1"/>
  <c r="H79" i="1"/>
  <c r="G79" i="1"/>
  <c r="F79" i="1"/>
  <c r="E79" i="1"/>
  <c r="D79" i="1"/>
  <c r="D80" i="1" s="1"/>
  <c r="AH67" i="1"/>
  <c r="AB47" i="1"/>
  <c r="AA47" i="1"/>
  <c r="Z47" i="1"/>
  <c r="Y47" i="1"/>
  <c r="X47" i="1"/>
  <c r="W47" i="1"/>
  <c r="V47" i="1"/>
  <c r="U47" i="1"/>
  <c r="T47" i="1"/>
  <c r="S47" i="1"/>
  <c r="R47" i="1"/>
  <c r="Q47" i="1"/>
  <c r="P47" i="1"/>
  <c r="O47" i="1"/>
  <c r="N47" i="1"/>
  <c r="M47" i="1"/>
  <c r="L47" i="1"/>
  <c r="K47" i="1"/>
  <c r="J47" i="1"/>
  <c r="I47" i="1"/>
  <c r="H47" i="1"/>
  <c r="G47" i="1"/>
  <c r="F47" i="1"/>
  <c r="E47" i="1"/>
  <c r="D47" i="1"/>
  <c r="I28" i="1"/>
  <c r="I28" i="7" s="1"/>
  <c r="H24" i="1"/>
  <c r="H24" i="7" s="1"/>
  <c r="AB56" i="1"/>
  <c r="H16" i="1"/>
  <c r="U27" i="2" l="1"/>
  <c r="T27" i="2"/>
  <c r="O133" i="1"/>
  <c r="O128" i="1" s="1"/>
  <c r="H15" i="1"/>
  <c r="H132" i="1" s="1"/>
  <c r="D59" i="7"/>
  <c r="D66" i="7" s="1"/>
  <c r="E59" i="7"/>
  <c r="F59" i="7"/>
  <c r="G59" i="7"/>
  <c r="H15" i="7"/>
  <c r="O132" i="7"/>
  <c r="O127" i="7" s="1"/>
  <c r="I3" i="7"/>
  <c r="I4" i="7" s="1"/>
  <c r="G126" i="7"/>
  <c r="G129" i="7" s="1"/>
  <c r="E126" i="7"/>
  <c r="E129" i="7" s="1"/>
  <c r="U126" i="7"/>
  <c r="U129" i="7" s="1"/>
  <c r="D126" i="7"/>
  <c r="D129" i="7" s="1"/>
  <c r="N126" i="7"/>
  <c r="N129" i="7" s="1"/>
  <c r="S126" i="7"/>
  <c r="S129" i="7" s="1"/>
  <c r="X126" i="7"/>
  <c r="X129" i="7" s="1"/>
  <c r="Z126" i="7"/>
  <c r="Z129" i="7" s="1"/>
  <c r="V126" i="7"/>
  <c r="V129" i="7" s="1"/>
  <c r="H126" i="7"/>
  <c r="H129" i="7" s="1"/>
  <c r="O126" i="7"/>
  <c r="R126" i="7"/>
  <c r="R129" i="7" s="1"/>
  <c r="J126" i="7"/>
  <c r="J129" i="7" s="1"/>
  <c r="L126" i="7"/>
  <c r="L129" i="7" s="1"/>
  <c r="T126" i="7"/>
  <c r="T129" i="7" s="1"/>
  <c r="I126" i="7"/>
  <c r="I129" i="7" s="1"/>
  <c r="M126" i="7"/>
  <c r="M129" i="7" s="1"/>
  <c r="F126" i="7"/>
  <c r="F129" i="7" s="1"/>
  <c r="P126" i="7"/>
  <c r="P129" i="7" s="1"/>
  <c r="Y126" i="7"/>
  <c r="Y129" i="7" s="1"/>
  <c r="K126" i="7"/>
  <c r="K129" i="7" s="1"/>
  <c r="W126" i="7"/>
  <c r="W129" i="7" s="1"/>
  <c r="AA126" i="7"/>
  <c r="AA129" i="7" s="1"/>
  <c r="Q126" i="7"/>
  <c r="Q129" i="7" s="1"/>
  <c r="AB126" i="7"/>
  <c r="AB129" i="7" s="1"/>
  <c r="H86" i="7"/>
  <c r="H88" i="7" s="1"/>
  <c r="I87" i="7" s="1"/>
  <c r="G73" i="7"/>
  <c r="G76" i="7" s="1"/>
  <c r="H75" i="7" s="1"/>
  <c r="I44" i="7"/>
  <c r="H59" i="7"/>
  <c r="H46" i="7"/>
  <c r="H50" i="7" s="1"/>
  <c r="H77" i="7"/>
  <c r="H80" i="7" s="1"/>
  <c r="I79" i="7" s="1"/>
  <c r="G51" i="7"/>
  <c r="G52" i="7" s="1"/>
  <c r="I89" i="7"/>
  <c r="I92" i="7" s="1"/>
  <c r="J91" i="7" s="1"/>
  <c r="I4" i="1"/>
  <c r="C127" i="1" s="1"/>
  <c r="C126" i="7" s="1"/>
  <c r="E59" i="1"/>
  <c r="D59" i="1"/>
  <c r="S45" i="1"/>
  <c r="D88" i="1"/>
  <c r="D87" i="1" s="1"/>
  <c r="D89" i="1" s="1"/>
  <c r="E88" i="1" s="1"/>
  <c r="E87" i="1" s="1"/>
  <c r="E89" i="1" s="1"/>
  <c r="F88" i="1" s="1"/>
  <c r="D78" i="1"/>
  <c r="D81" i="1" s="1"/>
  <c r="E80" i="1" s="1"/>
  <c r="D76" i="1"/>
  <c r="D74" i="1" s="1"/>
  <c r="D77" i="1" s="1"/>
  <c r="E76" i="1" s="1"/>
  <c r="N45" i="1"/>
  <c r="D90" i="1"/>
  <c r="D93" i="1" s="1"/>
  <c r="E92" i="1" s="1"/>
  <c r="M45" i="1"/>
  <c r="M56" i="1"/>
  <c r="N56" i="1"/>
  <c r="O45" i="1"/>
  <c r="O56" i="1"/>
  <c r="P45" i="1"/>
  <c r="P56" i="1"/>
  <c r="Q45" i="1"/>
  <c r="Q56" i="1"/>
  <c r="R45" i="1"/>
  <c r="R56" i="1"/>
  <c r="S56" i="1"/>
  <c r="D45" i="1"/>
  <c r="T45" i="1"/>
  <c r="D56" i="1"/>
  <c r="T56" i="1"/>
  <c r="E45" i="1"/>
  <c r="U45" i="1"/>
  <c r="E56" i="1"/>
  <c r="U56" i="1"/>
  <c r="F45" i="1"/>
  <c r="V45" i="1"/>
  <c r="D55" i="1"/>
  <c r="F56" i="1"/>
  <c r="V56" i="1"/>
  <c r="G45" i="1"/>
  <c r="W45" i="1"/>
  <c r="E55" i="1"/>
  <c r="G56" i="1"/>
  <c r="W56" i="1"/>
  <c r="H45" i="1"/>
  <c r="X45" i="1"/>
  <c r="F55" i="1"/>
  <c r="H56" i="1"/>
  <c r="X56" i="1"/>
  <c r="I45" i="1"/>
  <c r="Y45" i="1"/>
  <c r="I56" i="1"/>
  <c r="Y56" i="1"/>
  <c r="J45" i="1"/>
  <c r="Z45" i="1"/>
  <c r="J56" i="1"/>
  <c r="Z56" i="1"/>
  <c r="K45" i="1"/>
  <c r="AA45" i="1"/>
  <c r="K56" i="1"/>
  <c r="AA56" i="1"/>
  <c r="L45" i="1"/>
  <c r="AB45" i="1"/>
  <c r="L56" i="1"/>
  <c r="N5" i="1" l="1"/>
  <c r="C130" i="1"/>
  <c r="C164" i="1" s="1"/>
  <c r="D132" i="1"/>
  <c r="D166" i="1" s="1"/>
  <c r="E132" i="1"/>
  <c r="M132" i="1"/>
  <c r="N132" i="1"/>
  <c r="O132" i="1"/>
  <c r="J132" i="1"/>
  <c r="K132" i="1"/>
  <c r="L132" i="1"/>
  <c r="F132" i="1"/>
  <c r="G132" i="1"/>
  <c r="I132" i="1"/>
  <c r="O129" i="7"/>
  <c r="C129" i="7"/>
  <c r="D84" i="7"/>
  <c r="N5" i="7"/>
  <c r="N8" i="7" s="1"/>
  <c r="D71" i="7"/>
  <c r="N9" i="7"/>
  <c r="K131" i="7"/>
  <c r="J131" i="7"/>
  <c r="I131" i="7"/>
  <c r="E131" i="7"/>
  <c r="D131" i="7"/>
  <c r="N131" i="7"/>
  <c r="L131" i="7"/>
  <c r="F131" i="7"/>
  <c r="G131" i="7"/>
  <c r="O131" i="7"/>
  <c r="M131" i="7"/>
  <c r="H131" i="7"/>
  <c r="I77" i="7"/>
  <c r="I80" i="7" s="1"/>
  <c r="J79" i="7" s="1"/>
  <c r="J89" i="7"/>
  <c r="J92" i="7" s="1"/>
  <c r="K91" i="7" s="1"/>
  <c r="I86" i="7"/>
  <c r="I88" i="7" s="1"/>
  <c r="J87" i="7" s="1"/>
  <c r="H51" i="7"/>
  <c r="H52" i="7" s="1"/>
  <c r="J44" i="7"/>
  <c r="I46" i="7"/>
  <c r="I50" i="7" s="1"/>
  <c r="I59" i="7"/>
  <c r="H73" i="7"/>
  <c r="H76" i="7" s="1"/>
  <c r="I75" i="7" s="1"/>
  <c r="U127" i="1"/>
  <c r="U130" i="1" s="1"/>
  <c r="D127" i="1"/>
  <c r="D130" i="1" s="1"/>
  <c r="E78" i="1"/>
  <c r="E81" i="1" s="1"/>
  <c r="F80" i="1" s="1"/>
  <c r="F78" i="1" s="1"/>
  <c r="F81" i="1" s="1"/>
  <c r="G80" i="1" s="1"/>
  <c r="S127" i="1"/>
  <c r="S130" i="1" s="1"/>
  <c r="N127" i="1"/>
  <c r="N130" i="1" s="1"/>
  <c r="R127" i="1"/>
  <c r="R130" i="1" s="1"/>
  <c r="O127" i="1"/>
  <c r="O130" i="1" s="1"/>
  <c r="P127" i="1"/>
  <c r="P130" i="1" s="1"/>
  <c r="Y127" i="1"/>
  <c r="Y130" i="1" s="1"/>
  <c r="W127" i="1"/>
  <c r="W130" i="1" s="1"/>
  <c r="F127" i="1"/>
  <c r="F130" i="1" s="1"/>
  <c r="H127" i="1"/>
  <c r="H130" i="1" s="1"/>
  <c r="I127" i="1"/>
  <c r="I130" i="1" s="1"/>
  <c r="J127" i="1"/>
  <c r="J130" i="1" s="1"/>
  <c r="K127" i="1"/>
  <c r="K130" i="1" s="1"/>
  <c r="E46" i="1"/>
  <c r="E51" i="1" s="1"/>
  <c r="L127" i="1"/>
  <c r="L130" i="1" s="1"/>
  <c r="M127" i="1"/>
  <c r="M130" i="1" s="1"/>
  <c r="Q127" i="1"/>
  <c r="Q130" i="1" s="1"/>
  <c r="V127" i="1"/>
  <c r="V130" i="1" s="1"/>
  <c r="Z127" i="1"/>
  <c r="Z130" i="1" s="1"/>
  <c r="AA127" i="1"/>
  <c r="AA130" i="1" s="1"/>
  <c r="D72" i="1"/>
  <c r="X127" i="1"/>
  <c r="X130" i="1" s="1"/>
  <c r="AB127" i="1"/>
  <c r="AB130" i="1" s="1"/>
  <c r="G127" i="1"/>
  <c r="G130" i="1" s="1"/>
  <c r="T127" i="1"/>
  <c r="T130" i="1" s="1"/>
  <c r="E127" i="1"/>
  <c r="E130" i="1" s="1"/>
  <c r="E74" i="1"/>
  <c r="E77" i="1" s="1"/>
  <c r="F76" i="1" s="1"/>
  <c r="E90" i="1"/>
  <c r="E93" i="1" s="1"/>
  <c r="F92" i="1" s="1"/>
  <c r="D46" i="1"/>
  <c r="D51" i="1" s="1"/>
  <c r="F44" i="1"/>
  <c r="F59" i="1" s="1"/>
  <c r="F87" i="1"/>
  <c r="F89" i="1" s="1"/>
  <c r="G88" i="1" s="1"/>
  <c r="X166" i="1" l="1"/>
  <c r="W166" i="1"/>
  <c r="E166" i="1"/>
  <c r="Q166" i="1"/>
  <c r="AB166" i="1"/>
  <c r="S166" i="1"/>
  <c r="T166" i="1"/>
  <c r="N166" i="1"/>
  <c r="F166" i="1"/>
  <c r="AA166" i="1"/>
  <c r="M166" i="1"/>
  <c r="P166" i="1"/>
  <c r="Z166" i="1"/>
  <c r="G166" i="1"/>
  <c r="J166" i="1"/>
  <c r="U166" i="1"/>
  <c r="Y166" i="1"/>
  <c r="R166" i="1"/>
  <c r="I166" i="1"/>
  <c r="O166" i="1"/>
  <c r="V166" i="1"/>
  <c r="H166" i="1"/>
  <c r="K166" i="1"/>
  <c r="L166" i="1"/>
  <c r="D165" i="7"/>
  <c r="O165" i="7"/>
  <c r="Z165" i="7"/>
  <c r="E165" i="7"/>
  <c r="S165" i="7"/>
  <c r="Y165" i="7"/>
  <c r="H165" i="7"/>
  <c r="I165" i="7"/>
  <c r="L165" i="7"/>
  <c r="N165" i="7"/>
  <c r="W165" i="7"/>
  <c r="U165" i="7"/>
  <c r="V165" i="7"/>
  <c r="X165" i="7"/>
  <c r="J165" i="7"/>
  <c r="R165" i="7"/>
  <c r="M165" i="7"/>
  <c r="F165" i="7"/>
  <c r="AB165" i="7"/>
  <c r="P165" i="7"/>
  <c r="AA165" i="7"/>
  <c r="Q165" i="7"/>
  <c r="T165" i="7"/>
  <c r="G165" i="7"/>
  <c r="K165" i="7"/>
  <c r="D83" i="7"/>
  <c r="D82" i="7" s="1"/>
  <c r="D101" i="7" s="1"/>
  <c r="D102" i="7" s="1"/>
  <c r="D103" i="7" s="1"/>
  <c r="D104" i="7" s="1"/>
  <c r="D70" i="7"/>
  <c r="D69" i="7" s="1"/>
  <c r="C141" i="7"/>
  <c r="C142" i="7"/>
  <c r="C163" i="7"/>
  <c r="C136" i="7"/>
  <c r="I51" i="7"/>
  <c r="I52" i="7" s="1"/>
  <c r="J86" i="7"/>
  <c r="J88" i="7" s="1"/>
  <c r="K87" i="7" s="1"/>
  <c r="J77" i="7"/>
  <c r="J80" i="7" s="1"/>
  <c r="K79" i="7" s="1"/>
  <c r="I73" i="7"/>
  <c r="I76" i="7" s="1"/>
  <c r="J75" i="7" s="1"/>
  <c r="K89" i="7"/>
  <c r="K92" i="7" s="1"/>
  <c r="L91" i="7" s="1"/>
  <c r="K44" i="7"/>
  <c r="J46" i="7"/>
  <c r="J50" i="7" s="1"/>
  <c r="J59" i="7"/>
  <c r="D60" i="1"/>
  <c r="E60" i="1" s="1"/>
  <c r="F60" i="1" s="1"/>
  <c r="G60" i="1" s="1"/>
  <c r="H60" i="1" s="1"/>
  <c r="I60" i="1" s="1"/>
  <c r="J60" i="1" s="1"/>
  <c r="K60" i="1" s="1"/>
  <c r="L60" i="1" s="1"/>
  <c r="M60" i="1" s="1"/>
  <c r="N60" i="1" s="1"/>
  <c r="O60" i="1" s="1"/>
  <c r="P60" i="1" s="1"/>
  <c r="Q60" i="1" s="1"/>
  <c r="R60" i="1" s="1"/>
  <c r="S60" i="1" s="1"/>
  <c r="T60" i="1" s="1"/>
  <c r="U60" i="1" s="1"/>
  <c r="V60" i="1" s="1"/>
  <c r="W60" i="1" s="1"/>
  <c r="X60" i="1" s="1"/>
  <c r="Y60" i="1" s="1"/>
  <c r="Z60" i="1" s="1"/>
  <c r="AA60" i="1" s="1"/>
  <c r="AB60" i="1" s="1"/>
  <c r="C143" i="1"/>
  <c r="E4" i="4" s="1"/>
  <c r="C137" i="1"/>
  <c r="C155" i="1" s="1"/>
  <c r="C142" i="1"/>
  <c r="F22" i="4" s="1"/>
  <c r="E50" i="1"/>
  <c r="E52" i="1" s="1"/>
  <c r="D85" i="1"/>
  <c r="D84" i="1" s="1"/>
  <c r="D83" i="1" s="1"/>
  <c r="F74" i="1"/>
  <c r="F77" i="1" s="1"/>
  <c r="G76" i="1" s="1"/>
  <c r="G78" i="1"/>
  <c r="G81" i="1" s="1"/>
  <c r="H80" i="1" s="1"/>
  <c r="G44" i="1"/>
  <c r="G59" i="1" s="1"/>
  <c r="D71" i="1"/>
  <c r="D70" i="1" s="1"/>
  <c r="D125" i="1" s="1"/>
  <c r="G87" i="1"/>
  <c r="G89" i="1" s="1"/>
  <c r="H88" i="1" s="1"/>
  <c r="F46" i="1"/>
  <c r="F51" i="1" s="1"/>
  <c r="D50" i="1"/>
  <c r="F90" i="1"/>
  <c r="F93" i="1" s="1"/>
  <c r="G92" i="1" s="1"/>
  <c r="D72" i="7" l="1"/>
  <c r="E71" i="7" s="1"/>
  <c r="E70" i="7" s="1"/>
  <c r="E69" i="7" s="1"/>
  <c r="E124" i="7" s="1"/>
  <c r="D105" i="7"/>
  <c r="D106" i="7" s="1"/>
  <c r="D109" i="7" s="1"/>
  <c r="D123" i="7" s="1"/>
  <c r="D150" i="7" s="1"/>
  <c r="C173" i="7"/>
  <c r="C175" i="7" s="1"/>
  <c r="C137" i="7"/>
  <c r="D124" i="7"/>
  <c r="D93" i="7"/>
  <c r="D85" i="7"/>
  <c r="E84" i="7" s="1"/>
  <c r="C138" i="7"/>
  <c r="C155" i="7" s="1"/>
  <c r="C154" i="7"/>
  <c r="C157" i="7" s="1"/>
  <c r="C152" i="7"/>
  <c r="D163" i="7"/>
  <c r="D169" i="7"/>
  <c r="D170" i="7" s="1"/>
  <c r="C169" i="7"/>
  <c r="C170" i="7" s="1"/>
  <c r="D143" i="7"/>
  <c r="D144" i="7"/>
  <c r="E144" i="7" s="1"/>
  <c r="F144" i="7" s="1"/>
  <c r="G144" i="7" s="1"/>
  <c r="H144" i="7" s="1"/>
  <c r="I144" i="7" s="1"/>
  <c r="J144" i="7" s="1"/>
  <c r="K144" i="7" s="1"/>
  <c r="L144" i="7" s="1"/>
  <c r="M144" i="7" s="1"/>
  <c r="N144" i="7" s="1"/>
  <c r="O144" i="7" s="1"/>
  <c r="P144" i="7" s="1"/>
  <c r="Q144" i="7" s="1"/>
  <c r="R144" i="7" s="1"/>
  <c r="S144" i="7" s="1"/>
  <c r="T144" i="7" s="1"/>
  <c r="U144" i="7" s="1"/>
  <c r="V144" i="7" s="1"/>
  <c r="W144" i="7" s="1"/>
  <c r="X144" i="7" s="1"/>
  <c r="Y144" i="7" s="1"/>
  <c r="Z144" i="7" s="1"/>
  <c r="AA144" i="7" s="1"/>
  <c r="AB144" i="7" s="1"/>
  <c r="L89" i="7"/>
  <c r="L92" i="7" s="1"/>
  <c r="M91" i="7" s="1"/>
  <c r="J73" i="7"/>
  <c r="J76" i="7" s="1"/>
  <c r="K75" i="7" s="1"/>
  <c r="K77" i="7"/>
  <c r="K80" i="7" s="1"/>
  <c r="L79" i="7" s="1"/>
  <c r="J51" i="7"/>
  <c r="J52" i="7" s="1"/>
  <c r="L44" i="7"/>
  <c r="K59" i="7"/>
  <c r="K46" i="7"/>
  <c r="K50" i="7" s="1"/>
  <c r="K86" i="7"/>
  <c r="K88" i="7" s="1"/>
  <c r="L87" i="7" s="1"/>
  <c r="C158" i="1"/>
  <c r="C174" i="1"/>
  <c r="C176" i="1" s="1"/>
  <c r="D170" i="1"/>
  <c r="D171" i="1" s="1"/>
  <c r="C170" i="1"/>
  <c r="C171" i="1" s="1"/>
  <c r="C139" i="1"/>
  <c r="C156" i="1" s="1"/>
  <c r="E3" i="4" s="1"/>
  <c r="D145" i="1"/>
  <c r="F6" i="4" s="1"/>
  <c r="D144" i="1"/>
  <c r="G90" i="1"/>
  <c r="G93" i="1" s="1"/>
  <c r="H92" i="1" s="1"/>
  <c r="H87" i="1"/>
  <c r="H89" i="1" s="1"/>
  <c r="I88" i="1" s="1"/>
  <c r="D86" i="1"/>
  <c r="E85" i="1" s="1"/>
  <c r="F50" i="1"/>
  <c r="F52" i="1" s="1"/>
  <c r="H44" i="1"/>
  <c r="H59" i="1" s="1"/>
  <c r="G46" i="1"/>
  <c r="G51" i="1" s="1"/>
  <c r="D73" i="1"/>
  <c r="E72" i="1" s="1"/>
  <c r="H78" i="1"/>
  <c r="H81" i="1" s="1"/>
  <c r="I80" i="1" s="1"/>
  <c r="D52" i="1"/>
  <c r="G74" i="1"/>
  <c r="G77" i="1" s="1"/>
  <c r="H76" i="1" s="1"/>
  <c r="D164" i="1"/>
  <c r="D66" i="1" l="1"/>
  <c r="D67" i="1" s="1"/>
  <c r="E72" i="7"/>
  <c r="F71" i="7" s="1"/>
  <c r="F70" i="7" s="1"/>
  <c r="F69" i="7" s="1"/>
  <c r="F124" i="7" s="1"/>
  <c r="E163" i="7"/>
  <c r="D142" i="7"/>
  <c r="E143" i="7" s="1"/>
  <c r="E66" i="7" s="1"/>
  <c r="C153" i="7"/>
  <c r="C164" i="7"/>
  <c r="C166" i="7" s="1"/>
  <c r="C177" i="7" s="1"/>
  <c r="E16" i="4"/>
  <c r="C158" i="7"/>
  <c r="E83" i="7"/>
  <c r="E82" i="7" s="1"/>
  <c r="D96" i="7"/>
  <c r="D100" i="7"/>
  <c r="D110" i="7" s="1"/>
  <c r="D112" i="7" s="1"/>
  <c r="D95" i="7"/>
  <c r="D94" i="7"/>
  <c r="D141" i="7"/>
  <c r="E169" i="7"/>
  <c r="E170" i="7" s="1"/>
  <c r="K51" i="7"/>
  <c r="K52" i="7" s="1"/>
  <c r="F5" i="4"/>
  <c r="F9" i="4" s="1"/>
  <c r="D107" i="7"/>
  <c r="D108" i="7" s="1"/>
  <c r="L86" i="7"/>
  <c r="L88" i="7" s="1"/>
  <c r="M87" i="7" s="1"/>
  <c r="K73" i="7"/>
  <c r="K76" i="7" s="1"/>
  <c r="L75" i="7" s="1"/>
  <c r="L77" i="7"/>
  <c r="L80" i="7" s="1"/>
  <c r="M79" i="7" s="1"/>
  <c r="M89" i="7"/>
  <c r="M92" i="7" s="1"/>
  <c r="N91" i="7" s="1"/>
  <c r="M44" i="7"/>
  <c r="L59" i="7"/>
  <c r="L46" i="7"/>
  <c r="L51" i="7" s="1"/>
  <c r="C159" i="1"/>
  <c r="E145" i="1"/>
  <c r="G6" i="4" s="1"/>
  <c r="D143" i="1"/>
  <c r="C138" i="1"/>
  <c r="G50" i="1"/>
  <c r="G52" i="1" s="1"/>
  <c r="I78" i="1"/>
  <c r="I81" i="1" s="1"/>
  <c r="J80" i="1" s="1"/>
  <c r="I87" i="1"/>
  <c r="I89" i="1" s="1"/>
  <c r="J88" i="1" s="1"/>
  <c r="H90" i="1"/>
  <c r="H93" i="1" s="1"/>
  <c r="I92" i="1" s="1"/>
  <c r="I44" i="1"/>
  <c r="I59" i="1" s="1"/>
  <c r="H46" i="1"/>
  <c r="H50" i="1" s="1"/>
  <c r="H74" i="1"/>
  <c r="H77" i="1" s="1"/>
  <c r="I76" i="1" s="1"/>
  <c r="E84" i="1"/>
  <c r="E83" i="1" s="1"/>
  <c r="N9" i="1"/>
  <c r="E71" i="1"/>
  <c r="E70" i="1" s="1"/>
  <c r="E164" i="1" s="1"/>
  <c r="F163" i="7" l="1"/>
  <c r="F72" i="7"/>
  <c r="G71" i="7" s="1"/>
  <c r="G70" i="7" s="1"/>
  <c r="G69" i="7" s="1"/>
  <c r="E142" i="7"/>
  <c r="F169" i="7" s="1"/>
  <c r="F170" i="7" s="1"/>
  <c r="D111" i="7"/>
  <c r="E85" i="7"/>
  <c r="F84" i="7" s="1"/>
  <c r="E93" i="7"/>
  <c r="E94" i="7" s="1"/>
  <c r="E101" i="7"/>
  <c r="E67" i="7"/>
  <c r="D114" i="7"/>
  <c r="D115" i="7" s="1"/>
  <c r="D116" i="7" s="1"/>
  <c r="D117" i="7" s="1"/>
  <c r="D120" i="7"/>
  <c r="D125" i="7" s="1"/>
  <c r="D136" i="7" s="1"/>
  <c r="D138" i="7" s="1"/>
  <c r="L50" i="7"/>
  <c r="L52" i="7" s="1"/>
  <c r="N89" i="7"/>
  <c r="N92" i="7" s="1"/>
  <c r="O91" i="7" s="1"/>
  <c r="L73" i="7"/>
  <c r="L76" i="7" s="1"/>
  <c r="M75" i="7" s="1"/>
  <c r="N44" i="7"/>
  <c r="M59" i="7"/>
  <c r="M46" i="7"/>
  <c r="M51" i="7" s="1"/>
  <c r="M77" i="7"/>
  <c r="M80" i="7" s="1"/>
  <c r="N79" i="7" s="1"/>
  <c r="M86" i="7"/>
  <c r="M88" i="7" s="1"/>
  <c r="N87" i="7" s="1"/>
  <c r="F13" i="4"/>
  <c r="D94" i="1"/>
  <c r="N8" i="1"/>
  <c r="E170" i="1"/>
  <c r="E171" i="1" s="1"/>
  <c r="F4" i="4"/>
  <c r="D102" i="1"/>
  <c r="F145" i="1"/>
  <c r="H6" i="4" s="1"/>
  <c r="D142" i="1"/>
  <c r="E144" i="1"/>
  <c r="I90" i="1"/>
  <c r="I93" i="1" s="1"/>
  <c r="J92" i="1" s="1"/>
  <c r="J87" i="1"/>
  <c r="J89" i="1" s="1"/>
  <c r="K88" i="1" s="1"/>
  <c r="J78" i="1"/>
  <c r="J81" i="1" s="1"/>
  <c r="K80" i="1" s="1"/>
  <c r="H51" i="1"/>
  <c r="H52" i="1" s="1"/>
  <c r="J44" i="1"/>
  <c r="J59" i="1" s="1"/>
  <c r="I46" i="1"/>
  <c r="I50" i="1" s="1"/>
  <c r="E86" i="1"/>
  <c r="F85" i="1" s="1"/>
  <c r="I74" i="1"/>
  <c r="I77" i="1" s="1"/>
  <c r="J76" i="1" s="1"/>
  <c r="E125" i="1"/>
  <c r="E73" i="1"/>
  <c r="F72" i="1" s="1"/>
  <c r="F143" i="7" l="1"/>
  <c r="F66" i="7" s="1"/>
  <c r="F67" i="7" s="1"/>
  <c r="G163" i="7"/>
  <c r="F142" i="7"/>
  <c r="G169" i="7" s="1"/>
  <c r="G170" i="7" s="1"/>
  <c r="E141" i="7"/>
  <c r="G124" i="7"/>
  <c r="D174" i="7"/>
  <c r="G72" i="7"/>
  <c r="H71" i="7" s="1"/>
  <c r="H70" i="7" s="1"/>
  <c r="H69" i="7" s="1"/>
  <c r="E96" i="7"/>
  <c r="E100" i="7"/>
  <c r="E95" i="7"/>
  <c r="E105" i="7"/>
  <c r="E102" i="7"/>
  <c r="E103" i="7" s="1"/>
  <c r="E104" i="7" s="1"/>
  <c r="D154" i="7"/>
  <c r="D155" i="7" s="1"/>
  <c r="F16" i="4" s="1"/>
  <c r="D151" i="7"/>
  <c r="D173" i="7" s="1"/>
  <c r="F83" i="7"/>
  <c r="F82" i="7" s="1"/>
  <c r="F101" i="7" s="1"/>
  <c r="F105" i="7" s="1"/>
  <c r="G5" i="4"/>
  <c r="G9" i="4" s="1"/>
  <c r="E66" i="1"/>
  <c r="E67" i="1" s="1"/>
  <c r="M73" i="7"/>
  <c r="M76" i="7" s="1"/>
  <c r="N75" i="7" s="1"/>
  <c r="O89" i="7"/>
  <c r="O92" i="7" s="1"/>
  <c r="P91" i="7" s="1"/>
  <c r="N77" i="7"/>
  <c r="N80" i="7" s="1"/>
  <c r="O79" i="7" s="1"/>
  <c r="O44" i="7"/>
  <c r="N59" i="7"/>
  <c r="N46" i="7"/>
  <c r="N50" i="7" s="1"/>
  <c r="N86" i="7"/>
  <c r="N88" i="7" s="1"/>
  <c r="O87" i="7" s="1"/>
  <c r="M50" i="7"/>
  <c r="M52" i="7" s="1"/>
  <c r="D101" i="1"/>
  <c r="G145" i="1"/>
  <c r="I6" i="4" s="1"/>
  <c r="D122" i="1"/>
  <c r="K78" i="1"/>
  <c r="K81" i="1" s="1"/>
  <c r="L80" i="1" s="1"/>
  <c r="K87" i="1"/>
  <c r="K89" i="1" s="1"/>
  <c r="L88" i="1" s="1"/>
  <c r="J74" i="1"/>
  <c r="J77" i="1" s="1"/>
  <c r="K76" i="1" s="1"/>
  <c r="D97" i="1"/>
  <c r="D96" i="1"/>
  <c r="D95" i="1"/>
  <c r="F84" i="1"/>
  <c r="F83" i="1" s="1"/>
  <c r="I51" i="1"/>
  <c r="I52" i="1" s="1"/>
  <c r="F71" i="1"/>
  <c r="F70" i="1" s="1"/>
  <c r="K44" i="1"/>
  <c r="K59" i="1" s="1"/>
  <c r="J46" i="1"/>
  <c r="J50" i="1" s="1"/>
  <c r="J90" i="1"/>
  <c r="J93" i="1" s="1"/>
  <c r="K92" i="1" s="1"/>
  <c r="F93" i="7" l="1"/>
  <c r="F94" i="7" s="1"/>
  <c r="G143" i="7"/>
  <c r="G66" i="7" s="1"/>
  <c r="G93" i="7" s="1"/>
  <c r="G142" i="7"/>
  <c r="H169" i="7" s="1"/>
  <c r="H170" i="7" s="1"/>
  <c r="F141" i="7"/>
  <c r="D175" i="7"/>
  <c r="D158" i="7"/>
  <c r="E110" i="7"/>
  <c r="E120" i="7" s="1"/>
  <c r="E106" i="7"/>
  <c r="E109" i="7" s="1"/>
  <c r="E123" i="7" s="1"/>
  <c r="E150" i="7" s="1"/>
  <c r="F85" i="7"/>
  <c r="G84" i="7" s="1"/>
  <c r="D157" i="7"/>
  <c r="F102" i="7"/>
  <c r="F103" i="7" s="1"/>
  <c r="F104" i="7" s="1"/>
  <c r="D152" i="7"/>
  <c r="D153" i="7" s="1"/>
  <c r="D137" i="7"/>
  <c r="N51" i="7"/>
  <c r="N52" i="7" s="1"/>
  <c r="G13" i="4"/>
  <c r="E68" i="1"/>
  <c r="E94" i="1"/>
  <c r="E97" i="1" s="1"/>
  <c r="N73" i="7"/>
  <c r="N76" i="7" s="1"/>
  <c r="O75" i="7" s="1"/>
  <c r="O86" i="7"/>
  <c r="O88" i="7" s="1"/>
  <c r="P87" i="7" s="1"/>
  <c r="O77" i="7"/>
  <c r="O80" i="7" s="1"/>
  <c r="P79" i="7" s="1"/>
  <c r="P89" i="7"/>
  <c r="P92" i="7" s="1"/>
  <c r="Q91" i="7" s="1"/>
  <c r="H124" i="7"/>
  <c r="H163" i="7"/>
  <c r="P44" i="7"/>
  <c r="O59" i="7"/>
  <c r="O46" i="7"/>
  <c r="O50" i="7" s="1"/>
  <c r="H72" i="7"/>
  <c r="I71" i="7" s="1"/>
  <c r="H145" i="1"/>
  <c r="J6" i="4" s="1"/>
  <c r="K90" i="1"/>
  <c r="K93" i="1" s="1"/>
  <c r="L92" i="1" s="1"/>
  <c r="L78" i="1"/>
  <c r="L81" i="1" s="1"/>
  <c r="M80" i="1" s="1"/>
  <c r="L44" i="1"/>
  <c r="L59" i="1" s="1"/>
  <c r="K46" i="1"/>
  <c r="K50" i="1" s="1"/>
  <c r="K74" i="1"/>
  <c r="K77" i="1" s="1"/>
  <c r="L76" i="1" s="1"/>
  <c r="J51" i="1"/>
  <c r="J52" i="1" s="1"/>
  <c r="L87" i="1"/>
  <c r="L89" i="1" s="1"/>
  <c r="M88" i="1" s="1"/>
  <c r="F125" i="1"/>
  <c r="F164" i="1"/>
  <c r="F73" i="1"/>
  <c r="G72" i="1" s="1"/>
  <c r="F86" i="1"/>
  <c r="G85" i="1" s="1"/>
  <c r="F96" i="7" l="1"/>
  <c r="F95" i="7"/>
  <c r="F100" i="7"/>
  <c r="G141" i="7"/>
  <c r="G67" i="7"/>
  <c r="H142" i="7"/>
  <c r="I143" i="7" s="1"/>
  <c r="I66" i="7" s="1"/>
  <c r="I67" i="7" s="1"/>
  <c r="H143" i="7"/>
  <c r="H66" i="7" s="1"/>
  <c r="H67" i="7" s="1"/>
  <c r="E111" i="7"/>
  <c r="E112" i="7"/>
  <c r="E114" i="7"/>
  <c r="E115" i="7" s="1"/>
  <c r="E116" i="7" s="1"/>
  <c r="E117" i="7" s="1"/>
  <c r="F110" i="7"/>
  <c r="F114" i="7" s="1"/>
  <c r="F115" i="7" s="1"/>
  <c r="E125" i="7"/>
  <c r="E136" i="7" s="1"/>
  <c r="E154" i="7" s="1"/>
  <c r="E155" i="7" s="1"/>
  <c r="G16" i="4" s="1"/>
  <c r="G94" i="7"/>
  <c r="G100" i="7"/>
  <c r="G96" i="7"/>
  <c r="G83" i="7"/>
  <c r="G82" i="7" s="1"/>
  <c r="G101" i="7" s="1"/>
  <c r="G105" i="7" s="1"/>
  <c r="E107" i="7"/>
  <c r="E108" i="7" s="1"/>
  <c r="F106" i="7" s="1"/>
  <c r="D164" i="7"/>
  <c r="D166" i="7" s="1"/>
  <c r="D177" i="7" s="1"/>
  <c r="G95" i="7"/>
  <c r="E96" i="1"/>
  <c r="E95" i="1"/>
  <c r="O51" i="7"/>
  <c r="O52" i="7" s="1"/>
  <c r="P86" i="7"/>
  <c r="P88" i="7" s="1"/>
  <c r="Q87" i="7" s="1"/>
  <c r="Q89" i="7"/>
  <c r="Q92" i="7" s="1"/>
  <c r="R91" i="7" s="1"/>
  <c r="O73" i="7"/>
  <c r="O76" i="7" s="1"/>
  <c r="P75" i="7" s="1"/>
  <c r="P77" i="7"/>
  <c r="P80" i="7" s="1"/>
  <c r="Q79" i="7" s="1"/>
  <c r="I70" i="7"/>
  <c r="I69" i="7" s="1"/>
  <c r="I163" i="7" s="1"/>
  <c r="Q44" i="7"/>
  <c r="P59" i="7"/>
  <c r="P46" i="7"/>
  <c r="P50" i="7" s="1"/>
  <c r="I145" i="1"/>
  <c r="K6" i="4" s="1"/>
  <c r="K51" i="1"/>
  <c r="K52" i="1" s="1"/>
  <c r="M78" i="1"/>
  <c r="M81" i="1" s="1"/>
  <c r="N80" i="1" s="1"/>
  <c r="M87" i="1"/>
  <c r="M89" i="1" s="1"/>
  <c r="N88" i="1" s="1"/>
  <c r="M44" i="1"/>
  <c r="M59" i="1" s="1"/>
  <c r="L46" i="1"/>
  <c r="L50" i="1" s="1"/>
  <c r="G71" i="1"/>
  <c r="G70" i="1" s="1"/>
  <c r="L90" i="1"/>
  <c r="L93" i="1" s="1"/>
  <c r="M92" i="1" s="1"/>
  <c r="G84" i="1"/>
  <c r="G83" i="1" s="1"/>
  <c r="L74" i="1"/>
  <c r="L77" i="1" s="1"/>
  <c r="M76" i="1" s="1"/>
  <c r="E122" i="1"/>
  <c r="H93" i="7" l="1"/>
  <c r="H100" i="7" s="1"/>
  <c r="H141" i="7"/>
  <c r="I142" i="7"/>
  <c r="J143" i="7" s="1"/>
  <c r="J66" i="7" s="1"/>
  <c r="J67" i="7" s="1"/>
  <c r="I169" i="7"/>
  <c r="I170" i="7" s="1"/>
  <c r="F112" i="7"/>
  <c r="E174" i="7"/>
  <c r="F174" i="7" s="1"/>
  <c r="E138" i="7"/>
  <c r="F120" i="7"/>
  <c r="F111" i="7"/>
  <c r="E151" i="7"/>
  <c r="E137" i="7" s="1"/>
  <c r="E158" i="7"/>
  <c r="E157" i="7"/>
  <c r="G102" i="7"/>
  <c r="G103" i="7" s="1"/>
  <c r="G104" i="7" s="1"/>
  <c r="F109" i="7"/>
  <c r="F123" i="7" s="1"/>
  <c r="F150" i="7" s="1"/>
  <c r="F107" i="7"/>
  <c r="F108" i="7" s="1"/>
  <c r="G106" i="7" s="1"/>
  <c r="G85" i="7"/>
  <c r="H84" i="7" s="1"/>
  <c r="F116" i="7"/>
  <c r="F117" i="7" s="1"/>
  <c r="G117" i="7" s="1"/>
  <c r="P51" i="7"/>
  <c r="P52" i="7" s="1"/>
  <c r="Q77" i="7"/>
  <c r="Q80" i="7" s="1"/>
  <c r="R79" i="7" s="1"/>
  <c r="P73" i="7"/>
  <c r="P76" i="7" s="1"/>
  <c r="Q75" i="7" s="1"/>
  <c r="Q86" i="7"/>
  <c r="Q88" i="7" s="1"/>
  <c r="R87" i="7" s="1"/>
  <c r="R44" i="7"/>
  <c r="Q59" i="7"/>
  <c r="Q46" i="7"/>
  <c r="Q51" i="7" s="1"/>
  <c r="R89" i="7"/>
  <c r="R92" i="7" s="1"/>
  <c r="S91" i="7" s="1"/>
  <c r="I124" i="7"/>
  <c r="I93" i="7"/>
  <c r="I72" i="7"/>
  <c r="J71" i="7" s="1"/>
  <c r="J145" i="1"/>
  <c r="L6" i="4" s="1"/>
  <c r="G73" i="1"/>
  <c r="H72" i="1" s="1"/>
  <c r="H71" i="1" s="1"/>
  <c r="H70" i="1" s="1"/>
  <c r="G86" i="1"/>
  <c r="H85" i="1" s="1"/>
  <c r="H84" i="1" s="1"/>
  <c r="H83" i="1" s="1"/>
  <c r="G125" i="1"/>
  <c r="M90" i="1"/>
  <c r="M93" i="1" s="1"/>
  <c r="N92" i="1" s="1"/>
  <c r="N44" i="1"/>
  <c r="N59" i="1" s="1"/>
  <c r="M46" i="1"/>
  <c r="M50" i="1" s="1"/>
  <c r="L51" i="1"/>
  <c r="L52" i="1" s="1"/>
  <c r="G164" i="1"/>
  <c r="N87" i="1"/>
  <c r="N89" i="1" s="1"/>
  <c r="O88" i="1" s="1"/>
  <c r="M74" i="1"/>
  <c r="M77" i="1" s="1"/>
  <c r="N76" i="1" s="1"/>
  <c r="N78" i="1"/>
  <c r="N81" i="1" s="1"/>
  <c r="O80" i="1" s="1"/>
  <c r="I141" i="7" l="1"/>
  <c r="J169" i="7"/>
  <c r="J170" i="7" s="1"/>
  <c r="J142" i="7"/>
  <c r="K169" i="7" s="1"/>
  <c r="K170" i="7" s="1"/>
  <c r="H94" i="7"/>
  <c r="I94" i="7" s="1"/>
  <c r="H96" i="7"/>
  <c r="H95" i="7"/>
  <c r="E152" i="7"/>
  <c r="E153" i="7" s="1"/>
  <c r="E173" i="7"/>
  <c r="E175" i="7" s="1"/>
  <c r="G110" i="7"/>
  <c r="G112" i="7" s="1"/>
  <c r="G109" i="7"/>
  <c r="G123" i="7" s="1"/>
  <c r="G150" i="7" s="1"/>
  <c r="G116" i="7"/>
  <c r="G107" i="7"/>
  <c r="G108" i="7" s="1"/>
  <c r="H83" i="7"/>
  <c r="H82" i="7" s="1"/>
  <c r="H101" i="7" s="1"/>
  <c r="H105" i="7" s="1"/>
  <c r="F125" i="7"/>
  <c r="F136" i="7" s="1"/>
  <c r="S89" i="7"/>
  <c r="S92" i="7" s="1"/>
  <c r="T91" i="7" s="1"/>
  <c r="R86" i="7"/>
  <c r="R88" i="7" s="1"/>
  <c r="S87" i="7" s="1"/>
  <c r="R77" i="7"/>
  <c r="R80" i="7" s="1"/>
  <c r="S79" i="7" s="1"/>
  <c r="J70" i="7"/>
  <c r="J69" i="7" s="1"/>
  <c r="S44" i="7"/>
  <c r="R59" i="7"/>
  <c r="R46" i="7"/>
  <c r="R51" i="7" s="1"/>
  <c r="I100" i="7"/>
  <c r="I96" i="7"/>
  <c r="Q50" i="7"/>
  <c r="Q52" i="7" s="1"/>
  <c r="Q73" i="7"/>
  <c r="Q76" i="7" s="1"/>
  <c r="R75" i="7" s="1"/>
  <c r="K145" i="1"/>
  <c r="M6" i="4" s="1"/>
  <c r="N90" i="1"/>
  <c r="N93" i="1" s="1"/>
  <c r="O92" i="1" s="1"/>
  <c r="O78" i="1"/>
  <c r="O81" i="1" s="1"/>
  <c r="P80" i="1" s="1"/>
  <c r="H125" i="1"/>
  <c r="H73" i="1"/>
  <c r="I72" i="1" s="1"/>
  <c r="N74" i="1"/>
  <c r="N77" i="1" s="1"/>
  <c r="O76" i="1" s="1"/>
  <c r="O44" i="1"/>
  <c r="O59" i="1" s="1"/>
  <c r="N46" i="1"/>
  <c r="N51" i="1" s="1"/>
  <c r="M51" i="1"/>
  <c r="M52" i="1" s="1"/>
  <c r="H86" i="1"/>
  <c r="I85" i="1" s="1"/>
  <c r="O87" i="1"/>
  <c r="O89" i="1" s="1"/>
  <c r="P88" i="1" s="1"/>
  <c r="H164" i="1"/>
  <c r="K142" i="7" l="1"/>
  <c r="L142" i="7" s="1"/>
  <c r="K143" i="7"/>
  <c r="K66" i="7" s="1"/>
  <c r="K67" i="7" s="1"/>
  <c r="J141" i="7"/>
  <c r="I95" i="7"/>
  <c r="G111" i="7"/>
  <c r="H106" i="7"/>
  <c r="H107" i="7" s="1"/>
  <c r="H108" i="7" s="1"/>
  <c r="G120" i="7"/>
  <c r="G125" i="7" s="1"/>
  <c r="G136" i="7" s="1"/>
  <c r="G154" i="7" s="1"/>
  <c r="G114" i="7"/>
  <c r="G115" i="7" s="1"/>
  <c r="G174" i="7" s="1"/>
  <c r="E164" i="7"/>
  <c r="E166" i="7" s="1"/>
  <c r="E177" i="7" s="1"/>
  <c r="H85" i="7"/>
  <c r="I84" i="7" s="1"/>
  <c r="I83" i="7" s="1"/>
  <c r="I82" i="7" s="1"/>
  <c r="I101" i="7" s="1"/>
  <c r="I105" i="7" s="1"/>
  <c r="H102" i="7"/>
  <c r="H103" i="7" s="1"/>
  <c r="H104" i="7" s="1"/>
  <c r="F138" i="7"/>
  <c r="F154" i="7"/>
  <c r="S86" i="7"/>
  <c r="S88" i="7" s="1"/>
  <c r="T87" i="7" s="1"/>
  <c r="S77" i="7"/>
  <c r="S80" i="7" s="1"/>
  <c r="T79" i="7" s="1"/>
  <c r="T89" i="7"/>
  <c r="T92" i="7" s="1"/>
  <c r="U91" i="7" s="1"/>
  <c r="J124" i="7"/>
  <c r="J93" i="7"/>
  <c r="J163" i="7"/>
  <c r="R50" i="7"/>
  <c r="R52" i="7" s="1"/>
  <c r="J72" i="7"/>
  <c r="K71" i="7" s="1"/>
  <c r="R73" i="7"/>
  <c r="R76" i="7" s="1"/>
  <c r="S75" i="7" s="1"/>
  <c r="T44" i="7"/>
  <c r="S59" i="7"/>
  <c r="S46" i="7"/>
  <c r="S51" i="7" s="1"/>
  <c r="L145" i="1"/>
  <c r="N6" i="4" s="1"/>
  <c r="N50" i="1"/>
  <c r="N52" i="1" s="1"/>
  <c r="O90" i="1"/>
  <c r="O93" i="1" s="1"/>
  <c r="P92" i="1" s="1"/>
  <c r="O74" i="1"/>
  <c r="O77" i="1" s="1"/>
  <c r="P76" i="1" s="1"/>
  <c r="I71" i="1"/>
  <c r="I70" i="1" s="1"/>
  <c r="P78" i="1"/>
  <c r="P81" i="1" s="1"/>
  <c r="Q80" i="1" s="1"/>
  <c r="P87" i="1"/>
  <c r="P89" i="1" s="1"/>
  <c r="Q88" i="1" s="1"/>
  <c r="I84" i="1"/>
  <c r="I83" i="1" s="1"/>
  <c r="P44" i="1"/>
  <c r="P59" i="1" s="1"/>
  <c r="O46" i="1"/>
  <c r="O50" i="1" s="1"/>
  <c r="K141" i="7" l="1"/>
  <c r="L169" i="7"/>
  <c r="L170" i="7" s="1"/>
  <c r="L143" i="7"/>
  <c r="L66" i="7" s="1"/>
  <c r="L67" i="7" s="1"/>
  <c r="H110" i="7"/>
  <c r="H111" i="7" s="1"/>
  <c r="H109" i="7"/>
  <c r="H123" i="7" s="1"/>
  <c r="H150" i="7" s="1"/>
  <c r="G138" i="7"/>
  <c r="F151" i="7"/>
  <c r="F137" i="7" s="1"/>
  <c r="M142" i="7"/>
  <c r="M143" i="7"/>
  <c r="M66" i="7" s="1"/>
  <c r="M67" i="7" s="1"/>
  <c r="L141" i="7"/>
  <c r="M169" i="7"/>
  <c r="M170" i="7" s="1"/>
  <c r="I102" i="7"/>
  <c r="I85" i="7"/>
  <c r="J84" i="7" s="1"/>
  <c r="F155" i="7"/>
  <c r="F157" i="7"/>
  <c r="G157" i="7" s="1"/>
  <c r="T77" i="7"/>
  <c r="T80" i="7" s="1"/>
  <c r="U79" i="7" s="1"/>
  <c r="U89" i="7"/>
  <c r="U92" i="7" s="1"/>
  <c r="V91" i="7" s="1"/>
  <c r="T86" i="7"/>
  <c r="T88" i="7" s="1"/>
  <c r="U87" i="7" s="1"/>
  <c r="S50" i="7"/>
  <c r="S52" i="7" s="1"/>
  <c r="J96" i="7"/>
  <c r="J100" i="7"/>
  <c r="J95" i="7"/>
  <c r="J94" i="7"/>
  <c r="U44" i="7"/>
  <c r="T59" i="7"/>
  <c r="T46" i="7"/>
  <c r="T51" i="7" s="1"/>
  <c r="I106" i="7"/>
  <c r="G155" i="7"/>
  <c r="S73" i="7"/>
  <c r="S76" i="7" s="1"/>
  <c r="T75" i="7" s="1"/>
  <c r="K70" i="7"/>
  <c r="K69" i="7" s="1"/>
  <c r="M145" i="1"/>
  <c r="O6" i="4" s="1"/>
  <c r="Q78" i="1"/>
  <c r="Q81" i="1" s="1"/>
  <c r="R80" i="1" s="1"/>
  <c r="P90" i="1"/>
  <c r="P93" i="1" s="1"/>
  <c r="Q92" i="1" s="1"/>
  <c r="Q87" i="1"/>
  <c r="Q89" i="1" s="1"/>
  <c r="R88" i="1" s="1"/>
  <c r="P74" i="1"/>
  <c r="P77" i="1" s="1"/>
  <c r="Q76" i="1" s="1"/>
  <c r="Q44" i="1"/>
  <c r="Q59" i="1" s="1"/>
  <c r="P46" i="1"/>
  <c r="P50" i="1" s="1"/>
  <c r="O51" i="1"/>
  <c r="O52" i="1" s="1"/>
  <c r="I86" i="1"/>
  <c r="J85" i="1" s="1"/>
  <c r="I125" i="1"/>
  <c r="I73" i="1"/>
  <c r="J72" i="1" s="1"/>
  <c r="I164" i="1"/>
  <c r="H114" i="7" l="1"/>
  <c r="H115" i="7" s="1"/>
  <c r="H174" i="7" s="1"/>
  <c r="H120" i="7"/>
  <c r="H125" i="7" s="1"/>
  <c r="H136" i="7" s="1"/>
  <c r="H138" i="7" s="1"/>
  <c r="H112" i="7"/>
  <c r="F173" i="7"/>
  <c r="F175" i="7" s="1"/>
  <c r="F152" i="7"/>
  <c r="F153" i="7" s="1"/>
  <c r="J83" i="7"/>
  <c r="J82" i="7" s="1"/>
  <c r="J101" i="7" s="1"/>
  <c r="J105" i="7" s="1"/>
  <c r="I103" i="7"/>
  <c r="I104" i="7" s="1"/>
  <c r="I110" i="7"/>
  <c r="H16" i="4"/>
  <c r="F158" i="7"/>
  <c r="G158" i="7" s="1"/>
  <c r="N143" i="7"/>
  <c r="N66" i="7" s="1"/>
  <c r="N67" i="7" s="1"/>
  <c r="N142" i="7"/>
  <c r="N169" i="7"/>
  <c r="N170" i="7" s="1"/>
  <c r="M141" i="7"/>
  <c r="T50" i="7"/>
  <c r="T52" i="7" s="1"/>
  <c r="I16" i="4"/>
  <c r="V89" i="7"/>
  <c r="V92" i="7" s="1"/>
  <c r="W91" i="7" s="1"/>
  <c r="T73" i="7"/>
  <c r="T76" i="7" s="1"/>
  <c r="U75" i="7" s="1"/>
  <c r="U77" i="7"/>
  <c r="U80" i="7" s="1"/>
  <c r="V79" i="7" s="1"/>
  <c r="K124" i="7"/>
  <c r="K93" i="7"/>
  <c r="K95" i="7" s="1"/>
  <c r="K163" i="7"/>
  <c r="V44" i="7"/>
  <c r="U59" i="7"/>
  <c r="U46" i="7"/>
  <c r="U51" i="7" s="1"/>
  <c r="K72" i="7"/>
  <c r="L71" i="7" s="1"/>
  <c r="U86" i="7"/>
  <c r="U88" i="7" s="1"/>
  <c r="V87" i="7" s="1"/>
  <c r="I109" i="7"/>
  <c r="I123" i="7" s="1"/>
  <c r="I107" i="7"/>
  <c r="I108" i="7" s="1"/>
  <c r="N145" i="1"/>
  <c r="P6" i="4" s="1"/>
  <c r="Q74" i="1"/>
  <c r="Q77" i="1" s="1"/>
  <c r="R76" i="1" s="1"/>
  <c r="Q90" i="1"/>
  <c r="Q93" i="1" s="1"/>
  <c r="R92" i="1" s="1"/>
  <c r="R87" i="1"/>
  <c r="R89" i="1" s="1"/>
  <c r="S88" i="1" s="1"/>
  <c r="J71" i="1"/>
  <c r="J70" i="1" s="1"/>
  <c r="R44" i="1"/>
  <c r="R59" i="1" s="1"/>
  <c r="Q46" i="1"/>
  <c r="Q50" i="1" s="1"/>
  <c r="P51" i="1"/>
  <c r="P52" i="1" s="1"/>
  <c r="R78" i="1"/>
  <c r="R81" i="1" s="1"/>
  <c r="S80" i="1" s="1"/>
  <c r="J84" i="1"/>
  <c r="J83" i="1" s="1"/>
  <c r="H154" i="7" l="1"/>
  <c r="H155" i="7" s="1"/>
  <c r="J16" i="4" s="1"/>
  <c r="F164" i="7"/>
  <c r="J85" i="7"/>
  <c r="K84" i="7" s="1"/>
  <c r="K83" i="7" s="1"/>
  <c r="K82" i="7" s="1"/>
  <c r="K101" i="7" s="1"/>
  <c r="K105" i="7" s="1"/>
  <c r="O143" i="7"/>
  <c r="O66" i="7" s="1"/>
  <c r="O67" i="7" s="1"/>
  <c r="O169" i="7"/>
  <c r="O170" i="7" s="1"/>
  <c r="N141" i="7"/>
  <c r="O142" i="7"/>
  <c r="I114" i="7"/>
  <c r="I115" i="7" s="1"/>
  <c r="I174" i="7" s="1"/>
  <c r="I112" i="7"/>
  <c r="I120" i="7"/>
  <c r="I125" i="7" s="1"/>
  <c r="I136" i="7" s="1"/>
  <c r="I111" i="7"/>
  <c r="J102" i="7"/>
  <c r="U50" i="7"/>
  <c r="U52" i="7" s="1"/>
  <c r="V77" i="7"/>
  <c r="V80" i="7" s="1"/>
  <c r="W79" i="7" s="1"/>
  <c r="V86" i="7"/>
  <c r="V88" i="7" s="1"/>
  <c r="W87" i="7" s="1"/>
  <c r="W44" i="7"/>
  <c r="V59" i="7"/>
  <c r="V46" i="7"/>
  <c r="V51" i="7" s="1"/>
  <c r="W89" i="7"/>
  <c r="W92" i="7" s="1"/>
  <c r="X91" i="7" s="1"/>
  <c r="K100" i="7"/>
  <c r="K96" i="7"/>
  <c r="K94" i="7"/>
  <c r="L70" i="7"/>
  <c r="L69" i="7" s="1"/>
  <c r="U73" i="7"/>
  <c r="U76" i="7" s="1"/>
  <c r="V75" i="7" s="1"/>
  <c r="J106" i="7"/>
  <c r="I150" i="7"/>
  <c r="O145" i="1"/>
  <c r="Q6" i="4" s="1"/>
  <c r="S87" i="1"/>
  <c r="S89" i="1" s="1"/>
  <c r="T88" i="1" s="1"/>
  <c r="R90" i="1"/>
  <c r="R93" i="1" s="1"/>
  <c r="S92" i="1" s="1"/>
  <c r="R74" i="1"/>
  <c r="R77" i="1" s="1"/>
  <c r="S76" i="1" s="1"/>
  <c r="S44" i="1"/>
  <c r="S59" i="1" s="1"/>
  <c r="R46" i="1"/>
  <c r="R50" i="1" s="1"/>
  <c r="Q51" i="1"/>
  <c r="Q52" i="1" s="1"/>
  <c r="J125" i="1"/>
  <c r="J86" i="1"/>
  <c r="K85" i="1" s="1"/>
  <c r="J73" i="1"/>
  <c r="K72" i="1" s="1"/>
  <c r="S78" i="1"/>
  <c r="S81" i="1" s="1"/>
  <c r="T80" i="1" s="1"/>
  <c r="J164" i="1"/>
  <c r="H158" i="7" l="1"/>
  <c r="H157" i="7"/>
  <c r="F166" i="7"/>
  <c r="F177" i="7" s="1"/>
  <c r="G151" i="7"/>
  <c r="K85" i="7"/>
  <c r="L84" i="7" s="1"/>
  <c r="L83" i="7" s="1"/>
  <c r="L82" i="7" s="1"/>
  <c r="L101" i="7" s="1"/>
  <c r="P169" i="7"/>
  <c r="P170" i="7" s="1"/>
  <c r="O141" i="7"/>
  <c r="P142" i="7"/>
  <c r="P143" i="7"/>
  <c r="P66" i="7" s="1"/>
  <c r="P67" i="7" s="1"/>
  <c r="J103" i="7"/>
  <c r="J104" i="7" s="1"/>
  <c r="K102" i="7" s="1"/>
  <c r="K103" i="7" s="1"/>
  <c r="K104" i="7" s="1"/>
  <c r="J110" i="7"/>
  <c r="X89" i="7"/>
  <c r="X92" i="7" s="1"/>
  <c r="Y91" i="7" s="1"/>
  <c r="W86" i="7"/>
  <c r="W88" i="7" s="1"/>
  <c r="X87" i="7" s="1"/>
  <c r="W77" i="7"/>
  <c r="W80" i="7" s="1"/>
  <c r="X79" i="7" s="1"/>
  <c r="V73" i="7"/>
  <c r="V76" i="7" s="1"/>
  <c r="W75" i="7" s="1"/>
  <c r="I154" i="7"/>
  <c r="I155" i="7" s="1"/>
  <c r="I138" i="7"/>
  <c r="V50" i="7"/>
  <c r="V52" i="7" s="1"/>
  <c r="J109" i="7"/>
  <c r="J123" i="7" s="1"/>
  <c r="J107" i="7"/>
  <c r="J108" i="7" s="1"/>
  <c r="L124" i="7"/>
  <c r="L93" i="7"/>
  <c r="L72" i="7"/>
  <c r="M71" i="7" s="1"/>
  <c r="X44" i="7"/>
  <c r="W59" i="7"/>
  <c r="W46" i="7"/>
  <c r="W50" i="7" s="1"/>
  <c r="L163" i="7"/>
  <c r="P145" i="1"/>
  <c r="R6" i="4" s="1"/>
  <c r="S90" i="1"/>
  <c r="S93" i="1" s="1"/>
  <c r="T92" i="1" s="1"/>
  <c r="S74" i="1"/>
  <c r="S77" i="1" s="1"/>
  <c r="T76" i="1" s="1"/>
  <c r="T78" i="1"/>
  <c r="T81" i="1" s="1"/>
  <c r="U80" i="1" s="1"/>
  <c r="K71" i="1"/>
  <c r="K70" i="1" s="1"/>
  <c r="K164" i="1" s="1"/>
  <c r="T44" i="1"/>
  <c r="T59" i="1" s="1"/>
  <c r="S46" i="1"/>
  <c r="S50" i="1" s="1"/>
  <c r="K84" i="1"/>
  <c r="K83" i="1" s="1"/>
  <c r="R51" i="1"/>
  <c r="R52" i="1" s="1"/>
  <c r="T87" i="1"/>
  <c r="T89" i="1" s="1"/>
  <c r="U88" i="1" s="1"/>
  <c r="G152" i="7" l="1"/>
  <c r="G173" i="7"/>
  <c r="G175" i="7" s="1"/>
  <c r="G137" i="7"/>
  <c r="K110" i="7"/>
  <c r="K120" i="7" s="1"/>
  <c r="L102" i="7"/>
  <c r="L103" i="7" s="1"/>
  <c r="L104" i="7" s="1"/>
  <c r="L105" i="7"/>
  <c r="J111" i="7"/>
  <c r="J120" i="7"/>
  <c r="J125" i="7" s="1"/>
  <c r="J136" i="7" s="1"/>
  <c r="J138" i="7" s="1"/>
  <c r="J112" i="7"/>
  <c r="J114" i="7"/>
  <c r="J115" i="7" s="1"/>
  <c r="J174" i="7" s="1"/>
  <c r="Q142" i="7"/>
  <c r="Q169" i="7"/>
  <c r="Q170" i="7" s="1"/>
  <c r="P141" i="7"/>
  <c r="Q143" i="7"/>
  <c r="Q66" i="7" s="1"/>
  <c r="Q67" i="7" s="1"/>
  <c r="L85" i="7"/>
  <c r="M84" i="7" s="1"/>
  <c r="I158" i="7"/>
  <c r="K16" i="4"/>
  <c r="I157" i="7"/>
  <c r="W73" i="7"/>
  <c r="W76" i="7" s="1"/>
  <c r="X75" i="7" s="1"/>
  <c r="X77" i="7"/>
  <c r="X80" i="7" s="1"/>
  <c r="Y79" i="7" s="1"/>
  <c r="Y89" i="7"/>
  <c r="Y92" i="7" s="1"/>
  <c r="Z91" i="7" s="1"/>
  <c r="W51" i="7"/>
  <c r="W52" i="7" s="1"/>
  <c r="M70" i="7"/>
  <c r="M69" i="7" s="1"/>
  <c r="M163" i="7" s="1"/>
  <c r="L100" i="7"/>
  <c r="L96" i="7"/>
  <c r="K106" i="7"/>
  <c r="X86" i="7"/>
  <c r="X88" i="7" s="1"/>
  <c r="Y87" i="7" s="1"/>
  <c r="J150" i="7"/>
  <c r="L94" i="7"/>
  <c r="Y44" i="7"/>
  <c r="X59" i="7"/>
  <c r="X46" i="7"/>
  <c r="X50" i="7" s="1"/>
  <c r="L95" i="7"/>
  <c r="Q145" i="1"/>
  <c r="S6" i="4" s="1"/>
  <c r="U78" i="1"/>
  <c r="U81" i="1" s="1"/>
  <c r="V80" i="1" s="1"/>
  <c r="U87" i="1"/>
  <c r="U89" i="1" s="1"/>
  <c r="V88" i="1" s="1"/>
  <c r="T74" i="1"/>
  <c r="T77" i="1" s="1"/>
  <c r="U76" i="1" s="1"/>
  <c r="T90" i="1"/>
  <c r="T93" i="1" s="1"/>
  <c r="U92" i="1" s="1"/>
  <c r="K86" i="1"/>
  <c r="L85" i="1" s="1"/>
  <c r="U44" i="1"/>
  <c r="U59" i="1" s="1"/>
  <c r="T46" i="1"/>
  <c r="T50" i="1" s="1"/>
  <c r="S51" i="1"/>
  <c r="S52" i="1" s="1"/>
  <c r="K125" i="1"/>
  <c r="K73" i="1"/>
  <c r="L72" i="1" s="1"/>
  <c r="K111" i="7" l="1"/>
  <c r="K114" i="7"/>
  <c r="K115" i="7" s="1"/>
  <c r="K174" i="7" s="1"/>
  <c r="K112" i="7"/>
  <c r="G153" i="7"/>
  <c r="G164" i="7"/>
  <c r="M83" i="7"/>
  <c r="M82" i="7" s="1"/>
  <c r="M101" i="7" s="1"/>
  <c r="M105" i="7" s="1"/>
  <c r="L110" i="7"/>
  <c r="L112" i="7" s="1"/>
  <c r="R143" i="7"/>
  <c r="R66" i="7" s="1"/>
  <c r="R67" i="7" s="1"/>
  <c r="R142" i="7"/>
  <c r="R169" i="7"/>
  <c r="R170" i="7" s="1"/>
  <c r="Q141" i="7"/>
  <c r="Z89" i="7"/>
  <c r="Z92" i="7"/>
  <c r="AA91" i="7" s="1"/>
  <c r="Y77" i="7"/>
  <c r="Y80" i="7" s="1"/>
  <c r="Z79" i="7" s="1"/>
  <c r="X51" i="7"/>
  <c r="X52" i="7" s="1"/>
  <c r="Y86" i="7"/>
  <c r="Y88" i="7" s="1"/>
  <c r="Z87" i="7" s="1"/>
  <c r="Z44" i="7"/>
  <c r="Y59" i="7"/>
  <c r="Y46" i="7"/>
  <c r="Y50" i="7" s="1"/>
  <c r="M124" i="7"/>
  <c r="M93" i="7"/>
  <c r="M95" i="7" s="1"/>
  <c r="J154" i="7"/>
  <c r="M72" i="7"/>
  <c r="N71" i="7" s="1"/>
  <c r="K109" i="7"/>
  <c r="K123" i="7" s="1"/>
  <c r="K107" i="7"/>
  <c r="K108" i="7" s="1"/>
  <c r="X73" i="7"/>
  <c r="X76" i="7" s="1"/>
  <c r="Y75" i="7" s="1"/>
  <c r="R145" i="1"/>
  <c r="T6" i="4" s="1"/>
  <c r="U74" i="1"/>
  <c r="U77" i="1" s="1"/>
  <c r="V76" i="1" s="1"/>
  <c r="L84" i="1"/>
  <c r="L83" i="1" s="1"/>
  <c r="U90" i="1"/>
  <c r="U93" i="1" s="1"/>
  <c r="V92" i="1" s="1"/>
  <c r="L71" i="1"/>
  <c r="L70" i="1" s="1"/>
  <c r="V87" i="1"/>
  <c r="V89" i="1" s="1"/>
  <c r="W88" i="1" s="1"/>
  <c r="V78" i="1"/>
  <c r="V81" i="1" s="1"/>
  <c r="W80" i="1" s="1"/>
  <c r="V44" i="1"/>
  <c r="V59" i="1" s="1"/>
  <c r="U46" i="1"/>
  <c r="U51" i="1" s="1"/>
  <c r="T51" i="1"/>
  <c r="T52" i="1" s="1"/>
  <c r="G166" i="7" l="1"/>
  <c r="G177" i="7" s="1"/>
  <c r="H151" i="7"/>
  <c r="M85" i="7"/>
  <c r="N84" i="7" s="1"/>
  <c r="N83" i="7" s="1"/>
  <c r="N82" i="7" s="1"/>
  <c r="N101" i="7" s="1"/>
  <c r="N105" i="7" s="1"/>
  <c r="L114" i="7"/>
  <c r="L115" i="7" s="1"/>
  <c r="L174" i="7" s="1"/>
  <c r="L120" i="7"/>
  <c r="L111" i="7"/>
  <c r="S169" i="7"/>
  <c r="S170" i="7" s="1"/>
  <c r="S142" i="7"/>
  <c r="S143" i="7"/>
  <c r="S66" i="7" s="1"/>
  <c r="S67" i="7" s="1"/>
  <c r="R141" i="7"/>
  <c r="M102" i="7"/>
  <c r="M103" i="7" s="1"/>
  <c r="M104" i="7" s="1"/>
  <c r="M94" i="7"/>
  <c r="Z77" i="7"/>
  <c r="Z80" i="7" s="1"/>
  <c r="AA79" i="7" s="1"/>
  <c r="Z86" i="7"/>
  <c r="Z88" i="7" s="1"/>
  <c r="AA87" i="7" s="1"/>
  <c r="M100" i="7"/>
  <c r="M96" i="7"/>
  <c r="K150" i="7"/>
  <c r="K125" i="7"/>
  <c r="K136" i="7" s="1"/>
  <c r="Y51" i="7"/>
  <c r="Y52" i="7" s="1"/>
  <c r="Y73" i="7"/>
  <c r="Y76" i="7" s="1"/>
  <c r="Z75" i="7" s="1"/>
  <c r="L106" i="7"/>
  <c r="N70" i="7"/>
  <c r="N69" i="7" s="1"/>
  <c r="AA44" i="7"/>
  <c r="Z59" i="7"/>
  <c r="Z46" i="7"/>
  <c r="Z50" i="7" s="1"/>
  <c r="J155" i="7"/>
  <c r="J157" i="7"/>
  <c r="AA89" i="7"/>
  <c r="AA92" i="7" s="1"/>
  <c r="AB91" i="7" s="1"/>
  <c r="S145" i="1"/>
  <c r="U6" i="4" s="1"/>
  <c r="W87" i="1"/>
  <c r="W89" i="1" s="1"/>
  <c r="X88" i="1" s="1"/>
  <c r="V90" i="1"/>
  <c r="V93" i="1" s="1"/>
  <c r="W92" i="1" s="1"/>
  <c r="U50" i="1"/>
  <c r="U52" i="1" s="1"/>
  <c r="L86" i="1"/>
  <c r="M85" i="1" s="1"/>
  <c r="W44" i="1"/>
  <c r="W59" i="1" s="1"/>
  <c r="V46" i="1"/>
  <c r="V51" i="1" s="1"/>
  <c r="V74" i="1"/>
  <c r="V77" i="1" s="1"/>
  <c r="W76" i="1" s="1"/>
  <c r="W78" i="1"/>
  <c r="W81" i="1" s="1"/>
  <c r="X80" i="1" s="1"/>
  <c r="L125" i="1"/>
  <c r="L164" i="1"/>
  <c r="L73" i="1"/>
  <c r="M72" i="1" s="1"/>
  <c r="N85" i="7" l="1"/>
  <c r="O84" i="7" s="1"/>
  <c r="O83" i="7" s="1"/>
  <c r="O82" i="7" s="1"/>
  <c r="O101" i="7" s="1"/>
  <c r="O105" i="7" s="1"/>
  <c r="H137" i="7"/>
  <c r="H173" i="7"/>
  <c r="H175" i="7" s="1"/>
  <c r="H152" i="7"/>
  <c r="N102" i="7"/>
  <c r="N103" i="7" s="1"/>
  <c r="N104" i="7" s="1"/>
  <c r="M110" i="7"/>
  <c r="M111" i="7" s="1"/>
  <c r="T142" i="7"/>
  <c r="T169" i="7"/>
  <c r="T170" i="7" s="1"/>
  <c r="T143" i="7"/>
  <c r="T66" i="7" s="1"/>
  <c r="T67" i="7" s="1"/>
  <c r="S141" i="7"/>
  <c r="J158" i="7"/>
  <c r="L16" i="4"/>
  <c r="AB89" i="7"/>
  <c r="AB92" i="7" s="1"/>
  <c r="Z73" i="7"/>
  <c r="Z76" i="7" s="1"/>
  <c r="AA75" i="7" s="1"/>
  <c r="Z51" i="7"/>
  <c r="Z52" i="7" s="1"/>
  <c r="AA86" i="7"/>
  <c r="AA88" i="7" s="1"/>
  <c r="AB87" i="7" s="1"/>
  <c r="AA77" i="7"/>
  <c r="AA80" i="7" s="1"/>
  <c r="AB79" i="7" s="1"/>
  <c r="N72" i="7"/>
  <c r="O71" i="7" s="1"/>
  <c r="K154" i="7"/>
  <c r="K155" i="7" s="1"/>
  <c r="K138" i="7"/>
  <c r="AB44" i="7"/>
  <c r="AA59" i="7"/>
  <c r="AA46" i="7"/>
  <c r="AA51" i="7" s="1"/>
  <c r="N124" i="7"/>
  <c r="N93" i="7"/>
  <c r="N163" i="7"/>
  <c r="L109" i="7"/>
  <c r="L123" i="7" s="1"/>
  <c r="L107" i="7"/>
  <c r="L108" i="7" s="1"/>
  <c r="T145" i="1"/>
  <c r="V6" i="4" s="1"/>
  <c r="X87" i="1"/>
  <c r="X89" i="1" s="1"/>
  <c r="Y88" i="1" s="1"/>
  <c r="X78" i="1"/>
  <c r="X81" i="1" s="1"/>
  <c r="Y80" i="1" s="1"/>
  <c r="W90" i="1"/>
  <c r="W93" i="1" s="1"/>
  <c r="X92" i="1" s="1"/>
  <c r="W74" i="1"/>
  <c r="W77" i="1" s="1"/>
  <c r="X76" i="1" s="1"/>
  <c r="M71" i="1"/>
  <c r="M70" i="1" s="1"/>
  <c r="M164" i="1" s="1"/>
  <c r="V50" i="1"/>
  <c r="V52" i="1" s="1"/>
  <c r="X44" i="1"/>
  <c r="X59" i="1" s="1"/>
  <c r="W46" i="1"/>
  <c r="W50" i="1" s="1"/>
  <c r="M84" i="1"/>
  <c r="M83" i="1" s="1"/>
  <c r="O85" i="7" l="1"/>
  <c r="P84" i="7" s="1"/>
  <c r="P83" i="7" s="1"/>
  <c r="P82" i="7" s="1"/>
  <c r="P101" i="7" s="1"/>
  <c r="O102" i="7"/>
  <c r="O103" i="7" s="1"/>
  <c r="O104" i="7" s="1"/>
  <c r="M120" i="7"/>
  <c r="M112" i="7"/>
  <c r="M114" i="7"/>
  <c r="M115" i="7" s="1"/>
  <c r="M174" i="7" s="1"/>
  <c r="H153" i="7"/>
  <c r="H164" i="7"/>
  <c r="U142" i="7"/>
  <c r="U169" i="7"/>
  <c r="U170" i="7" s="1"/>
  <c r="U143" i="7"/>
  <c r="U66" i="7" s="1"/>
  <c r="U67" i="7" s="1"/>
  <c r="T141" i="7"/>
  <c r="K158" i="7"/>
  <c r="M16" i="4"/>
  <c r="AB77" i="7"/>
  <c r="AB80" i="7" s="1"/>
  <c r="AB86" i="7"/>
  <c r="AB88" i="7" s="1"/>
  <c r="AA73" i="7"/>
  <c r="AA76" i="7" s="1"/>
  <c r="AB75" i="7" s="1"/>
  <c r="L150" i="7"/>
  <c r="L125" i="7"/>
  <c r="L136" i="7" s="1"/>
  <c r="L138" i="7" s="1"/>
  <c r="N100" i="7"/>
  <c r="N110" i="7" s="1"/>
  <c r="N96" i="7"/>
  <c r="N95" i="7"/>
  <c r="N94" i="7"/>
  <c r="M106" i="7"/>
  <c r="AA50" i="7"/>
  <c r="AA52" i="7" s="1"/>
  <c r="O70" i="7"/>
  <c r="O69" i="7" s="1"/>
  <c r="O163" i="7" s="1"/>
  <c r="AB59" i="7"/>
  <c r="AB46" i="7"/>
  <c r="AB51" i="7" s="1"/>
  <c r="K157" i="7"/>
  <c r="U145" i="1"/>
  <c r="W6" i="4" s="1"/>
  <c r="X90" i="1"/>
  <c r="X93" i="1" s="1"/>
  <c r="Y92" i="1" s="1"/>
  <c r="Y78" i="1"/>
  <c r="Y81" i="1" s="1"/>
  <c r="Z80" i="1" s="1"/>
  <c r="Y87" i="1"/>
  <c r="Y89" i="1" s="1"/>
  <c r="Z88" i="1" s="1"/>
  <c r="X74" i="1"/>
  <c r="X77" i="1" s="1"/>
  <c r="Y76" i="1" s="1"/>
  <c r="M86" i="1"/>
  <c r="N85" i="1" s="1"/>
  <c r="M125" i="1"/>
  <c r="W51" i="1"/>
  <c r="W52" i="1" s="1"/>
  <c r="M73" i="1"/>
  <c r="N72" i="1" s="1"/>
  <c r="Y44" i="1"/>
  <c r="Y59" i="1" s="1"/>
  <c r="X46" i="1"/>
  <c r="X50" i="1" s="1"/>
  <c r="P102" i="7" l="1"/>
  <c r="P103" i="7" s="1"/>
  <c r="P104" i="7" s="1"/>
  <c r="I151" i="7"/>
  <c r="H166" i="7"/>
  <c r="H177" i="7" s="1"/>
  <c r="V142" i="7"/>
  <c r="V143" i="7"/>
  <c r="V66" i="7" s="1"/>
  <c r="V67" i="7" s="1"/>
  <c r="V169" i="7"/>
  <c r="V170" i="7" s="1"/>
  <c r="U141" i="7"/>
  <c r="O72" i="7"/>
  <c r="P71" i="7" s="1"/>
  <c r="P70" i="7" s="1"/>
  <c r="P69" i="7" s="1"/>
  <c r="P163" i="7" s="1"/>
  <c r="AB73" i="7"/>
  <c r="AB76" i="7" s="1"/>
  <c r="L154" i="7"/>
  <c r="L155" i="7" s="1"/>
  <c r="M109" i="7"/>
  <c r="M123" i="7" s="1"/>
  <c r="M107" i="7"/>
  <c r="M108" i="7" s="1"/>
  <c r="AB50" i="7"/>
  <c r="AB52" i="7" s="1"/>
  <c r="N114" i="7"/>
  <c r="N115" i="7" s="1"/>
  <c r="N174" i="7" s="1"/>
  <c r="N112" i="7"/>
  <c r="N120" i="7"/>
  <c r="N111" i="7"/>
  <c r="P105" i="7"/>
  <c r="P85" i="7"/>
  <c r="Q84" i="7" s="1"/>
  <c r="O124" i="7"/>
  <c r="O93" i="7"/>
  <c r="V145" i="1"/>
  <c r="X6" i="4" s="1"/>
  <c r="Z87" i="1"/>
  <c r="Z89" i="1" s="1"/>
  <c r="AA88" i="1" s="1"/>
  <c r="Z78" i="1"/>
  <c r="Z81" i="1" s="1"/>
  <c r="AA80" i="1" s="1"/>
  <c r="Y90" i="1"/>
  <c r="Y93" i="1" s="1"/>
  <c r="Z92" i="1" s="1"/>
  <c r="Y74" i="1"/>
  <c r="Y77" i="1" s="1"/>
  <c r="Z76" i="1" s="1"/>
  <c r="X51" i="1"/>
  <c r="X52" i="1" s="1"/>
  <c r="Z44" i="1"/>
  <c r="Z59" i="1" s="1"/>
  <c r="Y46" i="1"/>
  <c r="Y50" i="1" s="1"/>
  <c r="N71" i="1"/>
  <c r="N70" i="1" s="1"/>
  <c r="N84" i="1"/>
  <c r="N83" i="1" s="1"/>
  <c r="I137" i="7" l="1"/>
  <c r="I152" i="7"/>
  <c r="I173" i="7"/>
  <c r="I175" i="7" s="1"/>
  <c r="W143" i="7"/>
  <c r="W66" i="7" s="1"/>
  <c r="W67" i="7" s="1"/>
  <c r="W169" i="7"/>
  <c r="W170" i="7" s="1"/>
  <c r="W142" i="7"/>
  <c r="V141" i="7"/>
  <c r="L158" i="7"/>
  <c r="N16" i="4"/>
  <c r="N106" i="7"/>
  <c r="O96" i="7"/>
  <c r="O100" i="7"/>
  <c r="O110" i="7" s="1"/>
  <c r="M150" i="7"/>
  <c r="M125" i="7"/>
  <c r="M136" i="7" s="1"/>
  <c r="P124" i="7"/>
  <c r="P93" i="7"/>
  <c r="P72" i="7"/>
  <c r="Q71" i="7" s="1"/>
  <c r="Q83" i="7"/>
  <c r="Q82" i="7" s="1"/>
  <c r="Q101" i="7" s="1"/>
  <c r="Q102" i="7" s="1"/>
  <c r="O94" i="7"/>
  <c r="O95" i="7"/>
  <c r="L157" i="7"/>
  <c r="W145" i="1"/>
  <c r="Y6" i="4" s="1"/>
  <c r="AA78" i="1"/>
  <c r="AA81" i="1" s="1"/>
  <c r="AB80" i="1" s="1"/>
  <c r="AA87" i="1"/>
  <c r="AA89" i="1" s="1"/>
  <c r="AB88" i="1" s="1"/>
  <c r="Z74" i="1"/>
  <c r="Z77" i="1" s="1"/>
  <c r="AA76" i="1" s="1"/>
  <c r="N86" i="1"/>
  <c r="O85" i="1" s="1"/>
  <c r="Z90" i="1"/>
  <c r="Z93" i="1" s="1"/>
  <c r="AA92" i="1" s="1"/>
  <c r="N125" i="1"/>
  <c r="N164" i="1"/>
  <c r="N73" i="1"/>
  <c r="O72" i="1" s="1"/>
  <c r="Y51" i="1"/>
  <c r="Y52" i="1" s="1"/>
  <c r="AA44" i="1"/>
  <c r="AA59" i="1" s="1"/>
  <c r="Z46" i="1"/>
  <c r="Z50" i="1" s="1"/>
  <c r="I153" i="7" l="1"/>
  <c r="I164" i="7"/>
  <c r="W141" i="7"/>
  <c r="X143" i="7"/>
  <c r="X66" i="7" s="1"/>
  <c r="X67" i="7" s="1"/>
  <c r="X142" i="7"/>
  <c r="X169" i="7"/>
  <c r="X170" i="7" s="1"/>
  <c r="P100" i="7"/>
  <c r="P110" i="7" s="1"/>
  <c r="P96" i="7"/>
  <c r="Q70" i="7"/>
  <c r="Q69" i="7" s="1"/>
  <c r="P95" i="7"/>
  <c r="P94" i="7"/>
  <c r="O112" i="7"/>
  <c r="O114" i="7"/>
  <c r="O115" i="7" s="1"/>
  <c r="O174" i="7" s="1"/>
  <c r="O120" i="7"/>
  <c r="O111" i="7"/>
  <c r="M154" i="7"/>
  <c r="M155" i="7" s="1"/>
  <c r="M138" i="7"/>
  <c r="Q103" i="7"/>
  <c r="Q104" i="7" s="1"/>
  <c r="Q105" i="7"/>
  <c r="Q85" i="7"/>
  <c r="R84" i="7" s="1"/>
  <c r="N109" i="7"/>
  <c r="N123" i="7" s="1"/>
  <c r="N107" i="7"/>
  <c r="N108" i="7" s="1"/>
  <c r="X145" i="1"/>
  <c r="Z6" i="4" s="1"/>
  <c r="Z51" i="1"/>
  <c r="Z52" i="1" s="1"/>
  <c r="AB78" i="1"/>
  <c r="AB81" i="1" s="1"/>
  <c r="AB44" i="1"/>
  <c r="AB59" i="1" s="1"/>
  <c r="AA46" i="1"/>
  <c r="AA50" i="1" s="1"/>
  <c r="O84" i="1"/>
  <c r="O83" i="1" s="1"/>
  <c r="AA74" i="1"/>
  <c r="AA77" i="1" s="1"/>
  <c r="AB76" i="1" s="1"/>
  <c r="O71" i="1"/>
  <c r="O70" i="1" s="1"/>
  <c r="O164" i="1" s="1"/>
  <c r="AA90" i="1"/>
  <c r="AA93" i="1" s="1"/>
  <c r="AB92" i="1" s="1"/>
  <c r="AB87" i="1"/>
  <c r="AB89" i="1" s="1"/>
  <c r="I166" i="7" l="1"/>
  <c r="I177" i="7" s="1"/>
  <c r="J151" i="7"/>
  <c r="Y142" i="7"/>
  <c r="X141" i="7"/>
  <c r="Y169" i="7"/>
  <c r="Y170" i="7" s="1"/>
  <c r="Y143" i="7"/>
  <c r="Y66" i="7" s="1"/>
  <c r="Y67" i="7" s="1"/>
  <c r="M157" i="7"/>
  <c r="M158" i="7"/>
  <c r="O16" i="4"/>
  <c r="N150" i="7"/>
  <c r="N125" i="7"/>
  <c r="N136" i="7" s="1"/>
  <c r="N138" i="7" s="1"/>
  <c r="O106" i="7"/>
  <c r="Q124" i="7"/>
  <c r="Q93" i="7"/>
  <c r="Q163" i="7"/>
  <c r="P112" i="7"/>
  <c r="P120" i="7"/>
  <c r="P114" i="7"/>
  <c r="P115" i="7" s="1"/>
  <c r="P174" i="7" s="1"/>
  <c r="R83" i="7"/>
  <c r="R82" i="7" s="1"/>
  <c r="R101" i="7" s="1"/>
  <c r="R102" i="7" s="1"/>
  <c r="Q72" i="7"/>
  <c r="R71" i="7" s="1"/>
  <c r="P111" i="7"/>
  <c r="Y145" i="1"/>
  <c r="AA6" i="4" s="1"/>
  <c r="O73" i="1"/>
  <c r="P72" i="1" s="1"/>
  <c r="P71" i="1" s="1"/>
  <c r="P70" i="1" s="1"/>
  <c r="P164" i="1" s="1"/>
  <c r="AB90" i="1"/>
  <c r="AB93" i="1" s="1"/>
  <c r="AB74" i="1"/>
  <c r="AB77" i="1" s="1"/>
  <c r="O86" i="1"/>
  <c r="P85" i="1" s="1"/>
  <c r="AB46" i="1"/>
  <c r="AB50" i="1" s="1"/>
  <c r="AA51" i="1"/>
  <c r="AA52" i="1" s="1"/>
  <c r="O125" i="1"/>
  <c r="J137" i="7" l="1"/>
  <c r="J173" i="7"/>
  <c r="J175" i="7" s="1"/>
  <c r="J152" i="7"/>
  <c r="Z169" i="7"/>
  <c r="Z170" i="7" s="1"/>
  <c r="Z143" i="7"/>
  <c r="Z66" i="7" s="1"/>
  <c r="Z67" i="7" s="1"/>
  <c r="Z142" i="7"/>
  <c r="Y141" i="7"/>
  <c r="Q100" i="7"/>
  <c r="Q110" i="7" s="1"/>
  <c r="Q96" i="7"/>
  <c r="N154" i="7"/>
  <c r="R70" i="7"/>
  <c r="R69" i="7" s="1"/>
  <c r="Q95" i="7"/>
  <c r="R103" i="7"/>
  <c r="R104" i="7" s="1"/>
  <c r="R105" i="7"/>
  <c r="Q94" i="7"/>
  <c r="R85" i="7"/>
  <c r="S84" i="7" s="1"/>
  <c r="O109" i="7"/>
  <c r="O123" i="7" s="1"/>
  <c r="O107" i="7"/>
  <c r="O108" i="7" s="1"/>
  <c r="Z145" i="1"/>
  <c r="AB6" i="4" s="1"/>
  <c r="P125" i="1"/>
  <c r="AB51" i="1"/>
  <c r="AB52" i="1" s="1"/>
  <c r="P73" i="1"/>
  <c r="Q72" i="1" s="1"/>
  <c r="P84" i="1"/>
  <c r="P83" i="1" s="1"/>
  <c r="J153" i="7" l="1"/>
  <c r="J164" i="7"/>
  <c r="AA169" i="7"/>
  <c r="AA170" i="7" s="1"/>
  <c r="AA143" i="7"/>
  <c r="AA66" i="7" s="1"/>
  <c r="AA67" i="7" s="1"/>
  <c r="AA142" i="7"/>
  <c r="Z141" i="7"/>
  <c r="R124" i="7"/>
  <c r="R93" i="7"/>
  <c r="R94" i="7" s="1"/>
  <c r="R72" i="7"/>
  <c r="S71" i="7" s="1"/>
  <c r="N155" i="7"/>
  <c r="N157" i="7"/>
  <c r="R163" i="7"/>
  <c r="Q120" i="7"/>
  <c r="Q112" i="7"/>
  <c r="Q114" i="7"/>
  <c r="Q115" i="7" s="1"/>
  <c r="Q174" i="7" s="1"/>
  <c r="P106" i="7"/>
  <c r="O150" i="7"/>
  <c r="O125" i="7"/>
  <c r="O136" i="7" s="1"/>
  <c r="S83" i="7"/>
  <c r="S82" i="7" s="1"/>
  <c r="S101" i="7" s="1"/>
  <c r="S102" i="7" s="1"/>
  <c r="Q111" i="7"/>
  <c r="AA145" i="1"/>
  <c r="AC6" i="4" s="1"/>
  <c r="P86" i="1"/>
  <c r="Q85" i="1" s="1"/>
  <c r="Q71" i="1"/>
  <c r="Q70" i="1" s="1"/>
  <c r="K151" i="7" l="1"/>
  <c r="J166" i="7"/>
  <c r="J177" i="7" s="1"/>
  <c r="AB142" i="7"/>
  <c r="AB141" i="7" s="1"/>
  <c r="AB169" i="7"/>
  <c r="AB170" i="7" s="1"/>
  <c r="AB143" i="7"/>
  <c r="AB66" i="7" s="1"/>
  <c r="AB67" i="7" s="1"/>
  <c r="AA141" i="7"/>
  <c r="R95" i="7"/>
  <c r="N158" i="7"/>
  <c r="P16" i="4"/>
  <c r="S103" i="7"/>
  <c r="S104" i="7" s="1"/>
  <c r="S105" i="7"/>
  <c r="R100" i="7"/>
  <c r="R110" i="7" s="1"/>
  <c r="R96" i="7"/>
  <c r="S85" i="7"/>
  <c r="T84" i="7" s="1"/>
  <c r="O154" i="7"/>
  <c r="O155" i="7" s="1"/>
  <c r="O138" i="7"/>
  <c r="S70" i="7"/>
  <c r="S69" i="7" s="1"/>
  <c r="S163" i="7" s="1"/>
  <c r="P109" i="7"/>
  <c r="P123" i="7" s="1"/>
  <c r="P107" i="7"/>
  <c r="P108" i="7" s="1"/>
  <c r="AB145" i="1"/>
  <c r="AD6" i="4" s="1"/>
  <c r="Q73" i="1"/>
  <c r="R72" i="1" s="1"/>
  <c r="R71" i="1" s="1"/>
  <c r="R70" i="1" s="1"/>
  <c r="Q84" i="1"/>
  <c r="Q83" i="1" s="1"/>
  <c r="Q125" i="1"/>
  <c r="Q164" i="1"/>
  <c r="K152" i="7" l="1"/>
  <c r="K137" i="7"/>
  <c r="K173" i="7"/>
  <c r="K175" i="7" s="1"/>
  <c r="O158" i="7"/>
  <c r="Q16" i="4"/>
  <c r="O157" i="7"/>
  <c r="S72" i="7"/>
  <c r="T71" i="7" s="1"/>
  <c r="Q106" i="7"/>
  <c r="P150" i="7"/>
  <c r="P125" i="7"/>
  <c r="P136" i="7" s="1"/>
  <c r="P138" i="7" s="1"/>
  <c r="S124" i="7"/>
  <c r="S93" i="7"/>
  <c r="R120" i="7"/>
  <c r="R112" i="7"/>
  <c r="R114" i="7"/>
  <c r="R115" i="7" s="1"/>
  <c r="R174" i="7" s="1"/>
  <c r="R111" i="7"/>
  <c r="T83" i="7"/>
  <c r="T82" i="7" s="1"/>
  <c r="T101" i="7" s="1"/>
  <c r="Q86" i="1"/>
  <c r="R85" i="1" s="1"/>
  <c r="R125" i="1"/>
  <c r="R73" i="1"/>
  <c r="S72" i="1" s="1"/>
  <c r="R164" i="1"/>
  <c r="K153" i="7" l="1"/>
  <c r="K164" i="7"/>
  <c r="T105" i="7"/>
  <c r="T102" i="7"/>
  <c r="T103" i="7" s="1"/>
  <c r="T104" i="7" s="1"/>
  <c r="P154" i="7"/>
  <c r="Q109" i="7"/>
  <c r="Q123" i="7" s="1"/>
  <c r="Q107" i="7"/>
  <c r="Q108" i="7" s="1"/>
  <c r="T85" i="7"/>
  <c r="U84" i="7" s="1"/>
  <c r="T70" i="7"/>
  <c r="T69" i="7" s="1"/>
  <c r="S96" i="7"/>
  <c r="S100" i="7"/>
  <c r="S110" i="7" s="1"/>
  <c r="S111" i="7" s="1"/>
  <c r="S94" i="7"/>
  <c r="S95" i="7"/>
  <c r="C153" i="1"/>
  <c r="R84" i="1"/>
  <c r="R83" i="1" s="1"/>
  <c r="S71" i="1"/>
  <c r="S70" i="1" s="1"/>
  <c r="K166" i="7" l="1"/>
  <c r="K177" i="7" s="1"/>
  <c r="L151" i="7"/>
  <c r="R106" i="7"/>
  <c r="P155" i="7"/>
  <c r="P157" i="7"/>
  <c r="T124" i="7"/>
  <c r="T93" i="7"/>
  <c r="T163" i="7"/>
  <c r="T72" i="7"/>
  <c r="U71" i="7" s="1"/>
  <c r="U83" i="7"/>
  <c r="U82" i="7" s="1"/>
  <c r="U101" i="7" s="1"/>
  <c r="Q150" i="7"/>
  <c r="Q125" i="7"/>
  <c r="Q136" i="7" s="1"/>
  <c r="S120" i="7"/>
  <c r="S112" i="7"/>
  <c r="S114" i="7"/>
  <c r="S115" i="7" s="1"/>
  <c r="S174" i="7" s="1"/>
  <c r="C165" i="1"/>
  <c r="C154" i="1"/>
  <c r="S125" i="1"/>
  <c r="S73" i="1"/>
  <c r="T72" i="1" s="1"/>
  <c r="S164" i="1"/>
  <c r="R86" i="1"/>
  <c r="S85" i="1" s="1"/>
  <c r="L152" i="7" l="1"/>
  <c r="L137" i="7"/>
  <c r="L173" i="7"/>
  <c r="L175" i="7" s="1"/>
  <c r="P158" i="7"/>
  <c r="R16" i="4"/>
  <c r="U85" i="7"/>
  <c r="V84" i="7" s="1"/>
  <c r="T96" i="7"/>
  <c r="T100" i="7"/>
  <c r="T110" i="7" s="1"/>
  <c r="R109" i="7"/>
  <c r="R123" i="7" s="1"/>
  <c r="R107" i="7"/>
  <c r="R108" i="7" s="1"/>
  <c r="U105" i="7"/>
  <c r="U70" i="7"/>
  <c r="U69" i="7" s="1"/>
  <c r="U163" i="7" s="1"/>
  <c r="T94" i="7"/>
  <c r="T95" i="7"/>
  <c r="Q154" i="7"/>
  <c r="Q155" i="7" s="1"/>
  <c r="Q138" i="7"/>
  <c r="U102" i="7"/>
  <c r="U103" i="7" s="1"/>
  <c r="U104" i="7" s="1"/>
  <c r="C167" i="1"/>
  <c r="C178" i="1" s="1"/>
  <c r="S84" i="1"/>
  <c r="S83" i="1" s="1"/>
  <c r="T71" i="1"/>
  <c r="T70" i="1" s="1"/>
  <c r="L153" i="7" l="1"/>
  <c r="L164" i="7"/>
  <c r="Q158" i="7"/>
  <c r="S16" i="4"/>
  <c r="Q157" i="7"/>
  <c r="T114" i="7"/>
  <c r="T115" i="7" s="1"/>
  <c r="T174" i="7" s="1"/>
  <c r="T112" i="7"/>
  <c r="T120" i="7"/>
  <c r="T111" i="7"/>
  <c r="R150" i="7"/>
  <c r="R125" i="7"/>
  <c r="R136" i="7" s="1"/>
  <c r="U124" i="7"/>
  <c r="U93" i="7"/>
  <c r="U72" i="7"/>
  <c r="V71" i="7" s="1"/>
  <c r="S106" i="7"/>
  <c r="V83" i="7"/>
  <c r="V82" i="7" s="1"/>
  <c r="V101" i="7" s="1"/>
  <c r="T73" i="1"/>
  <c r="U72" i="1" s="1"/>
  <c r="T125" i="1"/>
  <c r="T164" i="1"/>
  <c r="S86" i="1"/>
  <c r="T85" i="1" s="1"/>
  <c r="L166" i="7" l="1"/>
  <c r="L177" i="7" s="1"/>
  <c r="M151" i="7"/>
  <c r="V105" i="7"/>
  <c r="V85" i="7"/>
  <c r="W84" i="7" s="1"/>
  <c r="U96" i="7"/>
  <c r="U100" i="7"/>
  <c r="U110" i="7" s="1"/>
  <c r="U111" i="7" s="1"/>
  <c r="R154" i="7"/>
  <c r="U94" i="7"/>
  <c r="U95" i="7"/>
  <c r="R138" i="7"/>
  <c r="V102" i="7"/>
  <c r="V103" i="7" s="1"/>
  <c r="V104" i="7" s="1"/>
  <c r="S109" i="7"/>
  <c r="S123" i="7" s="1"/>
  <c r="S107" i="7"/>
  <c r="S108" i="7" s="1"/>
  <c r="V70" i="7"/>
  <c r="V69" i="7" s="1"/>
  <c r="D123" i="1"/>
  <c r="U71" i="1"/>
  <c r="U70" i="1" s="1"/>
  <c r="T84" i="1"/>
  <c r="T83" i="1" s="1"/>
  <c r="M152" i="7" l="1"/>
  <c r="M173" i="7"/>
  <c r="M175" i="7" s="1"/>
  <c r="M137" i="7"/>
  <c r="U114" i="7"/>
  <c r="U115" i="7" s="1"/>
  <c r="U174" i="7" s="1"/>
  <c r="U112" i="7"/>
  <c r="U120" i="7"/>
  <c r="V124" i="7"/>
  <c r="V93" i="7"/>
  <c r="V94" i="7" s="1"/>
  <c r="V163" i="7"/>
  <c r="R155" i="7"/>
  <c r="R157" i="7"/>
  <c r="V72" i="7"/>
  <c r="W71" i="7" s="1"/>
  <c r="T106" i="7"/>
  <c r="S150" i="7"/>
  <c r="S125" i="7"/>
  <c r="S136" i="7" s="1"/>
  <c r="S138" i="7" s="1"/>
  <c r="W83" i="7"/>
  <c r="W82" i="7" s="1"/>
  <c r="W101" i="7" s="1"/>
  <c r="D106" i="1"/>
  <c r="D103" i="1"/>
  <c r="U125" i="1"/>
  <c r="U73" i="1"/>
  <c r="V72" i="1" s="1"/>
  <c r="T86" i="1"/>
  <c r="U85" i="1" s="1"/>
  <c r="U164" i="1"/>
  <c r="M164" i="7" l="1"/>
  <c r="M153" i="7"/>
  <c r="V95" i="7"/>
  <c r="R158" i="7"/>
  <c r="T16" i="4"/>
  <c r="V96" i="7"/>
  <c r="V100" i="7"/>
  <c r="V110" i="7" s="1"/>
  <c r="W105" i="7"/>
  <c r="S154" i="7"/>
  <c r="S155" i="7" s="1"/>
  <c r="U16" i="4" s="1"/>
  <c r="T109" i="7"/>
  <c r="T123" i="7" s="1"/>
  <c r="T107" i="7"/>
  <c r="T108" i="7" s="1"/>
  <c r="W70" i="7"/>
  <c r="W69" i="7" s="1"/>
  <c r="W102" i="7"/>
  <c r="W103" i="7" s="1"/>
  <c r="W104" i="7" s="1"/>
  <c r="W85" i="7"/>
  <c r="X84" i="7" s="1"/>
  <c r="D104" i="1"/>
  <c r="D111" i="1"/>
  <c r="D107" i="1"/>
  <c r="V71" i="1"/>
  <c r="V70" i="1" s="1"/>
  <c r="U84" i="1"/>
  <c r="U83" i="1" s="1"/>
  <c r="M166" i="7" l="1"/>
  <c r="M177" i="7" s="1"/>
  <c r="N151" i="7"/>
  <c r="S158" i="7"/>
  <c r="W124" i="7"/>
  <c r="W93" i="7"/>
  <c r="W72" i="7"/>
  <c r="X71" i="7" s="1"/>
  <c r="U106" i="7"/>
  <c r="X83" i="7"/>
  <c r="X82" i="7" s="1"/>
  <c r="X101" i="7" s="1"/>
  <c r="X102" i="7" s="1"/>
  <c r="T150" i="7"/>
  <c r="T125" i="7"/>
  <c r="T136" i="7" s="1"/>
  <c r="V114" i="7"/>
  <c r="V115" i="7" s="1"/>
  <c r="V174" i="7" s="1"/>
  <c r="V112" i="7"/>
  <c r="V120" i="7"/>
  <c r="V111" i="7"/>
  <c r="W163" i="7"/>
  <c r="S157" i="7"/>
  <c r="D121" i="1"/>
  <c r="D110" i="1"/>
  <c r="D105" i="1"/>
  <c r="D113" i="1"/>
  <c r="D112" i="1"/>
  <c r="D115" i="1"/>
  <c r="D108" i="1"/>
  <c r="U86" i="1"/>
  <c r="V85" i="1" s="1"/>
  <c r="V125" i="1"/>
  <c r="V73" i="1"/>
  <c r="W72" i="1" s="1"/>
  <c r="V164" i="1"/>
  <c r="N173" i="7" l="1"/>
  <c r="N175" i="7" s="1"/>
  <c r="N137" i="7"/>
  <c r="N152" i="7"/>
  <c r="X85" i="7"/>
  <c r="Y84" i="7" s="1"/>
  <c r="Y83" i="7" s="1"/>
  <c r="Y82" i="7" s="1"/>
  <c r="Y101" i="7" s="1"/>
  <c r="X105" i="7"/>
  <c r="X103" i="7"/>
  <c r="X104" i="7" s="1"/>
  <c r="U109" i="7"/>
  <c r="U123" i="7" s="1"/>
  <c r="U107" i="7"/>
  <c r="U108" i="7" s="1"/>
  <c r="X70" i="7"/>
  <c r="X69" i="7" s="1"/>
  <c r="W96" i="7"/>
  <c r="W100" i="7"/>
  <c r="W110" i="7" s="1"/>
  <c r="W111" i="7" s="1"/>
  <c r="W94" i="7"/>
  <c r="W95" i="7"/>
  <c r="T154" i="7"/>
  <c r="T155" i="7" s="1"/>
  <c r="T138" i="7"/>
  <c r="D109" i="1"/>
  <c r="D124" i="1"/>
  <c r="D116" i="1"/>
  <c r="W71" i="1"/>
  <c r="W70" i="1" s="1"/>
  <c r="V84" i="1"/>
  <c r="V83" i="1" s="1"/>
  <c r="N153" i="7" l="1"/>
  <c r="N164" i="7"/>
  <c r="T158" i="7"/>
  <c r="V16" i="4"/>
  <c r="U150" i="7"/>
  <c r="U125" i="7"/>
  <c r="U136" i="7" s="1"/>
  <c r="U138" i="7" s="1"/>
  <c r="V106" i="7"/>
  <c r="T157" i="7"/>
  <c r="Y105" i="7"/>
  <c r="X124" i="7"/>
  <c r="X93" i="7"/>
  <c r="X72" i="7"/>
  <c r="Y71" i="7" s="1"/>
  <c r="Y102" i="7"/>
  <c r="Y103" i="7" s="1"/>
  <c r="Y104" i="7" s="1"/>
  <c r="X163" i="7"/>
  <c r="W114" i="7"/>
  <c r="W115" i="7" s="1"/>
  <c r="W174" i="7" s="1"/>
  <c r="W120" i="7"/>
  <c r="W112" i="7"/>
  <c r="Y85" i="7"/>
  <c r="Z84" i="7" s="1"/>
  <c r="D175" i="1"/>
  <c r="D151" i="1"/>
  <c r="D126" i="1"/>
  <c r="D117" i="1"/>
  <c r="W125" i="1"/>
  <c r="W73" i="1"/>
  <c r="X72" i="1" s="1"/>
  <c r="W164" i="1"/>
  <c r="V86" i="1"/>
  <c r="W85" i="1" s="1"/>
  <c r="N166" i="7" l="1"/>
  <c r="N177" i="7" s="1"/>
  <c r="O151" i="7"/>
  <c r="X96" i="7"/>
  <c r="X100" i="7"/>
  <c r="X110" i="7" s="1"/>
  <c r="X95" i="7"/>
  <c r="Y70" i="7"/>
  <c r="Y69" i="7" s="1"/>
  <c r="Z83" i="7"/>
  <c r="Z82" i="7" s="1"/>
  <c r="Z101" i="7" s="1"/>
  <c r="X94" i="7"/>
  <c r="V109" i="7"/>
  <c r="V123" i="7" s="1"/>
  <c r="V107" i="7"/>
  <c r="V108" i="7" s="1"/>
  <c r="U154" i="7"/>
  <c r="U155" i="7" s="1"/>
  <c r="D118" i="1"/>
  <c r="D137" i="1"/>
  <c r="W84" i="1"/>
  <c r="W83" i="1" s="1"/>
  <c r="X71" i="1"/>
  <c r="X70" i="1" s="1"/>
  <c r="O173" i="7" l="1"/>
  <c r="O175" i="7" s="1"/>
  <c r="O152" i="7"/>
  <c r="O137" i="7"/>
  <c r="U158" i="7"/>
  <c r="W16" i="4"/>
  <c r="U157" i="7"/>
  <c r="Z105" i="7"/>
  <c r="Z85" i="7"/>
  <c r="AA84" i="7" s="1"/>
  <c r="Y124" i="7"/>
  <c r="Y93" i="7"/>
  <c r="Y94" i="7" s="1"/>
  <c r="Y72" i="7"/>
  <c r="Z71" i="7" s="1"/>
  <c r="X114" i="7"/>
  <c r="X115" i="7" s="1"/>
  <c r="X174" i="7" s="1"/>
  <c r="X112" i="7"/>
  <c r="X120" i="7"/>
  <c r="X111" i="7"/>
  <c r="W106" i="7"/>
  <c r="Y163" i="7"/>
  <c r="V150" i="7"/>
  <c r="V125" i="7"/>
  <c r="V136" i="7" s="1"/>
  <c r="Z102" i="7"/>
  <c r="Z103" i="7" s="1"/>
  <c r="Z104" i="7" s="1"/>
  <c r="D155" i="1"/>
  <c r="D152" i="1"/>
  <c r="D139" i="1"/>
  <c r="X125" i="1"/>
  <c r="X73" i="1"/>
  <c r="Y72" i="1" s="1"/>
  <c r="X164" i="1"/>
  <c r="W86" i="1"/>
  <c r="X85" i="1" s="1"/>
  <c r="O153" i="7" l="1"/>
  <c r="O164" i="7"/>
  <c r="Y95" i="7"/>
  <c r="W109" i="7"/>
  <c r="W123" i="7" s="1"/>
  <c r="W107" i="7"/>
  <c r="W108" i="7" s="1"/>
  <c r="V154" i="7"/>
  <c r="V138" i="7"/>
  <c r="Z70" i="7"/>
  <c r="Z69" i="7" s="1"/>
  <c r="Y96" i="7"/>
  <c r="Y100" i="7"/>
  <c r="Y110" i="7" s="1"/>
  <c r="AA83" i="7"/>
  <c r="AA82" i="7" s="1"/>
  <c r="AA101" i="7" s="1"/>
  <c r="D153" i="1"/>
  <c r="D138" i="1"/>
  <c r="D174" i="1"/>
  <c r="D158" i="1"/>
  <c r="D156" i="1"/>
  <c r="Y71" i="1"/>
  <c r="Y70" i="1" s="1"/>
  <c r="Y164" i="1" s="1"/>
  <c r="X84" i="1"/>
  <c r="X83" i="1" s="1"/>
  <c r="O166" i="7" l="1"/>
  <c r="O177" i="7" s="1"/>
  <c r="P151" i="7"/>
  <c r="Z124" i="7"/>
  <c r="Z93" i="7"/>
  <c r="Y114" i="7"/>
  <c r="Y115" i="7" s="1"/>
  <c r="Y174" i="7" s="1"/>
  <c r="Y112" i="7"/>
  <c r="Y120" i="7"/>
  <c r="Z72" i="7"/>
  <c r="AA71" i="7" s="1"/>
  <c r="V155" i="7"/>
  <c r="V157" i="7"/>
  <c r="Z163" i="7"/>
  <c r="AA105" i="7"/>
  <c r="AA102" i="7"/>
  <c r="AA103" i="7" s="1"/>
  <c r="AA104" i="7" s="1"/>
  <c r="X106" i="7"/>
  <c r="W150" i="7"/>
  <c r="W125" i="7"/>
  <c r="W136" i="7" s="1"/>
  <c r="W138" i="7" s="1"/>
  <c r="Y111" i="7"/>
  <c r="AA85" i="7"/>
  <c r="AB84" i="7" s="1"/>
  <c r="F3" i="4"/>
  <c r="D159" i="1"/>
  <c r="D176" i="1"/>
  <c r="D165" i="1"/>
  <c r="D154" i="1"/>
  <c r="E123" i="1"/>
  <c r="E101" i="1"/>
  <c r="E102" i="1"/>
  <c r="Y125" i="1"/>
  <c r="Y73" i="1"/>
  <c r="Z72" i="1" s="1"/>
  <c r="X86" i="1"/>
  <c r="Y85" i="1" s="1"/>
  <c r="P137" i="7" l="1"/>
  <c r="P173" i="7"/>
  <c r="P175" i="7" s="1"/>
  <c r="P152" i="7"/>
  <c r="V158" i="7"/>
  <c r="X16" i="4"/>
  <c r="AA70" i="7"/>
  <c r="AA69" i="7" s="1"/>
  <c r="AA163" i="7" s="1"/>
  <c r="X109" i="7"/>
  <c r="X123" i="7" s="1"/>
  <c r="X107" i="7"/>
  <c r="X108" i="7" s="1"/>
  <c r="Z100" i="7"/>
  <c r="Z110" i="7" s="1"/>
  <c r="Z111" i="7" s="1"/>
  <c r="Z96" i="7"/>
  <c r="Z95" i="7"/>
  <c r="Z94" i="7"/>
  <c r="AB83" i="7"/>
  <c r="AB82" i="7" s="1"/>
  <c r="AB101" i="7" s="1"/>
  <c r="AB102" i="7" s="1"/>
  <c r="W154" i="7"/>
  <c r="W155" i="7" s="1"/>
  <c r="D167" i="1"/>
  <c r="E106" i="1"/>
  <c r="E103" i="1"/>
  <c r="Z71" i="1"/>
  <c r="Z70" i="1" s="1"/>
  <c r="Y84" i="1"/>
  <c r="Y83" i="1" s="1"/>
  <c r="P153" i="7" l="1"/>
  <c r="P164" i="7"/>
  <c r="W158" i="7"/>
  <c r="Y16" i="4"/>
  <c r="Y106" i="7"/>
  <c r="AA72" i="7"/>
  <c r="AB71" i="7" s="1"/>
  <c r="Z120" i="7"/>
  <c r="Z114" i="7"/>
  <c r="Z115" i="7" s="1"/>
  <c r="Z174" i="7" s="1"/>
  <c r="Z112" i="7"/>
  <c r="AB85" i="7"/>
  <c r="X150" i="7"/>
  <c r="X125" i="7"/>
  <c r="X136" i="7" s="1"/>
  <c r="AA124" i="7"/>
  <c r="AA93" i="7"/>
  <c r="AA94" i="7" s="1"/>
  <c r="AB105" i="7"/>
  <c r="AB103" i="7"/>
  <c r="AB104" i="7" s="1"/>
  <c r="W157" i="7"/>
  <c r="E111" i="1"/>
  <c r="D178" i="1"/>
  <c r="E104" i="1"/>
  <c r="E107" i="1"/>
  <c r="Y86" i="1"/>
  <c r="Z85" i="1" s="1"/>
  <c r="Z125" i="1"/>
  <c r="Z164" i="1"/>
  <c r="Z73" i="1"/>
  <c r="AA72" i="1" s="1"/>
  <c r="E113" i="1" l="1"/>
  <c r="P166" i="7"/>
  <c r="P177" i="7" s="1"/>
  <c r="Q151" i="7"/>
  <c r="E112" i="1"/>
  <c r="E121" i="1"/>
  <c r="E115" i="1"/>
  <c r="E116" i="1" s="1"/>
  <c r="AA95" i="7"/>
  <c r="AA100" i="7"/>
  <c r="AA110" i="7" s="1"/>
  <c r="AA96" i="7"/>
  <c r="AB70" i="7"/>
  <c r="AB69" i="7" s="1"/>
  <c r="Y109" i="7"/>
  <c r="Y123" i="7" s="1"/>
  <c r="Y107" i="7"/>
  <c r="Y108" i="7" s="1"/>
  <c r="X154" i="7"/>
  <c r="X155" i="7" s="1"/>
  <c r="X138" i="7"/>
  <c r="E110" i="1"/>
  <c r="E105" i="1"/>
  <c r="E108" i="1"/>
  <c r="Z84" i="1"/>
  <c r="Z83" i="1" s="1"/>
  <c r="AA71" i="1"/>
  <c r="AA70" i="1" s="1"/>
  <c r="AA164" i="1" s="1"/>
  <c r="Q137" i="7" l="1"/>
  <c r="Q152" i="7"/>
  <c r="Q173" i="7"/>
  <c r="Q175" i="7" s="1"/>
  <c r="X158" i="7"/>
  <c r="Z16" i="4"/>
  <c r="Z106" i="7"/>
  <c r="X157" i="7"/>
  <c r="AB124" i="7"/>
  <c r="AB93" i="7"/>
  <c r="AB163" i="7"/>
  <c r="AA120" i="7"/>
  <c r="AA112" i="7"/>
  <c r="AA114" i="7"/>
  <c r="AA115" i="7" s="1"/>
  <c r="AA174" i="7" s="1"/>
  <c r="AA111" i="7"/>
  <c r="Y150" i="7"/>
  <c r="Y125" i="7"/>
  <c r="Y136" i="7" s="1"/>
  <c r="Y138" i="7" s="1"/>
  <c r="AB72" i="7"/>
  <c r="E109" i="1"/>
  <c r="E117" i="1"/>
  <c r="E124" i="1"/>
  <c r="E175" i="1"/>
  <c r="AA125" i="1"/>
  <c r="AA73" i="1"/>
  <c r="AB72" i="1" s="1"/>
  <c r="Z86" i="1"/>
  <c r="AA85" i="1" s="1"/>
  <c r="Q164" i="7" l="1"/>
  <c r="Q153" i="7"/>
  <c r="Z109" i="7"/>
  <c r="Z123" i="7" s="1"/>
  <c r="Z107" i="7"/>
  <c r="Z108" i="7" s="1"/>
  <c r="AB100" i="7"/>
  <c r="AB110" i="7" s="1"/>
  <c r="AB96" i="7"/>
  <c r="AB95" i="7"/>
  <c r="AB94" i="7"/>
  <c r="Y154" i="7"/>
  <c r="Y155" i="7" s="1"/>
  <c r="E118" i="1"/>
  <c r="E151" i="1"/>
  <c r="E126" i="1"/>
  <c r="AB71" i="1"/>
  <c r="AB70" i="1" s="1"/>
  <c r="AA84" i="1"/>
  <c r="AA83" i="1" s="1"/>
  <c r="Q166" i="7" l="1"/>
  <c r="Q177" i="7" s="1"/>
  <c r="R151" i="7"/>
  <c r="Y158" i="7"/>
  <c r="AA16" i="4"/>
  <c r="Y157" i="7"/>
  <c r="AB112" i="7"/>
  <c r="AB120" i="7"/>
  <c r="AB114" i="7"/>
  <c r="AB115" i="7" s="1"/>
  <c r="AB174" i="7" s="1"/>
  <c r="AA106" i="7"/>
  <c r="AB111" i="7"/>
  <c r="Z150" i="7"/>
  <c r="Z125" i="7"/>
  <c r="Z136" i="7" s="1"/>
  <c r="E137" i="1"/>
  <c r="AA86" i="1"/>
  <c r="AB85" i="1" s="1"/>
  <c r="AB125" i="1"/>
  <c r="AB164" i="1"/>
  <c r="AB73" i="1"/>
  <c r="R137" i="7" l="1"/>
  <c r="R152" i="7"/>
  <c r="R173" i="7"/>
  <c r="R175" i="7" s="1"/>
  <c r="Z154" i="7"/>
  <c r="Z155" i="7" s="1"/>
  <c r="Z138" i="7"/>
  <c r="AA109" i="7"/>
  <c r="AA123" i="7" s="1"/>
  <c r="AA107" i="7"/>
  <c r="AA108" i="7" s="1"/>
  <c r="E155" i="1"/>
  <c r="E152" i="1"/>
  <c r="E139" i="1"/>
  <c r="AB84" i="1"/>
  <c r="AB83" i="1" s="1"/>
  <c r="R153" i="7" l="1"/>
  <c r="R164" i="7"/>
  <c r="Z157" i="7"/>
  <c r="Z158" i="7"/>
  <c r="AB16" i="4"/>
  <c r="AB106" i="7"/>
  <c r="AA150" i="7"/>
  <c r="AA125" i="7"/>
  <c r="AA136" i="7" s="1"/>
  <c r="E156" i="1"/>
  <c r="E158" i="1"/>
  <c r="AB86" i="1"/>
  <c r="R166" i="7" l="1"/>
  <c r="R177" i="7" s="1"/>
  <c r="S151" i="7"/>
  <c r="AA154" i="7"/>
  <c r="AB109" i="7"/>
  <c r="AB123" i="7" s="1"/>
  <c r="AB107" i="7"/>
  <c r="AB108" i="7" s="1"/>
  <c r="AA138" i="7"/>
  <c r="G3" i="4"/>
  <c r="E159" i="1"/>
  <c r="E143" i="1"/>
  <c r="S137" i="7" l="1"/>
  <c r="S152" i="7"/>
  <c r="S173" i="7"/>
  <c r="S175" i="7" s="1"/>
  <c r="AB150" i="7"/>
  <c r="AB125" i="7"/>
  <c r="AB136" i="7" s="1"/>
  <c r="AA155" i="7"/>
  <c r="AA157" i="7"/>
  <c r="F170" i="1"/>
  <c r="F171" i="1" s="1"/>
  <c r="G4" i="4"/>
  <c r="F144" i="1"/>
  <c r="E142" i="1"/>
  <c r="F143" i="1"/>
  <c r="S153" i="7" l="1"/>
  <c r="S164" i="7"/>
  <c r="AA158" i="7"/>
  <c r="AC16" i="4"/>
  <c r="H5" i="4"/>
  <c r="H9" i="4" s="1"/>
  <c r="F66" i="1"/>
  <c r="F67" i="1" s="1"/>
  <c r="AB154" i="7"/>
  <c r="A136" i="7"/>
  <c r="AB138" i="7"/>
  <c r="G170" i="1"/>
  <c r="G171" i="1" s="1"/>
  <c r="H4" i="4"/>
  <c r="F122" i="1"/>
  <c r="E153" i="1"/>
  <c r="E138" i="1"/>
  <c r="E174" i="1"/>
  <c r="G143" i="1"/>
  <c r="G144" i="1"/>
  <c r="F142" i="1"/>
  <c r="S166" i="7" l="1"/>
  <c r="S177" i="7" s="1"/>
  <c r="T151" i="7"/>
  <c r="I5" i="4"/>
  <c r="I9" i="4" s="1"/>
  <c r="G66" i="1"/>
  <c r="G67" i="1" s="1"/>
  <c r="H13" i="4"/>
  <c r="F68" i="1"/>
  <c r="F94" i="1"/>
  <c r="AB155" i="7"/>
  <c r="AD16" i="4" s="1"/>
  <c r="B16" i="4" s="1"/>
  <c r="N6" i="7"/>
  <c r="AB157" i="7"/>
  <c r="N10" i="7" s="1"/>
  <c r="E176" i="1"/>
  <c r="H170" i="1"/>
  <c r="H171" i="1" s="1"/>
  <c r="I4" i="4"/>
  <c r="G122" i="1"/>
  <c r="E165" i="1"/>
  <c r="E154" i="1"/>
  <c r="H144" i="1"/>
  <c r="G142" i="1"/>
  <c r="H143" i="1"/>
  <c r="T137" i="7" l="1"/>
  <c r="T152" i="7"/>
  <c r="T173" i="7"/>
  <c r="T175" i="7" s="1"/>
  <c r="J5" i="4"/>
  <c r="J9" i="4" s="1"/>
  <c r="H66" i="1"/>
  <c r="H67" i="1" s="1"/>
  <c r="I13" i="4"/>
  <c r="G68" i="1"/>
  <c r="G94" i="1"/>
  <c r="G97" i="1" s="1"/>
  <c r="F96" i="1"/>
  <c r="F97" i="1"/>
  <c r="F95" i="1"/>
  <c r="N7" i="7"/>
  <c r="I29" i="8" s="1"/>
  <c r="AB158" i="7"/>
  <c r="N11" i="7" s="1"/>
  <c r="I170" i="1"/>
  <c r="I171" i="1" s="1"/>
  <c r="J4" i="4"/>
  <c r="H122" i="1"/>
  <c r="E167" i="1"/>
  <c r="H142" i="1"/>
  <c r="I144" i="1"/>
  <c r="I143" i="1"/>
  <c r="F17" i="8" l="1"/>
  <c r="T153" i="7"/>
  <c r="T164" i="7"/>
  <c r="K5" i="4"/>
  <c r="K9" i="4" s="1"/>
  <c r="I66" i="1"/>
  <c r="I67" i="1" s="1"/>
  <c r="J13" i="4"/>
  <c r="H68" i="1"/>
  <c r="H94" i="1"/>
  <c r="H97" i="1" s="1"/>
  <c r="G95" i="1"/>
  <c r="G96" i="1"/>
  <c r="E178" i="1"/>
  <c r="J170" i="1"/>
  <c r="J171" i="1" s="1"/>
  <c r="K4" i="4"/>
  <c r="I122" i="1"/>
  <c r="I142" i="1"/>
  <c r="J144" i="1"/>
  <c r="J143" i="1"/>
  <c r="T166" i="7" l="1"/>
  <c r="T177" i="7" s="1"/>
  <c r="U151" i="7"/>
  <c r="H95" i="1"/>
  <c r="H96" i="1"/>
  <c r="K13" i="4"/>
  <c r="I68" i="1"/>
  <c r="I94" i="1"/>
  <c r="I97" i="1" s="1"/>
  <c r="L5" i="4"/>
  <c r="L9" i="4" s="1"/>
  <c r="J66" i="1"/>
  <c r="J67" i="1" s="1"/>
  <c r="K170" i="1"/>
  <c r="K171" i="1" s="1"/>
  <c r="L4" i="4"/>
  <c r="J122" i="1"/>
  <c r="F101" i="1"/>
  <c r="F102" i="1"/>
  <c r="F123" i="1"/>
  <c r="K143" i="1"/>
  <c r="K144" i="1"/>
  <c r="J142" i="1"/>
  <c r="U137" i="7" l="1"/>
  <c r="U152" i="7"/>
  <c r="U173" i="7"/>
  <c r="U175" i="7" s="1"/>
  <c r="M5" i="4"/>
  <c r="M9" i="4" s="1"/>
  <c r="K66" i="1"/>
  <c r="K67" i="1" s="1"/>
  <c r="L13" i="4"/>
  <c r="J68" i="1"/>
  <c r="J94" i="1"/>
  <c r="J97" i="1" s="1"/>
  <c r="I95" i="1"/>
  <c r="I96" i="1"/>
  <c r="L170" i="1"/>
  <c r="L171" i="1" s="1"/>
  <c r="M4" i="4"/>
  <c r="K122" i="1"/>
  <c r="F103" i="1"/>
  <c r="F106" i="1"/>
  <c r="L143" i="1"/>
  <c r="L144" i="1"/>
  <c r="K142" i="1"/>
  <c r="U153" i="7" l="1"/>
  <c r="U164" i="7"/>
  <c r="J96" i="1"/>
  <c r="J95" i="1"/>
  <c r="M13" i="4"/>
  <c r="K68" i="1"/>
  <c r="K94" i="1"/>
  <c r="K97" i="1" s="1"/>
  <c r="N5" i="4"/>
  <c r="N9" i="4" s="1"/>
  <c r="L66" i="1"/>
  <c r="L67" i="1" s="1"/>
  <c r="F111" i="1"/>
  <c r="F112" i="1" s="1"/>
  <c r="M170" i="1"/>
  <c r="M171" i="1" s="1"/>
  <c r="N4" i="4"/>
  <c r="L122" i="1"/>
  <c r="F104" i="1"/>
  <c r="F107" i="1"/>
  <c r="M144" i="1"/>
  <c r="L142" i="1"/>
  <c r="M143" i="1"/>
  <c r="U166" i="7" l="1"/>
  <c r="U177" i="7" s="1"/>
  <c r="V151" i="7"/>
  <c r="O5" i="4"/>
  <c r="O9" i="4" s="1"/>
  <c r="M66" i="1"/>
  <c r="M67" i="1" s="1"/>
  <c r="F113" i="1"/>
  <c r="K96" i="1"/>
  <c r="K95" i="1"/>
  <c r="N13" i="4"/>
  <c r="L68" i="1"/>
  <c r="L94" i="1"/>
  <c r="L97" i="1" s="1"/>
  <c r="F115" i="1"/>
  <c r="F116" i="1" s="1"/>
  <c r="F121" i="1"/>
  <c r="F110" i="1"/>
  <c r="F105" i="1"/>
  <c r="N170" i="1"/>
  <c r="N171" i="1" s="1"/>
  <c r="O4" i="4"/>
  <c r="M122" i="1"/>
  <c r="F108" i="1"/>
  <c r="M142" i="1"/>
  <c r="N143" i="1"/>
  <c r="N144" i="1"/>
  <c r="V137" i="7" l="1"/>
  <c r="V152" i="7"/>
  <c r="V173" i="7"/>
  <c r="V175" i="7" s="1"/>
  <c r="P5" i="4"/>
  <c r="P9" i="4" s="1"/>
  <c r="N66" i="1"/>
  <c r="N67" i="1" s="1"/>
  <c r="L95" i="1"/>
  <c r="L96" i="1"/>
  <c r="O13" i="4"/>
  <c r="M68" i="1"/>
  <c r="M94" i="1"/>
  <c r="M97" i="1" s="1"/>
  <c r="F109" i="1"/>
  <c r="F117" i="1"/>
  <c r="G117" i="1" s="1"/>
  <c r="F124" i="1"/>
  <c r="O170" i="1"/>
  <c r="O171" i="1" s="1"/>
  <c r="P4" i="4"/>
  <c r="F175" i="1"/>
  <c r="N122" i="1"/>
  <c r="N142" i="1"/>
  <c r="O144" i="1"/>
  <c r="O143" i="1"/>
  <c r="V164" i="7" l="1"/>
  <c r="V153" i="7"/>
  <c r="Q5" i="4"/>
  <c r="Q9" i="4" s="1"/>
  <c r="O66" i="1"/>
  <c r="O67" i="1" s="1"/>
  <c r="M95" i="1"/>
  <c r="M96" i="1"/>
  <c r="F118" i="1"/>
  <c r="G118" i="1" s="1"/>
  <c r="P13" i="4"/>
  <c r="N68" i="1"/>
  <c r="N94" i="1"/>
  <c r="N97" i="1" s="1"/>
  <c r="F151" i="1"/>
  <c r="F126" i="1"/>
  <c r="P170" i="1"/>
  <c r="P171" i="1" s="1"/>
  <c r="Q4" i="4"/>
  <c r="O122" i="1"/>
  <c r="P143" i="1"/>
  <c r="O142" i="1"/>
  <c r="P144" i="1"/>
  <c r="V166" i="7" l="1"/>
  <c r="V177" i="7" s="1"/>
  <c r="W151" i="7"/>
  <c r="Q13" i="4"/>
  <c r="O68" i="1"/>
  <c r="O94" i="1"/>
  <c r="O97" i="1" s="1"/>
  <c r="R5" i="4"/>
  <c r="R9" i="4" s="1"/>
  <c r="P66" i="1"/>
  <c r="P67" i="1" s="1"/>
  <c r="N96" i="1"/>
  <c r="N95" i="1"/>
  <c r="F137" i="1"/>
  <c r="Q170" i="1"/>
  <c r="Q171" i="1" s="1"/>
  <c r="R4" i="4"/>
  <c r="P122" i="1"/>
  <c r="Q143" i="1"/>
  <c r="Q144" i="1"/>
  <c r="P142" i="1"/>
  <c r="W152" i="7" l="1"/>
  <c r="W173" i="7"/>
  <c r="W175" i="7" s="1"/>
  <c r="W137" i="7"/>
  <c r="O96" i="1"/>
  <c r="O95" i="1"/>
  <c r="S5" i="4"/>
  <c r="S9" i="4" s="1"/>
  <c r="Q66" i="1"/>
  <c r="Q67" i="1" s="1"/>
  <c r="R13" i="4"/>
  <c r="P68" i="1"/>
  <c r="P94" i="1"/>
  <c r="P97" i="1" s="1"/>
  <c r="F155" i="1"/>
  <c r="F139" i="1"/>
  <c r="F152" i="1"/>
  <c r="R170" i="1"/>
  <c r="R171" i="1" s="1"/>
  <c r="S4" i="4"/>
  <c r="Q122" i="1"/>
  <c r="R144" i="1"/>
  <c r="Q142" i="1"/>
  <c r="R143" i="1"/>
  <c r="W164" i="7" l="1"/>
  <c r="W153" i="7"/>
  <c r="T5" i="4"/>
  <c r="T9" i="4" s="1"/>
  <c r="R66" i="1"/>
  <c r="R67" i="1" s="1"/>
  <c r="W27" i="2" s="1"/>
  <c r="S13" i="4"/>
  <c r="Q68" i="1"/>
  <c r="Q94" i="1"/>
  <c r="Q97" i="1" s="1"/>
  <c r="P95" i="1"/>
  <c r="P96" i="1"/>
  <c r="F153" i="1"/>
  <c r="F138" i="1"/>
  <c r="F174" i="1"/>
  <c r="F156" i="1"/>
  <c r="F158" i="1"/>
  <c r="S170" i="1"/>
  <c r="S171" i="1" s="1"/>
  <c r="T4" i="4"/>
  <c r="R122" i="1"/>
  <c r="G101" i="1"/>
  <c r="G102" i="1"/>
  <c r="G123" i="1"/>
  <c r="R142" i="1"/>
  <c r="S143" i="1"/>
  <c r="S144" i="1"/>
  <c r="W166" i="7" l="1"/>
  <c r="W177" i="7" s="1"/>
  <c r="X151" i="7"/>
  <c r="U5" i="4"/>
  <c r="U9" i="4" s="1"/>
  <c r="S66" i="1"/>
  <c r="S67" i="1" s="1"/>
  <c r="Q95" i="1"/>
  <c r="Q96" i="1"/>
  <c r="T13" i="4"/>
  <c r="R68" i="1"/>
  <c r="R94" i="1"/>
  <c r="R97" i="1" s="1"/>
  <c r="H3" i="4"/>
  <c r="F159" i="1"/>
  <c r="F176" i="1"/>
  <c r="F165" i="1"/>
  <c r="F154" i="1"/>
  <c r="T170" i="1"/>
  <c r="T171" i="1" s="1"/>
  <c r="U4" i="4"/>
  <c r="S122" i="1"/>
  <c r="G103" i="1"/>
  <c r="G106" i="1"/>
  <c r="T143" i="1"/>
  <c r="S142" i="1"/>
  <c r="T144" i="1"/>
  <c r="X173" i="7" l="1"/>
  <c r="X175" i="7" s="1"/>
  <c r="X152" i="7"/>
  <c r="X137" i="7"/>
  <c r="V5" i="4"/>
  <c r="V9" i="4" s="1"/>
  <c r="T66" i="1"/>
  <c r="T67" i="1" s="1"/>
  <c r="U13" i="4"/>
  <c r="S68" i="1"/>
  <c r="S94" i="1"/>
  <c r="S97" i="1" s="1"/>
  <c r="R95" i="1"/>
  <c r="R96" i="1"/>
  <c r="G104" i="1"/>
  <c r="F167" i="1"/>
  <c r="U170" i="1"/>
  <c r="U171" i="1" s="1"/>
  <c r="V4" i="4"/>
  <c r="T122" i="1"/>
  <c r="G111" i="1"/>
  <c r="G107" i="1"/>
  <c r="U143" i="1"/>
  <c r="T142" i="1"/>
  <c r="U144" i="1"/>
  <c r="X164" i="7" l="1"/>
  <c r="X153" i="7"/>
  <c r="S95" i="1"/>
  <c r="S96" i="1"/>
  <c r="W5" i="4"/>
  <c r="W9" i="4" s="1"/>
  <c r="U66" i="1"/>
  <c r="U67" i="1" s="1"/>
  <c r="V13" i="4"/>
  <c r="T68" i="1"/>
  <c r="T94" i="1"/>
  <c r="T97" i="1" s="1"/>
  <c r="F178" i="1"/>
  <c r="G110" i="1"/>
  <c r="G113" i="1"/>
  <c r="G105" i="1"/>
  <c r="V170" i="1"/>
  <c r="V171" i="1" s="1"/>
  <c r="W4" i="4"/>
  <c r="G112" i="1"/>
  <c r="G121" i="1"/>
  <c r="G115" i="1"/>
  <c r="U122" i="1"/>
  <c r="G108" i="1"/>
  <c r="V143" i="1"/>
  <c r="V144" i="1"/>
  <c r="U142" i="1"/>
  <c r="X166" i="7" l="1"/>
  <c r="X177" i="7" s="1"/>
  <c r="Y151" i="7"/>
  <c r="X5" i="4"/>
  <c r="X9" i="4" s="1"/>
  <c r="V66" i="1"/>
  <c r="V67" i="1" s="1"/>
  <c r="W13" i="4"/>
  <c r="U68" i="1"/>
  <c r="U94" i="1"/>
  <c r="U97" i="1" s="1"/>
  <c r="T95" i="1"/>
  <c r="T96" i="1"/>
  <c r="G109" i="1"/>
  <c r="G124" i="1"/>
  <c r="W170" i="1"/>
  <c r="W171" i="1" s="1"/>
  <c r="X4" i="4"/>
  <c r="G116" i="1"/>
  <c r="V122" i="1"/>
  <c r="W143" i="1"/>
  <c r="W144" i="1"/>
  <c r="V142" i="1"/>
  <c r="Y137" i="7" l="1"/>
  <c r="Y173" i="7"/>
  <c r="Y175" i="7" s="1"/>
  <c r="Y152" i="7"/>
  <c r="U96" i="1"/>
  <c r="U95" i="1"/>
  <c r="Y5" i="4"/>
  <c r="Y9" i="4" s="1"/>
  <c r="W66" i="1"/>
  <c r="W67" i="1" s="1"/>
  <c r="X13" i="4"/>
  <c r="V68" i="1"/>
  <c r="V94" i="1"/>
  <c r="V97" i="1" s="1"/>
  <c r="G151" i="1"/>
  <c r="G175" i="1"/>
  <c r="G126" i="1"/>
  <c r="X170" i="1"/>
  <c r="X171" i="1" s="1"/>
  <c r="Y4" i="4"/>
  <c r="W122" i="1"/>
  <c r="W142" i="1"/>
  <c r="X143" i="1"/>
  <c r="X144" i="1"/>
  <c r="Y153" i="7" l="1"/>
  <c r="Y164" i="7"/>
  <c r="Y13" i="4"/>
  <c r="W68" i="1"/>
  <c r="W94" i="1"/>
  <c r="W97" i="1" s="1"/>
  <c r="Z5" i="4"/>
  <c r="Z9" i="4" s="1"/>
  <c r="X66" i="1"/>
  <c r="X67" i="1" s="1"/>
  <c r="V95" i="1"/>
  <c r="V96" i="1"/>
  <c r="G137" i="1"/>
  <c r="Y170" i="1"/>
  <c r="Y171" i="1" s="1"/>
  <c r="Z4" i="4"/>
  <c r="X122" i="1"/>
  <c r="Y143" i="1"/>
  <c r="X142" i="1"/>
  <c r="Y144" i="1"/>
  <c r="Z151" i="7" l="1"/>
  <c r="Y166" i="7"/>
  <c r="Y177" i="7" s="1"/>
  <c r="W95" i="1"/>
  <c r="W96" i="1"/>
  <c r="Z13" i="4"/>
  <c r="X68" i="1"/>
  <c r="X94" i="1"/>
  <c r="X97" i="1" s="1"/>
  <c r="AA5" i="4"/>
  <c r="AA9" i="4" s="1"/>
  <c r="Y66" i="1"/>
  <c r="Y67" i="1" s="1"/>
  <c r="G155" i="1"/>
  <c r="G152" i="1"/>
  <c r="G139" i="1"/>
  <c r="Z170" i="1"/>
  <c r="Z171" i="1" s="1"/>
  <c r="AA4" i="4"/>
  <c r="Y122" i="1"/>
  <c r="Z143" i="1"/>
  <c r="Y142" i="1"/>
  <c r="Z144" i="1"/>
  <c r="Z137" i="7" l="1"/>
  <c r="Z173" i="7"/>
  <c r="Z175" i="7" s="1"/>
  <c r="Z152" i="7"/>
  <c r="AA13" i="4"/>
  <c r="Y68" i="1"/>
  <c r="Y94" i="1"/>
  <c r="Y97" i="1" s="1"/>
  <c r="AB5" i="4"/>
  <c r="AB9" i="4" s="1"/>
  <c r="Z66" i="1"/>
  <c r="Z67" i="1" s="1"/>
  <c r="X96" i="1"/>
  <c r="X95" i="1"/>
  <c r="G153" i="1"/>
  <c r="G174" i="1"/>
  <c r="G138" i="1"/>
  <c r="G156" i="1"/>
  <c r="G158" i="1"/>
  <c r="AA170" i="1"/>
  <c r="AA171" i="1" s="1"/>
  <c r="AB4" i="4"/>
  <c r="Z122" i="1"/>
  <c r="H101" i="1"/>
  <c r="H102" i="1"/>
  <c r="H123" i="1"/>
  <c r="AA143" i="1"/>
  <c r="AA144" i="1"/>
  <c r="Z142" i="1"/>
  <c r="Z153" i="7" l="1"/>
  <c r="Z164" i="7"/>
  <c r="AB13" i="4"/>
  <c r="Z68" i="1"/>
  <c r="Z94" i="1"/>
  <c r="Z97" i="1" s="1"/>
  <c r="Y96" i="1"/>
  <c r="Y95" i="1"/>
  <c r="AC5" i="4"/>
  <c r="AC9" i="4" s="1"/>
  <c r="AA66" i="1"/>
  <c r="AA67" i="1" s="1"/>
  <c r="I3" i="4"/>
  <c r="G159" i="1"/>
  <c r="G176" i="1"/>
  <c r="G165" i="1"/>
  <c r="G154" i="1"/>
  <c r="AB170" i="1"/>
  <c r="AB171" i="1" s="1"/>
  <c r="AC4" i="4"/>
  <c r="AA122" i="1"/>
  <c r="H106" i="1"/>
  <c r="H103" i="1"/>
  <c r="AB143" i="1"/>
  <c r="AD4" i="4" s="1"/>
  <c r="AB144" i="1"/>
  <c r="AA142" i="1"/>
  <c r="AA151" i="7" l="1"/>
  <c r="Z166" i="7"/>
  <c r="Z177" i="7" s="1"/>
  <c r="AC13" i="4"/>
  <c r="AA68" i="1"/>
  <c r="AA94" i="1"/>
  <c r="AA97" i="1" s="1"/>
  <c r="AD5" i="4"/>
  <c r="AD9" i="4" s="1"/>
  <c r="AB66" i="1"/>
  <c r="AB67" i="1" s="1"/>
  <c r="Z96" i="1"/>
  <c r="Z95" i="1"/>
  <c r="H104" i="1"/>
  <c r="G167" i="1"/>
  <c r="AB122" i="1"/>
  <c r="H111" i="1"/>
  <c r="H107" i="1"/>
  <c r="AB142" i="1"/>
  <c r="AA152" i="7" l="1"/>
  <c r="AA137" i="7"/>
  <c r="AA173" i="7"/>
  <c r="AA175" i="7" s="1"/>
  <c r="AA95" i="1"/>
  <c r="AA96" i="1"/>
  <c r="AD13" i="4"/>
  <c r="AB68" i="1"/>
  <c r="AB94" i="1"/>
  <c r="AB97" i="1" s="1"/>
  <c r="H110" i="1"/>
  <c r="H112" i="1"/>
  <c r="G178" i="1"/>
  <c r="H105" i="1"/>
  <c r="H113" i="1"/>
  <c r="H115" i="1"/>
  <c r="H121" i="1"/>
  <c r="A149" i="1"/>
  <c r="H108" i="1"/>
  <c r="AA164" i="7" l="1"/>
  <c r="AA153" i="7"/>
  <c r="AB96" i="1"/>
  <c r="AB95" i="1"/>
  <c r="H109" i="1"/>
  <c r="H124" i="1"/>
  <c r="H116" i="1"/>
  <c r="AA166" i="7" l="1"/>
  <c r="AA177" i="7" s="1"/>
  <c r="AB151" i="7"/>
  <c r="H175" i="1"/>
  <c r="H151" i="1"/>
  <c r="H126" i="1"/>
  <c r="AB152" i="7" l="1"/>
  <c r="AB137" i="7"/>
  <c r="A137" i="7" s="1"/>
  <c r="AB173" i="7"/>
  <c r="AB175" i="7" s="1"/>
  <c r="I117" i="7" s="1"/>
  <c r="J117" i="7" s="1"/>
  <c r="H137" i="1"/>
  <c r="AB153" i="7" l="1"/>
  <c r="AB164" i="7"/>
  <c r="AB166" i="7" s="1"/>
  <c r="AB177" i="7" s="1"/>
  <c r="H155" i="1"/>
  <c r="H152" i="1"/>
  <c r="H139" i="1"/>
  <c r="I123" i="1"/>
  <c r="I101" i="1"/>
  <c r="I102" i="1"/>
  <c r="H153" i="1" l="1"/>
  <c r="H174" i="1"/>
  <c r="H138" i="1"/>
  <c r="H156" i="1"/>
  <c r="H158" i="1"/>
  <c r="I106" i="1"/>
  <c r="I103" i="1"/>
  <c r="J3" i="4" l="1"/>
  <c r="H159" i="1"/>
  <c r="I104" i="1"/>
  <c r="H176" i="1"/>
  <c r="H165" i="1"/>
  <c r="H154" i="1"/>
  <c r="I111" i="1"/>
  <c r="I107" i="1"/>
  <c r="I110" i="1" l="1"/>
  <c r="I121" i="1"/>
  <c r="H167" i="1"/>
  <c r="I105" i="1"/>
  <c r="I115" i="1"/>
  <c r="I112" i="1"/>
  <c r="I113" i="1"/>
  <c r="I108" i="1"/>
  <c r="I109" i="1" l="1"/>
  <c r="H178" i="1"/>
  <c r="I124" i="1"/>
  <c r="I116" i="1"/>
  <c r="I175" i="1" l="1"/>
  <c r="I151" i="1"/>
  <c r="I126" i="1"/>
  <c r="I137" i="1" l="1"/>
  <c r="I155" i="1" l="1"/>
  <c r="I152" i="1"/>
  <c r="I139" i="1"/>
  <c r="J102" i="1"/>
  <c r="J123" i="1"/>
  <c r="J101" i="1"/>
  <c r="I153" i="1" l="1"/>
  <c r="I138" i="1"/>
  <c r="I174" i="1"/>
  <c r="I156" i="1"/>
  <c r="I158" i="1"/>
  <c r="J106" i="1"/>
  <c r="J103" i="1"/>
  <c r="J104" i="1" l="1"/>
  <c r="K3" i="4"/>
  <c r="I159" i="1"/>
  <c r="I176" i="1"/>
  <c r="I165" i="1"/>
  <c r="I154" i="1"/>
  <c r="J107" i="1"/>
  <c r="J111" i="1"/>
  <c r="I167" i="1" l="1"/>
  <c r="J110" i="1"/>
  <c r="J105" i="1"/>
  <c r="J108" i="1"/>
  <c r="J115" i="1"/>
  <c r="J113" i="1"/>
  <c r="J121" i="1"/>
  <c r="J112" i="1"/>
  <c r="J124" i="1" l="1"/>
  <c r="J126" i="1" s="1"/>
  <c r="J109" i="1"/>
  <c r="I178" i="1"/>
  <c r="J116" i="1"/>
  <c r="J175" i="1" l="1"/>
  <c r="J137" i="1"/>
  <c r="J151" i="1"/>
  <c r="J155" i="1" l="1"/>
  <c r="J139" i="1"/>
  <c r="J152" i="1"/>
  <c r="J138" i="1" l="1"/>
  <c r="J174" i="1"/>
  <c r="J153" i="1"/>
  <c r="J156" i="1"/>
  <c r="J158" i="1"/>
  <c r="L3" i="4" l="1"/>
  <c r="J159" i="1"/>
  <c r="J154" i="1"/>
  <c r="J165" i="1"/>
  <c r="J176" i="1"/>
  <c r="K123" i="1"/>
  <c r="K102" i="1"/>
  <c r="K101" i="1"/>
  <c r="J167" i="1" l="1"/>
  <c r="K106" i="1"/>
  <c r="K103" i="1"/>
  <c r="K104" i="1" l="1"/>
  <c r="J178" i="1"/>
  <c r="K107" i="1"/>
  <c r="K111" i="1"/>
  <c r="K110" i="1" l="1"/>
  <c r="K105" i="1"/>
  <c r="K108" i="1"/>
  <c r="K115" i="1"/>
  <c r="K121" i="1"/>
  <c r="K112" i="1"/>
  <c r="K113" i="1"/>
  <c r="K109" i="1" l="1"/>
  <c r="K124" i="1"/>
  <c r="K116" i="1"/>
  <c r="K175" i="1" l="1"/>
  <c r="K151" i="1"/>
  <c r="K126" i="1"/>
  <c r="K137" i="1" l="1"/>
  <c r="K155" i="1" l="1"/>
  <c r="K152" i="1"/>
  <c r="K139" i="1"/>
  <c r="L102" i="1"/>
  <c r="L101" i="1"/>
  <c r="L123" i="1"/>
  <c r="K153" i="1" l="1"/>
  <c r="K174" i="1"/>
  <c r="K138" i="1"/>
  <c r="K156" i="1"/>
  <c r="K158" i="1"/>
  <c r="L106" i="1"/>
  <c r="L103" i="1"/>
  <c r="L104" i="1" l="1"/>
  <c r="K176" i="1"/>
  <c r="M3" i="4"/>
  <c r="K159" i="1"/>
  <c r="K165" i="1"/>
  <c r="K154" i="1"/>
  <c r="L107" i="1"/>
  <c r="L111" i="1"/>
  <c r="K167" i="1" l="1"/>
  <c r="L110" i="1"/>
  <c r="L105" i="1"/>
  <c r="L108" i="1"/>
  <c r="L113" i="1"/>
  <c r="L115" i="1"/>
  <c r="L121" i="1"/>
  <c r="L112" i="1"/>
  <c r="L109" i="1" l="1"/>
  <c r="L124" i="1"/>
  <c r="K178" i="1"/>
  <c r="L116" i="1"/>
  <c r="L175" i="1" l="1"/>
  <c r="L151" i="1"/>
  <c r="L126" i="1"/>
  <c r="L137" i="1" l="1"/>
  <c r="L155" i="1" l="1"/>
  <c r="L152" i="1"/>
  <c r="L139" i="1"/>
  <c r="M123" i="1"/>
  <c r="M102" i="1"/>
  <c r="M101" i="1"/>
  <c r="L153" i="1" l="1"/>
  <c r="L138" i="1"/>
  <c r="L174" i="1"/>
  <c r="L156" i="1"/>
  <c r="L158" i="1"/>
  <c r="M103" i="1"/>
  <c r="M106" i="1"/>
  <c r="L176" i="1" l="1"/>
  <c r="M111" i="1"/>
  <c r="M115" i="1" s="1"/>
  <c r="N3" i="4"/>
  <c r="L159" i="1"/>
  <c r="L154" i="1"/>
  <c r="L165" i="1"/>
  <c r="M104" i="1"/>
  <c r="M107" i="1"/>
  <c r="M112" i="1" l="1"/>
  <c r="M121" i="1"/>
  <c r="M113" i="1"/>
  <c r="M110" i="1"/>
  <c r="M105" i="1"/>
  <c r="L167" i="1"/>
  <c r="M116" i="1"/>
  <c r="M108" i="1"/>
  <c r="M175" i="1" l="1"/>
  <c r="L178" i="1"/>
  <c r="M109" i="1"/>
  <c r="M124" i="1"/>
  <c r="M151" i="1" l="1"/>
  <c r="M126" i="1"/>
  <c r="M137" i="1" l="1"/>
  <c r="N123" i="1"/>
  <c r="N101" i="1"/>
  <c r="N102" i="1"/>
  <c r="M155" i="1" l="1"/>
  <c r="M139" i="1"/>
  <c r="M152" i="1"/>
  <c r="N106" i="1"/>
  <c r="N103" i="1"/>
  <c r="N104" i="1" l="1"/>
  <c r="M153" i="1"/>
  <c r="M138" i="1"/>
  <c r="M174" i="1"/>
  <c r="M156" i="1"/>
  <c r="M158" i="1"/>
  <c r="N111" i="1"/>
  <c r="N107" i="1"/>
  <c r="M154" i="1" l="1"/>
  <c r="M165" i="1"/>
  <c r="N110" i="1"/>
  <c r="N121" i="1"/>
  <c r="O3" i="4"/>
  <c r="M159" i="1"/>
  <c r="M176" i="1"/>
  <c r="N105" i="1"/>
  <c r="N113" i="1"/>
  <c r="N112" i="1"/>
  <c r="N115" i="1"/>
  <c r="N108" i="1"/>
  <c r="M167" i="1" l="1"/>
  <c r="N124" i="1"/>
  <c r="N109" i="1"/>
  <c r="N116" i="1"/>
  <c r="N175" i="1" l="1"/>
  <c r="N151" i="1"/>
  <c r="N126" i="1"/>
  <c r="M178" i="1"/>
  <c r="N137" i="1" l="1"/>
  <c r="N155" i="1" l="1"/>
  <c r="N139" i="1"/>
  <c r="N152" i="1"/>
  <c r="N174" i="1" l="1"/>
  <c r="N138" i="1"/>
  <c r="N153" i="1"/>
  <c r="N156" i="1"/>
  <c r="N158" i="1"/>
  <c r="O102" i="1"/>
  <c r="O101" i="1"/>
  <c r="O123" i="1"/>
  <c r="P3" i="4" l="1"/>
  <c r="N159" i="1"/>
  <c r="N176" i="1"/>
  <c r="N154" i="1"/>
  <c r="N165" i="1"/>
  <c r="O106" i="1"/>
  <c r="O103" i="1"/>
  <c r="N167" i="1" l="1"/>
  <c r="O104" i="1"/>
  <c r="O107" i="1"/>
  <c r="O111" i="1"/>
  <c r="O110" i="1" l="1"/>
  <c r="O105" i="1"/>
  <c r="N178" i="1"/>
  <c r="O113" i="1"/>
  <c r="O115" i="1"/>
  <c r="O121" i="1"/>
  <c r="O112" i="1"/>
  <c r="O108" i="1"/>
  <c r="O109" i="1" l="1"/>
  <c r="O124" i="1"/>
  <c r="O116" i="1"/>
  <c r="O151" i="1" l="1"/>
  <c r="O175" i="1"/>
  <c r="O126" i="1"/>
  <c r="O137" i="1" l="1"/>
  <c r="O155" i="1" l="1"/>
  <c r="O152" i="1"/>
  <c r="O139" i="1"/>
  <c r="P101" i="1"/>
  <c r="P123" i="1"/>
  <c r="P102" i="1"/>
  <c r="O153" i="1" l="1"/>
  <c r="O138" i="1"/>
  <c r="O174" i="1"/>
  <c r="O156" i="1"/>
  <c r="O158" i="1"/>
  <c r="P103" i="1"/>
  <c r="P106" i="1"/>
  <c r="P104" i="1" l="1"/>
  <c r="O176" i="1"/>
  <c r="Q3" i="4"/>
  <c r="O159" i="1"/>
  <c r="O165" i="1"/>
  <c r="O154" i="1"/>
  <c r="P111" i="1"/>
  <c r="P107" i="1"/>
  <c r="P110" i="1" l="1"/>
  <c r="P115" i="1"/>
  <c r="P116" i="1" s="1"/>
  <c r="O167" i="1"/>
  <c r="P105" i="1"/>
  <c r="P113" i="1"/>
  <c r="P121" i="1"/>
  <c r="P112" i="1"/>
  <c r="P108" i="1"/>
  <c r="P175" i="1" l="1"/>
  <c r="P109" i="1"/>
  <c r="O178" i="1"/>
  <c r="P124" i="1"/>
  <c r="P126" i="1" s="1"/>
  <c r="P151" i="1" l="1"/>
  <c r="P137" i="1"/>
  <c r="P139" i="1" l="1"/>
  <c r="P155" i="1"/>
  <c r="P152" i="1"/>
  <c r="Q102" i="1"/>
  <c r="Q101" i="1"/>
  <c r="Q123" i="1"/>
  <c r="P153" i="1" l="1"/>
  <c r="P174" i="1"/>
  <c r="P138" i="1"/>
  <c r="P156" i="1"/>
  <c r="P158" i="1"/>
  <c r="Q106" i="1"/>
  <c r="Q103" i="1"/>
  <c r="Q104" i="1" l="1"/>
  <c r="R3" i="4"/>
  <c r="P159" i="1"/>
  <c r="P176" i="1"/>
  <c r="P154" i="1"/>
  <c r="P165" i="1"/>
  <c r="Q107" i="1"/>
  <c r="Q111" i="1"/>
  <c r="Q110" i="1" l="1"/>
  <c r="P167" i="1"/>
  <c r="Q105" i="1"/>
  <c r="Q108" i="1"/>
  <c r="Q115" i="1"/>
  <c r="Q121" i="1"/>
  <c r="Q113" i="1"/>
  <c r="Q112" i="1"/>
  <c r="Q109" i="1" l="1"/>
  <c r="P178" i="1"/>
  <c r="Q124" i="1"/>
  <c r="Q116" i="1"/>
  <c r="Q175" i="1" l="1"/>
  <c r="Q151" i="1"/>
  <c r="Q126" i="1"/>
  <c r="Q137" i="1" l="1"/>
  <c r="Q155" i="1" l="1"/>
  <c r="Q139" i="1"/>
  <c r="Q152" i="1"/>
  <c r="Q174" i="1" l="1"/>
  <c r="Q138" i="1"/>
  <c r="Q153" i="1"/>
  <c r="Q156" i="1"/>
  <c r="Q158" i="1"/>
  <c r="R102" i="1"/>
  <c r="R101" i="1"/>
  <c r="R123" i="1"/>
  <c r="Q176" i="1" l="1"/>
  <c r="S3" i="4"/>
  <c r="Q159" i="1"/>
  <c r="Q154" i="1"/>
  <c r="Q165" i="1"/>
  <c r="R103" i="1"/>
  <c r="R106" i="1"/>
  <c r="R111" i="1" l="1"/>
  <c r="Q167" i="1"/>
  <c r="R104" i="1"/>
  <c r="R107" i="1"/>
  <c r="R115" i="1" l="1"/>
  <c r="R116" i="1" s="1"/>
  <c r="X27" i="2"/>
  <c r="R112" i="1"/>
  <c r="R113" i="1"/>
  <c r="R121" i="1"/>
  <c r="Q178" i="1"/>
  <c r="R110" i="1"/>
  <c r="R105" i="1"/>
  <c r="R108" i="1"/>
  <c r="R109" i="1" l="1"/>
  <c r="R175" i="1"/>
  <c r="R124" i="1"/>
  <c r="R151" i="1" l="1"/>
  <c r="R126" i="1"/>
  <c r="R137" i="1" l="1"/>
  <c r="R155" i="1" l="1"/>
  <c r="R139" i="1"/>
  <c r="R152" i="1"/>
  <c r="S102" i="1"/>
  <c r="S123" i="1"/>
  <c r="S101" i="1"/>
  <c r="R153" i="1" l="1"/>
  <c r="R138" i="1"/>
  <c r="R174" i="1"/>
  <c r="R156" i="1"/>
  <c r="R158" i="1"/>
  <c r="S106" i="1"/>
  <c r="S103" i="1"/>
  <c r="S111" i="1" l="1"/>
  <c r="S121" i="1" s="1"/>
  <c r="T3" i="4"/>
  <c r="R159" i="1"/>
  <c r="R176" i="1"/>
  <c r="R165" i="1"/>
  <c r="R154" i="1"/>
  <c r="S104" i="1"/>
  <c r="S107" i="1"/>
  <c r="S113" i="1" l="1"/>
  <c r="S112" i="1"/>
  <c r="S115" i="1"/>
  <c r="S116" i="1" s="1"/>
  <c r="S110" i="1"/>
  <c r="S105" i="1"/>
  <c r="R167" i="1"/>
  <c r="S108" i="1"/>
  <c r="S109" i="1" l="1"/>
  <c r="S175" i="1"/>
  <c r="R178" i="1"/>
  <c r="S124" i="1"/>
  <c r="S151" i="1" l="1"/>
  <c r="S126" i="1"/>
  <c r="S137" i="1" l="1"/>
  <c r="S155" i="1" l="1"/>
  <c r="S139" i="1"/>
  <c r="S152" i="1"/>
  <c r="T123" i="1"/>
  <c r="T101" i="1"/>
  <c r="T102" i="1"/>
  <c r="S153" i="1" l="1"/>
  <c r="S174" i="1"/>
  <c r="S138" i="1"/>
  <c r="S156" i="1"/>
  <c r="S158" i="1"/>
  <c r="T106" i="1"/>
  <c r="T103" i="1"/>
  <c r="U3" i="4" l="1"/>
  <c r="S159" i="1"/>
  <c r="T104" i="1"/>
  <c r="S176" i="1"/>
  <c r="S154" i="1"/>
  <c r="S165" i="1"/>
  <c r="T111" i="1"/>
  <c r="T107" i="1"/>
  <c r="T105" i="1" l="1"/>
  <c r="T110" i="1"/>
  <c r="T115" i="1"/>
  <c r="T116" i="1" s="1"/>
  <c r="S167" i="1"/>
  <c r="T113" i="1"/>
  <c r="T112" i="1"/>
  <c r="T121" i="1"/>
  <c r="T108" i="1"/>
  <c r="T109" i="1" l="1"/>
  <c r="T175" i="1"/>
  <c r="S178" i="1"/>
  <c r="T124" i="1"/>
  <c r="T151" i="1" l="1"/>
  <c r="T126" i="1"/>
  <c r="T137" i="1" l="1"/>
  <c r="T155" i="1" l="1"/>
  <c r="T152" i="1"/>
  <c r="T153" i="1" s="1"/>
  <c r="T139" i="1"/>
  <c r="T154" i="1" l="1"/>
  <c r="T165" i="1"/>
  <c r="T174" i="1"/>
  <c r="T138" i="1"/>
  <c r="T156" i="1"/>
  <c r="T158" i="1"/>
  <c r="U101" i="1"/>
  <c r="U123" i="1"/>
  <c r="U102" i="1"/>
  <c r="V3" i="4" l="1"/>
  <c r="T159" i="1"/>
  <c r="T176" i="1"/>
  <c r="T167" i="1"/>
  <c r="U103" i="1"/>
  <c r="U106" i="1"/>
  <c r="U104" i="1" l="1"/>
  <c r="T178" i="1"/>
  <c r="U111" i="1"/>
  <c r="U107" i="1"/>
  <c r="U110" i="1" l="1"/>
  <c r="U112" i="1"/>
  <c r="U105" i="1"/>
  <c r="U113" i="1"/>
  <c r="U115" i="1"/>
  <c r="U121" i="1"/>
  <c r="U108" i="1"/>
  <c r="U109" i="1" l="1"/>
  <c r="U124" i="1"/>
  <c r="U116" i="1"/>
  <c r="U151" i="1" l="1"/>
  <c r="U175" i="1"/>
  <c r="U126" i="1"/>
  <c r="U137" i="1" l="1"/>
  <c r="U155" i="1" l="1"/>
  <c r="U139" i="1"/>
  <c r="U152" i="1"/>
  <c r="U174" i="1" l="1"/>
  <c r="U138" i="1"/>
  <c r="U153" i="1"/>
  <c r="U156" i="1"/>
  <c r="U158" i="1"/>
  <c r="V102" i="1"/>
  <c r="V123" i="1"/>
  <c r="V101" i="1"/>
  <c r="W3" i="4" l="1"/>
  <c r="U159" i="1"/>
  <c r="U165" i="1"/>
  <c r="U154" i="1"/>
  <c r="U176" i="1"/>
  <c r="V103" i="1"/>
  <c r="V106" i="1"/>
  <c r="V104" i="1" l="1"/>
  <c r="U167" i="1"/>
  <c r="V107" i="1"/>
  <c r="V111" i="1"/>
  <c r="V110" i="1" l="1"/>
  <c r="U178" i="1"/>
  <c r="V105" i="1"/>
  <c r="V108" i="1"/>
  <c r="V115" i="1"/>
  <c r="V113" i="1"/>
  <c r="V121" i="1"/>
  <c r="V112" i="1"/>
  <c r="V109" i="1" l="1"/>
  <c r="V124" i="1"/>
  <c r="V116" i="1"/>
  <c r="V175" i="1" l="1"/>
  <c r="V151" i="1"/>
  <c r="V126" i="1"/>
  <c r="V137" i="1" l="1"/>
  <c r="V155" i="1" l="1"/>
  <c r="V152" i="1"/>
  <c r="V139" i="1"/>
  <c r="W123" i="1"/>
  <c r="W101" i="1"/>
  <c r="W102" i="1"/>
  <c r="V153" i="1" l="1"/>
  <c r="V138" i="1"/>
  <c r="V174" i="1"/>
  <c r="V156" i="1"/>
  <c r="V158" i="1"/>
  <c r="W103" i="1"/>
  <c r="W106" i="1"/>
  <c r="W111" i="1" l="1"/>
  <c r="W115" i="1" s="1"/>
  <c r="X3" i="4"/>
  <c r="V159" i="1"/>
  <c r="V176" i="1"/>
  <c r="V165" i="1"/>
  <c r="V154" i="1"/>
  <c r="W104" i="1"/>
  <c r="W107" i="1"/>
  <c r="W121" i="1" l="1"/>
  <c r="W112" i="1"/>
  <c r="W113" i="1"/>
  <c r="W110" i="1"/>
  <c r="W105" i="1"/>
  <c r="V167" i="1"/>
  <c r="W108" i="1"/>
  <c r="W116" i="1"/>
  <c r="W175" i="1" l="1"/>
  <c r="V178" i="1"/>
  <c r="W109" i="1"/>
  <c r="W124" i="1"/>
  <c r="W151" i="1" l="1"/>
  <c r="W126" i="1"/>
  <c r="W137" i="1" l="1"/>
  <c r="X102" i="1"/>
  <c r="X123" i="1"/>
  <c r="X101" i="1"/>
  <c r="W139" i="1" l="1"/>
  <c r="W155" i="1"/>
  <c r="W152" i="1"/>
  <c r="X106" i="1"/>
  <c r="X103" i="1"/>
  <c r="W153" i="1" l="1"/>
  <c r="W174" i="1"/>
  <c r="W138" i="1"/>
  <c r="W156" i="1"/>
  <c r="W158" i="1"/>
  <c r="X104" i="1"/>
  <c r="X111" i="1"/>
  <c r="X107" i="1"/>
  <c r="X110" i="1" l="1"/>
  <c r="X105" i="1"/>
  <c r="Y3" i="4"/>
  <c r="W159" i="1"/>
  <c r="W176" i="1"/>
  <c r="W154" i="1"/>
  <c r="W165" i="1"/>
  <c r="X108" i="1"/>
  <c r="X115" i="1"/>
  <c r="X121" i="1"/>
  <c r="X113" i="1"/>
  <c r="X112" i="1"/>
  <c r="X109" i="1" l="1"/>
  <c r="W167" i="1"/>
  <c r="X124" i="1"/>
  <c r="X126" i="1" s="1"/>
  <c r="X116" i="1"/>
  <c r="X175" i="1" l="1"/>
  <c r="X137" i="1"/>
  <c r="X151" i="1"/>
  <c r="W178" i="1"/>
  <c r="X155" i="1" l="1"/>
  <c r="X152" i="1"/>
  <c r="X139" i="1"/>
  <c r="X153" i="1" l="1"/>
  <c r="X138" i="1"/>
  <c r="X174" i="1"/>
  <c r="X156" i="1"/>
  <c r="X158" i="1"/>
  <c r="Y123" i="1"/>
  <c r="Y101" i="1"/>
  <c r="Y102" i="1"/>
  <c r="Z3" i="4" l="1"/>
  <c r="X159" i="1"/>
  <c r="X176" i="1"/>
  <c r="X154" i="1"/>
  <c r="X165" i="1"/>
  <c r="Y106" i="1"/>
  <c r="Y103" i="1"/>
  <c r="Y107" i="1" l="1"/>
  <c r="Y110" i="1" s="1"/>
  <c r="Y104" i="1"/>
  <c r="X167" i="1"/>
  <c r="Y111" i="1"/>
  <c r="Y108" i="1" l="1"/>
  <c r="Y109" i="1" s="1"/>
  <c r="Y124" i="1"/>
  <c r="Y113" i="1"/>
  <c r="X178" i="1"/>
  <c r="Y105" i="1"/>
  <c r="Y115" i="1"/>
  <c r="Y121" i="1"/>
  <c r="Y112" i="1"/>
  <c r="Y126" i="1" l="1"/>
  <c r="Y151" i="1"/>
  <c r="Y116" i="1"/>
  <c r="Y175" i="1" l="1"/>
  <c r="Y137" i="1"/>
  <c r="Y155" i="1" l="1"/>
  <c r="Y152" i="1"/>
  <c r="Y139" i="1"/>
  <c r="Y153" i="1" l="1"/>
  <c r="Y174" i="1"/>
  <c r="Y138" i="1"/>
  <c r="Y156" i="1"/>
  <c r="Y158" i="1"/>
  <c r="Z123" i="1"/>
  <c r="Z101" i="1"/>
  <c r="Z102" i="1"/>
  <c r="AA3" i="4" l="1"/>
  <c r="Y159" i="1"/>
  <c r="Y176" i="1"/>
  <c r="Y165" i="1"/>
  <c r="Y154" i="1"/>
  <c r="Z106" i="1"/>
  <c r="Z103" i="1"/>
  <c r="Z107" i="1" l="1"/>
  <c r="Z108" i="1" s="1"/>
  <c r="Z104" i="1"/>
  <c r="Y167" i="1"/>
  <c r="Z111" i="1"/>
  <c r="Z110" i="1" l="1"/>
  <c r="Z124" i="1" s="1"/>
  <c r="Y178" i="1"/>
  <c r="Z109" i="1"/>
  <c r="Z105" i="1"/>
  <c r="Z113" i="1"/>
  <c r="Z121" i="1"/>
  <c r="Z115" i="1"/>
  <c r="Z112" i="1"/>
  <c r="Z126" i="1" l="1"/>
  <c r="Z151" i="1"/>
  <c r="Z116" i="1"/>
  <c r="Z175" i="1" l="1"/>
  <c r="Z137" i="1"/>
  <c r="Z155" i="1" l="1"/>
  <c r="Z152" i="1"/>
  <c r="Z139" i="1"/>
  <c r="Z153" i="1" l="1"/>
  <c r="Z174" i="1"/>
  <c r="Z138" i="1"/>
  <c r="Z156" i="1"/>
  <c r="Z158" i="1"/>
  <c r="AA102" i="1"/>
  <c r="AA101" i="1"/>
  <c r="AA123" i="1"/>
  <c r="AB3" i="4" l="1"/>
  <c r="Z159" i="1"/>
  <c r="Z176" i="1"/>
  <c r="Z154" i="1"/>
  <c r="Z165" i="1"/>
  <c r="AA106" i="1"/>
  <c r="AA103" i="1"/>
  <c r="Z167" i="1" l="1"/>
  <c r="AA104" i="1"/>
  <c r="AA111" i="1"/>
  <c r="AA107" i="1"/>
  <c r="AA110" i="1" l="1"/>
  <c r="AA105" i="1"/>
  <c r="Z178" i="1"/>
  <c r="AA108" i="1"/>
  <c r="AA121" i="1"/>
  <c r="AA112" i="1"/>
  <c r="AA113" i="1"/>
  <c r="AA115" i="1"/>
  <c r="AA109" i="1" l="1"/>
  <c r="AA124" i="1"/>
  <c r="AA116" i="1"/>
  <c r="AA151" i="1" l="1"/>
  <c r="AA175" i="1"/>
  <c r="AA126" i="1"/>
  <c r="AA137" i="1" l="1"/>
  <c r="AA155" i="1" l="1"/>
  <c r="AA139" i="1"/>
  <c r="AA152" i="1"/>
  <c r="AB101" i="1"/>
  <c r="AB102" i="1"/>
  <c r="AB123" i="1"/>
  <c r="AA153" i="1" l="1"/>
  <c r="AA138" i="1"/>
  <c r="AA174" i="1"/>
  <c r="AA156" i="1"/>
  <c r="AA158" i="1"/>
  <c r="AB106" i="1"/>
  <c r="AB103" i="1"/>
  <c r="AB107" i="1" l="1"/>
  <c r="AB108" i="1" s="1"/>
  <c r="AC3" i="4"/>
  <c r="AA159" i="1"/>
  <c r="AB104" i="1"/>
  <c r="AA176" i="1"/>
  <c r="AA165" i="1"/>
  <c r="AA154" i="1"/>
  <c r="AB111" i="1"/>
  <c r="AB110" i="1" l="1"/>
  <c r="AB124" i="1" s="1"/>
  <c r="AA167" i="1"/>
  <c r="AB105" i="1"/>
  <c r="AB109" i="1"/>
  <c r="AB113" i="1"/>
  <c r="AB115" i="1"/>
  <c r="AB112" i="1"/>
  <c r="AB121" i="1"/>
  <c r="AB126" i="1" l="1"/>
  <c r="AA178" i="1"/>
  <c r="AB151" i="1"/>
  <c r="AB116" i="1"/>
  <c r="AB175" i="1" l="1"/>
  <c r="AB137" i="1"/>
  <c r="AB155" i="1" l="1"/>
  <c r="A137" i="1"/>
  <c r="AB152" i="1"/>
  <c r="AB139" i="1"/>
  <c r="AB153" i="1" l="1"/>
  <c r="AB138" i="1"/>
  <c r="AB174" i="1"/>
  <c r="AB156" i="1"/>
  <c r="AB158" i="1"/>
  <c r="N6" i="1"/>
  <c r="N10" i="1" l="1"/>
  <c r="AB165" i="1"/>
  <c r="AB154" i="1"/>
  <c r="AD3" i="4"/>
  <c r="AB159" i="1"/>
  <c r="AB176" i="1"/>
  <c r="A138" i="1"/>
  <c r="N7" i="1"/>
  <c r="I118" i="1" l="1"/>
  <c r="N11" i="1"/>
  <c r="AB167" i="1"/>
  <c r="AB178" i="1" l="1"/>
  <c r="J118" i="1"/>
</calcChain>
</file>

<file path=xl/sharedStrings.xml><?xml version="1.0" encoding="utf-8"?>
<sst xmlns="http://schemas.openxmlformats.org/spreadsheetml/2006/main" count="658" uniqueCount="238">
  <si>
    <t>Cost of Install</t>
  </si>
  <si>
    <t>Inverter Cost</t>
  </si>
  <si>
    <t>Assumptions</t>
  </si>
  <si>
    <t>Total Cost</t>
  </si>
  <si>
    <t>Project</t>
  </si>
  <si>
    <t>Revenue</t>
  </si>
  <si>
    <r>
      <t xml:space="preserve">Initial </t>
    </r>
    <r>
      <rPr>
        <b/>
        <sz val="11"/>
        <color theme="1"/>
        <rFont val="Calibri"/>
        <family val="2"/>
        <scheme val="minor"/>
      </rPr>
      <t>Cost</t>
    </r>
  </si>
  <si>
    <t>Cash Investment Total</t>
  </si>
  <si>
    <t>Self consumption (%)</t>
  </si>
  <si>
    <t>Year</t>
    <phoneticPr fontId="0" type="noConversion"/>
  </si>
  <si>
    <t>EPC</t>
  </si>
  <si>
    <t>Pre-tax, Project IRR</t>
  </si>
  <si>
    <t>Project Size (kWp)</t>
  </si>
  <si>
    <t>Commission Cost (£) @6%</t>
  </si>
  <si>
    <t>Post-tax, Project IRR</t>
  </si>
  <si>
    <t>EPC (£/kWp)</t>
  </si>
  <si>
    <t>Year 1 EBITDA yield</t>
  </si>
  <si>
    <t>Yield (kWh/kWp)</t>
  </si>
  <si>
    <t>Year 1 gross yield</t>
  </si>
  <si>
    <t>Output Degradation Year 2-25</t>
  </si>
  <si>
    <t>Maintenance Capex</t>
  </si>
  <si>
    <t>Pay Back in years</t>
  </si>
  <si>
    <t>Tariff - generation subsidy (p/kWh)</t>
  </si>
  <si>
    <t>Inverter Maintenance capex 1 (£)</t>
  </si>
  <si>
    <t>Tariff - power exported (p/kWh)</t>
    <phoneticPr fontId="0" type="noConversion"/>
  </si>
  <si>
    <t>Inverter Maintenance capex 1 (year)</t>
  </si>
  <si>
    <t>Target IRR</t>
  </si>
  <si>
    <t>FMP</t>
  </si>
  <si>
    <t>Battery Maintenance capex 2 (£)</t>
  </si>
  <si>
    <t>discount on FMP</t>
  </si>
  <si>
    <t>Battery Maintenance capex 2 (year)</t>
  </si>
  <si>
    <t>Tariff - power used on site (p/kWh)</t>
    <phoneticPr fontId="0" type="noConversion"/>
  </si>
  <si>
    <t>Annual Interter Maintenance Reserve account</t>
  </si>
  <si>
    <t>Inflation costs (RPI)</t>
  </si>
  <si>
    <t>Annual Battery Maintenance Reserve account</t>
  </si>
  <si>
    <t>Inflation Export Tariff</t>
  </si>
  <si>
    <t>Inflation PPA</t>
  </si>
  <si>
    <t>Project life (years)</t>
    <phoneticPr fontId="0" type="noConversion"/>
  </si>
  <si>
    <t>Annual Costs</t>
    <phoneticPr fontId="0" type="noConversion"/>
  </si>
  <si>
    <t>Projects per SPV</t>
  </si>
  <si>
    <t>Billing costs</t>
  </si>
  <si>
    <t>Asset management cost / kWp</t>
  </si>
  <si>
    <t>Financing</t>
    <phoneticPr fontId="0" type="noConversion"/>
  </si>
  <si>
    <t>O&amp;M (£/kWp)</t>
  </si>
  <si>
    <t>Insurance (£/kWp)</t>
  </si>
  <si>
    <t>Business Rates (£/kWp)</t>
  </si>
  <si>
    <t>Contingency 1 (£/kWh/yr)</t>
  </si>
  <si>
    <t>Contingency 2 (£/project/yr)</t>
  </si>
  <si>
    <t>P&amp;L</t>
  </si>
  <si>
    <t>Tax (ECA)</t>
  </si>
  <si>
    <t>Initial Cost - Depreciation (yrs)</t>
    <phoneticPr fontId="0" type="noConversion"/>
  </si>
  <si>
    <t>Initial Cost - Depreciable Portion</t>
    <phoneticPr fontId="0" type="noConversion"/>
  </si>
  <si>
    <t>Maintenance Capex - Depreciation (yrs)</t>
    <phoneticPr fontId="0" type="noConversion"/>
  </si>
  <si>
    <t>Maintenance Capex - Depreciable Portion</t>
    <phoneticPr fontId="0" type="noConversion"/>
  </si>
  <si>
    <t>Tax Rate</t>
  </si>
  <si>
    <t>P&amp;L (year)</t>
    <phoneticPr fontId="0" type="noConversion"/>
  </si>
  <si>
    <t>Generated kWh</t>
  </si>
  <si>
    <t>Self consumed kWh</t>
  </si>
  <si>
    <t>Self consumption %</t>
  </si>
  <si>
    <t>Export Tariff</t>
  </si>
  <si>
    <t>Offtake Price</t>
  </si>
  <si>
    <t>Export income</t>
  </si>
  <si>
    <t>PPA income</t>
  </si>
  <si>
    <t>Billing</t>
  </si>
  <si>
    <t>Asset mangement</t>
  </si>
  <si>
    <t>O&amp;M</t>
  </si>
  <si>
    <t>Business Rates (and contingencies)</t>
  </si>
  <si>
    <t>Insurance</t>
  </si>
  <si>
    <t xml:space="preserve">EBITDA </t>
  </si>
  <si>
    <t>P&amp;L Depreciation</t>
  </si>
  <si>
    <t>Installation P&amp;L Dep'n</t>
  </si>
  <si>
    <t>Start</t>
  </si>
  <si>
    <t>End</t>
  </si>
  <si>
    <r>
      <t>Maintenance Capex</t>
    </r>
    <r>
      <rPr>
        <i/>
        <sz val="11"/>
        <color theme="0" tint="-0.34998626667073579"/>
        <rFont val="Calibri"/>
        <family val="2"/>
        <scheme val="minor"/>
      </rPr>
      <t xml:space="preserve"> 1 P&amp;L Dep'n</t>
    </r>
  </si>
  <si>
    <r>
      <t>Maintenance Capex</t>
    </r>
    <r>
      <rPr>
        <i/>
        <sz val="11"/>
        <color theme="0" tint="-0.34998626667073579"/>
        <rFont val="Calibri"/>
        <family val="2"/>
        <scheme val="minor"/>
      </rPr>
      <t xml:space="preserve"> 2 P&amp;L Dep'n</t>
    </r>
  </si>
  <si>
    <t>Original investment date</t>
  </si>
  <si>
    <t>Tax Depreciation</t>
  </si>
  <si>
    <t>Installation Tax Depreciation</t>
  </si>
  <si>
    <r>
      <t>Maintenance Capex</t>
    </r>
    <r>
      <rPr>
        <i/>
        <sz val="11"/>
        <color theme="0" tint="-0.34998626667073579"/>
        <rFont val="Calibri"/>
        <family val="2"/>
        <scheme val="minor"/>
      </rPr>
      <t xml:space="preserve"> 1 Tax Dep'n</t>
    </r>
  </si>
  <si>
    <r>
      <t>Maintenance Capex</t>
    </r>
    <r>
      <rPr>
        <i/>
        <sz val="11"/>
        <color theme="0" tint="-0.34998626667073579"/>
        <rFont val="Calibri"/>
        <family val="2"/>
        <scheme val="minor"/>
      </rPr>
      <t xml:space="preserve"> 2 Tax Dep'n</t>
    </r>
  </si>
  <si>
    <t>EBIT</t>
  </si>
  <si>
    <t>Cumulative</t>
  </si>
  <si>
    <t>Tax without interest shield</t>
  </si>
  <si>
    <t>Interest paid</t>
  </si>
  <si>
    <t>Interest received</t>
  </si>
  <si>
    <t>PBT</t>
  </si>
  <si>
    <t>Taxable Profits (After ECAs)</t>
  </si>
  <si>
    <t>Corporation Tax</t>
  </si>
  <si>
    <t>Net profit (Tax Accounting)</t>
  </si>
  <si>
    <t>Cumulative net profit (Tax Accounting)</t>
  </si>
  <si>
    <t>Taxable Profits (after ECAs; add back in interest)</t>
  </si>
  <si>
    <t>Corporation Tax (ignoring interest payments)</t>
  </si>
  <si>
    <t>Net profit (tax accounting; ignoring interest pmts)</t>
  </si>
  <si>
    <t>Cumulative net profit (tax accountign; ignoring interest pmts)</t>
  </si>
  <si>
    <t>Interest Tax Shield</t>
  </si>
  <si>
    <t>Net Profit</t>
  </si>
  <si>
    <t>Dividends</t>
  </si>
  <si>
    <t>Retained Earnings</t>
  </si>
  <si>
    <t>Cash Flow</t>
  </si>
  <si>
    <t>Interest Paid</t>
  </si>
  <si>
    <t>Interest Received</t>
  </si>
  <si>
    <t>Interest tax shield</t>
  </si>
  <si>
    <t>Depreciation</t>
  </si>
  <si>
    <t>Cash from Operations</t>
  </si>
  <si>
    <t>Initial Cost</t>
    <phoneticPr fontId="0" type="noConversion"/>
  </si>
  <si>
    <t>Inverter replacement costs</t>
  </si>
  <si>
    <t>battery replacement costs</t>
  </si>
  <si>
    <t>Total Capex</t>
  </si>
  <si>
    <t>Inverter reserve account contribution</t>
  </si>
  <si>
    <t>Inverter reserve account withdrawals</t>
  </si>
  <si>
    <t>Battery reserve account contribution</t>
  </si>
  <si>
    <t>Battery reserve account withdrawals</t>
  </si>
  <si>
    <t>Project Cash Flow</t>
  </si>
  <si>
    <t>Equity Cash Flows</t>
  </si>
  <si>
    <t>Project Cumulative Cash Flow</t>
  </si>
  <si>
    <t>Add Equity Raised</t>
  </si>
  <si>
    <t>Add Debt Raised</t>
  </si>
  <si>
    <t>Less Dividends Paid</t>
  </si>
  <si>
    <t>Less Principal Repaid</t>
  </si>
  <si>
    <t>Less Interest Paid</t>
  </si>
  <si>
    <t>Add Interest Received</t>
  </si>
  <si>
    <t>Add Interest Tax Shield</t>
  </si>
  <si>
    <t>Less Cash Distribution to equity</t>
    <phoneticPr fontId="0" type="noConversion"/>
  </si>
  <si>
    <t>Cash Flow After Financing</t>
  </si>
  <si>
    <t>Project Cash Flow (pre fees, pre tax)</t>
  </si>
  <si>
    <t>Project Cash Flow (post tax)</t>
  </si>
  <si>
    <t>Balance Sheet</t>
  </si>
  <si>
    <t>Assets</t>
  </si>
  <si>
    <t>Fixed Assets</t>
  </si>
  <si>
    <t>Current Assets</t>
  </si>
  <si>
    <t>MMRA balance</t>
  </si>
  <si>
    <t>Total Assets</t>
  </si>
  <si>
    <t>Liabilities</t>
  </si>
  <si>
    <t>Debt</t>
  </si>
  <si>
    <t>Total Liabilities</t>
  </si>
  <si>
    <t>Shareholders Equity</t>
  </si>
  <si>
    <t>Common Equity</t>
  </si>
  <si>
    <t>Total Equity</t>
  </si>
  <si>
    <t>Balance Check</t>
  </si>
  <si>
    <t xml:space="preserve">PPA Calculator </t>
  </si>
  <si>
    <t>Project Size</t>
  </si>
  <si>
    <t>(kWp)</t>
  </si>
  <si>
    <t>EPC Price</t>
  </si>
  <si>
    <t>£</t>
  </si>
  <si>
    <t>Self Consumption</t>
  </si>
  <si>
    <t>%</t>
  </si>
  <si>
    <t>£/kWp</t>
  </si>
  <si>
    <t>Customer:</t>
  </si>
  <si>
    <t>PPA Price</t>
  </si>
  <si>
    <t>(p/kWh)</t>
  </si>
  <si>
    <t xml:space="preserve">Total EPC Price </t>
  </si>
  <si>
    <t>output</t>
  </si>
  <si>
    <t>input</t>
  </si>
  <si>
    <t>Enter inputs into blue boxes below:</t>
  </si>
  <si>
    <t>Now iteratively enter PPA price until the Target IRR has been met (e.g., below answers "yes" and turns green).</t>
  </si>
  <si>
    <t>NB - the PPA price can be as low as possible whilst satisfying the Target IRR, but of course can be higher than this amount.</t>
  </si>
  <si>
    <t>Additional works</t>
  </si>
  <si>
    <t>pre fees, pre tax</t>
  </si>
  <si>
    <t>post tax</t>
  </si>
  <si>
    <t>EPC2</t>
  </si>
  <si>
    <t>Target</t>
  </si>
  <si>
    <t>Use Goal seek</t>
  </si>
  <si>
    <t>Invertor costs</t>
  </si>
  <si>
    <t>Yearly generation</t>
  </si>
  <si>
    <t>kWe</t>
  </si>
  <si>
    <t>Years 1- 3</t>
  </si>
  <si>
    <t>Years 4 - onwards</t>
  </si>
  <si>
    <t>years</t>
  </si>
  <si>
    <t>CHP - Installed power kWe</t>
  </si>
  <si>
    <t>kWe utilised</t>
  </si>
  <si>
    <t>EPC price</t>
  </si>
  <si>
    <t>Service</t>
  </si>
  <si>
    <t>CHP Service</t>
  </si>
  <si>
    <t>PV</t>
  </si>
  <si>
    <t>Invertor Costs</t>
  </si>
  <si>
    <t>Invertor size kWe</t>
  </si>
  <si>
    <t xml:space="preserve">PV1 </t>
  </si>
  <si>
    <t>Test</t>
  </si>
  <si>
    <t>Other insurance</t>
  </si>
  <si>
    <t>Other insurance cost</t>
  </si>
  <si>
    <t>Equity</t>
  </si>
  <si>
    <t>interest</t>
  </si>
  <si>
    <t>Term</t>
  </si>
  <si>
    <t>Dept repayment</t>
  </si>
  <si>
    <t>Amortisation</t>
  </si>
  <si>
    <t xml:space="preserve">Interest Rate </t>
  </si>
  <si>
    <t>Equity IRR pre tax</t>
  </si>
  <si>
    <t>Equity IRR post tax</t>
  </si>
  <si>
    <t>Additionals</t>
  </si>
  <si>
    <t>Other additionals</t>
  </si>
  <si>
    <t>Just change these ones</t>
  </si>
  <si>
    <t>Fixed price PPA</t>
  </si>
  <si>
    <t>0 - 50kWe</t>
  </si>
  <si>
    <t>temp sensor / radiationmeter</t>
  </si>
  <si>
    <t>plus weather station</t>
  </si>
  <si>
    <t>250kWe+</t>
  </si>
  <si>
    <t>50-250kwe</t>
  </si>
  <si>
    <t>temp sensor /pyronometer</t>
  </si>
  <si>
    <t>Debt total costs</t>
  </si>
  <si>
    <t>Debt Funding</t>
  </si>
  <si>
    <t>P&amp;L (year)</t>
  </si>
  <si>
    <t>Maintenance Capex 1 P&amp;L Dep'n</t>
  </si>
  <si>
    <t>Maintenance Capex 2 P&amp;L Dep'n</t>
  </si>
  <si>
    <t>Maintenance Capex 1 Tax Dep'n</t>
  </si>
  <si>
    <t>Maintenance Capex 2 Tax Dep'n</t>
  </si>
  <si>
    <t>Initial Cost</t>
  </si>
  <si>
    <t>Less Cash Distribution to equity</t>
  </si>
  <si>
    <t>Year</t>
  </si>
  <si>
    <t>Tariff - power exported (p/kWh)</t>
  </si>
  <si>
    <t>Tariff - power used on site (p/kWh)</t>
  </si>
  <si>
    <t>Project life (years)</t>
  </si>
  <si>
    <t>Annual Costs</t>
  </si>
  <si>
    <t>Initial Cost - Depreciation (yrs)</t>
  </si>
  <si>
    <t>Initial Cost - Depreciable Portion</t>
  </si>
  <si>
    <t>Maintenance Capex - Depreciation (yrs)</t>
  </si>
  <si>
    <t>Maintenance Capex - Depreciable Portion</t>
  </si>
  <si>
    <t>Ground rent</t>
  </si>
  <si>
    <t>Ground Rent</t>
  </si>
  <si>
    <t>RPI linked</t>
  </si>
  <si>
    <t>Other Additionals</t>
  </si>
  <si>
    <t>Ground area - acres</t>
  </si>
  <si>
    <t>£ / acre</t>
  </si>
  <si>
    <t>Commission</t>
  </si>
  <si>
    <t>RPI</t>
  </si>
  <si>
    <t>Commission Single Payment</t>
  </si>
  <si>
    <t>Commission - accrual</t>
  </si>
  <si>
    <t>Total</t>
  </si>
  <si>
    <t>% of EBITDA</t>
  </si>
  <si>
    <t>% profit</t>
  </si>
  <si>
    <t>% Capex</t>
  </si>
  <si>
    <t>EPC price £/kWp</t>
  </si>
  <si>
    <t>Project Size - kWp</t>
  </si>
  <si>
    <t>Yearly Yield  - kWe</t>
  </si>
  <si>
    <t>PPA Price - pkWe</t>
  </si>
  <si>
    <t>Inputs</t>
  </si>
  <si>
    <t>Outputs</t>
  </si>
  <si>
    <t>Contract Length - Years</t>
  </si>
  <si>
    <t>Do not use lower than 20 years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</si>
</sst>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8">
    <numFmt numFmtId="42" formatCode="_-&quot;£&quot;* #,##0_-;\-&quot;£&quot;* #,##0_-;_-&quot;£&quot;* &quot;-&quot;_-;_-@_-"/>
    <numFmt numFmtId="44" formatCode="_-&quot;£&quot;* #,##0.00_-;\-&quot;£&quot;* #,##0.00_-;_-&quot;£&quot;* &quot;-&quot;??_-;_-@_-"/>
    <numFmt numFmtId="43" formatCode="_-* #,##0.00_-;\-* #,##0.00_-;_-* &quot;-&quot;??_-;_-@_-"/>
    <numFmt numFmtId="164" formatCode="_-&quot;£&quot;* #,##0_-;\-&quot;£&quot;* #,##0_-;_-&quot;£&quot;* &quot;-&quot;??_-;_-@_-"/>
    <numFmt numFmtId="165" formatCode="_(* #,##0.00_);_(* \(#,##0.00\);_(* &quot;-&quot;??_);_(@_)"/>
    <numFmt numFmtId="166" formatCode="&quot;£&quot;#,##0"/>
    <numFmt numFmtId="167" formatCode="0.0%"/>
    <numFmt numFmtId="168" formatCode="0.000%"/>
    <numFmt numFmtId="169" formatCode="_-* #,##0.0_-;\-* #,##0.0_-;_-* &quot;-&quot;??_-;_-@_-"/>
    <numFmt numFmtId="170" formatCode="0.000"/>
    <numFmt numFmtId="171" formatCode="&quot;£&quot;#,##0.00"/>
    <numFmt numFmtId="172" formatCode="_-* #,##0_-;\-* #,##0_-;_-* &quot;-&quot;??_-;_-@_-"/>
    <numFmt numFmtId="173" formatCode="_ * #,##0.00_ ;_ * \-#,##0.00_ ;_ * &quot;-&quot;??_ ;_ @_ "/>
    <numFmt numFmtId="174" formatCode="_(* #,##0_);_(* \(#,##0\);_(* &quot;-&quot;??_);_(@_)"/>
    <numFmt numFmtId="175" formatCode="_-* #,##0_-;\-* #,##0_-;_-* &quot;-&quot;?_-;_-@_-"/>
    <numFmt numFmtId="176" formatCode="_(&quot;£&quot;* #,##0_);_(&quot;£&quot;* \(#,##0\);_(&quot;£&quot;* &quot;-&quot;??_);_(@_)"/>
    <numFmt numFmtId="177" formatCode="#,##0_ ;\-#,##0\ "/>
    <numFmt numFmtId="178" formatCode="#,##0.0_ ;\-#,##0.0\ "/>
  </numFmts>
  <fonts count="3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indexed="8"/>
      <name val="Calibri"/>
      <family val="2"/>
    </font>
    <font>
      <sz val="11"/>
      <color theme="4" tint="-0.499984740745262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indexed="9"/>
      <name val="Calibri"/>
      <family val="2"/>
    </font>
    <font>
      <i/>
      <sz val="11"/>
      <color theme="0" tint="-0.34998626667073579"/>
      <name val="Calibri"/>
      <family val="2"/>
      <scheme val="minor"/>
    </font>
    <font>
      <i/>
      <sz val="11"/>
      <color theme="0" tint="-0.34998626667073579"/>
      <name val="Calibri"/>
      <family val="2"/>
    </font>
    <font>
      <sz val="11"/>
      <color theme="0" tint="-0.34998626667073579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name val="Calibri"/>
      <family val="2"/>
      <scheme val="minor"/>
    </font>
    <font>
      <i/>
      <sz val="11"/>
      <color indexed="8"/>
      <name val="Calibri"/>
      <family val="2"/>
    </font>
    <font>
      <sz val="11"/>
      <color theme="1"/>
      <name val="Calibri Light"/>
      <family val="2"/>
      <scheme val="major"/>
    </font>
    <font>
      <b/>
      <sz val="11"/>
      <color theme="1"/>
      <name val="Calibri Light"/>
      <family val="2"/>
      <scheme val="major"/>
    </font>
    <font>
      <b/>
      <sz val="18"/>
      <color theme="8" tint="-0.249977111117893"/>
      <name val="Calibri"/>
      <family val="2"/>
    </font>
    <font>
      <i/>
      <sz val="8"/>
      <color theme="1"/>
      <name val="Calibri Light"/>
      <family val="2"/>
      <scheme val="major"/>
    </font>
    <font>
      <i/>
      <sz val="8"/>
      <color theme="8" tint="-0.249977111117893"/>
      <name val="Calibri Light"/>
      <family val="2"/>
      <scheme val="major"/>
    </font>
    <font>
      <i/>
      <sz val="8"/>
      <color rgb="FF00B050"/>
      <name val="Calibri Light"/>
      <family val="2"/>
      <scheme val="major"/>
    </font>
    <font>
      <i/>
      <sz val="11"/>
      <color theme="8" tint="-0.249977111117893"/>
      <name val="Calibri Light"/>
      <family val="2"/>
      <scheme val="major"/>
    </font>
    <font>
      <b/>
      <i/>
      <sz val="11"/>
      <color theme="8" tint="-0.249977111117893"/>
      <name val="Calibri Light"/>
      <family val="2"/>
      <scheme val="major"/>
    </font>
    <font>
      <b/>
      <i/>
      <sz val="11"/>
      <color theme="1"/>
      <name val="Calibri Light"/>
      <family val="2"/>
      <scheme val="major"/>
    </font>
    <font>
      <b/>
      <sz val="11"/>
      <color rgb="FF444444"/>
      <name val="Calibri"/>
      <family val="2"/>
      <scheme val="minor"/>
    </font>
    <font>
      <b/>
      <sz val="11"/>
      <color rgb="FFFF0000"/>
      <name val="Calibri Light"/>
      <family val="2"/>
      <scheme val="major"/>
    </font>
    <font>
      <sz val="16"/>
      <color theme="1"/>
      <name val="Calibri"/>
      <family val="2"/>
      <scheme val="minor"/>
    </font>
    <font>
      <sz val="11"/>
      <color theme="0"/>
      <name val="Calibri Light"/>
      <family val="2"/>
      <scheme val="major"/>
    </font>
  </fonts>
  <fills count="2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29">
    <xf numFmtId="0" fontId="0" fillId="0" borderId="0" xfId="0"/>
    <xf numFmtId="44" fontId="0" fillId="0" borderId="0" xfId="2" applyFont="1"/>
    <xf numFmtId="0" fontId="2" fillId="3" borderId="0" xfId="0" applyFont="1" applyFill="1"/>
    <xf numFmtId="0" fontId="4" fillId="0" borderId="0" xfId="0" applyFont="1"/>
    <xf numFmtId="0" fontId="6" fillId="0" borderId="0" xfId="0" applyFont="1"/>
    <xf numFmtId="166" fontId="4" fillId="4" borderId="0" xfId="1" applyNumberFormat="1" applyFont="1" applyFill="1"/>
    <xf numFmtId="166" fontId="0" fillId="0" borderId="0" xfId="0" applyNumberFormat="1"/>
    <xf numFmtId="10" fontId="7" fillId="0" borderId="0" xfId="0" applyNumberFormat="1" applyFont="1"/>
    <xf numFmtId="0" fontId="7" fillId="5" borderId="0" xfId="0" applyFont="1" applyFill="1"/>
    <xf numFmtId="165" fontId="0" fillId="2" borderId="0" xfId="0" applyNumberFormat="1" applyFill="1"/>
    <xf numFmtId="0" fontId="0" fillId="6" borderId="0" xfId="0" applyFill="1"/>
    <xf numFmtId="0" fontId="4" fillId="0" borderId="0" xfId="0" applyFont="1" applyAlignment="1">
      <alignment vertical="center"/>
    </xf>
    <xf numFmtId="0" fontId="0" fillId="0" borderId="0" xfId="0" applyAlignment="1">
      <alignment vertical="center"/>
    </xf>
    <xf numFmtId="167" fontId="4" fillId="4" borderId="0" xfId="0" applyNumberFormat="1" applyFont="1" applyFill="1"/>
    <xf numFmtId="0" fontId="8" fillId="0" borderId="0" xfId="0" applyFont="1"/>
    <xf numFmtId="0" fontId="3" fillId="0" borderId="0" xfId="0" applyFont="1"/>
    <xf numFmtId="164" fontId="8" fillId="5" borderId="0" xfId="0" applyNumberFormat="1" applyFont="1" applyFill="1"/>
    <xf numFmtId="168" fontId="4" fillId="2" borderId="0" xfId="0" applyNumberFormat="1" applyFont="1" applyFill="1" applyAlignment="1">
      <alignment vertical="center"/>
    </xf>
    <xf numFmtId="164" fontId="0" fillId="7" borderId="0" xfId="0" applyNumberFormat="1" applyFill="1"/>
    <xf numFmtId="10" fontId="0" fillId="0" borderId="0" xfId="0" applyNumberFormat="1"/>
    <xf numFmtId="170" fontId="7" fillId="0" borderId="0" xfId="1" applyNumberFormat="1" applyFont="1" applyFill="1"/>
    <xf numFmtId="164" fontId="7" fillId="2" borderId="0" xfId="0" applyNumberFormat="1" applyFont="1" applyFill="1"/>
    <xf numFmtId="0" fontId="0" fillId="0" borderId="0" xfId="0" applyAlignment="1">
      <alignment horizontal="right" vertical="center"/>
    </xf>
    <xf numFmtId="10" fontId="7" fillId="5" borderId="0" xfId="0" applyNumberFormat="1" applyFont="1" applyFill="1"/>
    <xf numFmtId="164" fontId="7" fillId="5" borderId="0" xfId="0" applyNumberFormat="1" applyFont="1" applyFill="1"/>
    <xf numFmtId="0" fontId="9" fillId="0" borderId="0" xfId="0" applyFont="1" applyAlignment="1">
      <alignment vertical="center"/>
    </xf>
    <xf numFmtId="171" fontId="5" fillId="0" borderId="0" xfId="0" applyNumberFormat="1" applyFont="1" applyAlignment="1">
      <alignment vertical="center"/>
    </xf>
    <xf numFmtId="164" fontId="0" fillId="0" borderId="0" xfId="0" applyNumberFormat="1"/>
    <xf numFmtId="0" fontId="0" fillId="0" borderId="0" xfId="0" applyAlignment="1">
      <alignment horizontal="center" vertical="center"/>
    </xf>
    <xf numFmtId="0" fontId="7" fillId="0" borderId="0" xfId="0" applyFont="1"/>
    <xf numFmtId="44" fontId="7" fillId="7" borderId="0" xfId="0" applyNumberFormat="1" applyFont="1" applyFill="1"/>
    <xf numFmtId="44" fontId="0" fillId="0" borderId="0" xfId="0" applyNumberFormat="1"/>
    <xf numFmtId="0" fontId="9" fillId="0" borderId="0" xfId="0" applyFont="1" applyAlignment="1">
      <alignment horizontal="left" vertical="center"/>
    </xf>
    <xf numFmtId="14" fontId="10" fillId="0" borderId="0" xfId="0" applyNumberFormat="1" applyFont="1"/>
    <xf numFmtId="0" fontId="8" fillId="0" borderId="0" xfId="0" applyFont="1" applyAlignment="1">
      <alignment horizontal="left"/>
    </xf>
    <xf numFmtId="0" fontId="3" fillId="5" borderId="0" xfId="0" applyFont="1" applyFill="1"/>
    <xf numFmtId="167" fontId="3" fillId="5" borderId="0" xfId="0" applyNumberFormat="1" applyFont="1" applyFill="1"/>
    <xf numFmtId="14" fontId="0" fillId="0" borderId="0" xfId="0" applyNumberFormat="1"/>
    <xf numFmtId="172" fontId="0" fillId="0" borderId="0" xfId="0" applyNumberFormat="1"/>
    <xf numFmtId="173" fontId="0" fillId="0" borderId="0" xfId="0" applyNumberFormat="1"/>
    <xf numFmtId="0" fontId="11" fillId="3" borderId="0" xfId="0" applyFont="1" applyFill="1"/>
    <xf numFmtId="2" fontId="0" fillId="0" borderId="0" xfId="1" applyNumberFormat="1" applyFont="1"/>
    <xf numFmtId="172" fontId="0" fillId="0" borderId="0" xfId="1" applyNumberFormat="1" applyFont="1"/>
    <xf numFmtId="174" fontId="0" fillId="0" borderId="0" xfId="0" applyNumberFormat="1"/>
    <xf numFmtId="10" fontId="0" fillId="0" borderId="0" xfId="3" applyNumberFormat="1" applyFont="1"/>
    <xf numFmtId="165" fontId="0" fillId="0" borderId="0" xfId="0" applyNumberFormat="1"/>
    <xf numFmtId="169" fontId="1" fillId="0" borderId="0" xfId="1" applyNumberFormat="1" applyFont="1"/>
    <xf numFmtId="172" fontId="1" fillId="0" borderId="0" xfId="1" applyNumberFormat="1" applyFont="1"/>
    <xf numFmtId="172" fontId="4" fillId="0" borderId="0" xfId="1" applyNumberFormat="1" applyFont="1"/>
    <xf numFmtId="43" fontId="0" fillId="0" borderId="0" xfId="0" applyNumberFormat="1"/>
    <xf numFmtId="0" fontId="4" fillId="8" borderId="0" xfId="0" applyFont="1" applyFill="1"/>
    <xf numFmtId="172" fontId="4" fillId="8" borderId="0" xfId="0" applyNumberFormat="1" applyFont="1" applyFill="1"/>
    <xf numFmtId="9" fontId="10" fillId="0" borderId="0" xfId="3" applyFont="1"/>
    <xf numFmtId="175" fontId="0" fillId="0" borderId="0" xfId="0" applyNumberFormat="1"/>
    <xf numFmtId="0" fontId="12" fillId="0" borderId="0" xfId="0" applyFont="1"/>
    <xf numFmtId="175" fontId="12" fillId="0" borderId="0" xfId="0" applyNumberFormat="1" applyFont="1"/>
    <xf numFmtId="172" fontId="12" fillId="0" borderId="0" xfId="1" applyNumberFormat="1" applyFont="1"/>
    <xf numFmtId="172" fontId="12" fillId="0" borderId="0" xfId="0" applyNumberFormat="1" applyFont="1"/>
    <xf numFmtId="0" fontId="13" fillId="0" borderId="0" xfId="0" applyFont="1"/>
    <xf numFmtId="0" fontId="10" fillId="0" borderId="0" xfId="0" applyFont="1"/>
    <xf numFmtId="172" fontId="10" fillId="0" borderId="0" xfId="0" applyNumberFormat="1" applyFont="1"/>
    <xf numFmtId="172" fontId="4" fillId="0" borderId="0" xfId="0" applyNumberFormat="1" applyFont="1"/>
    <xf numFmtId="172" fontId="0" fillId="0" borderId="0" xfId="1" applyNumberFormat="1" applyFont="1" applyFill="1"/>
    <xf numFmtId="0" fontId="14" fillId="0" borderId="0" xfId="0" applyFont="1"/>
    <xf numFmtId="172" fontId="14" fillId="0" borderId="0" xfId="1" applyNumberFormat="1" applyFont="1"/>
    <xf numFmtId="172" fontId="14" fillId="0" borderId="0" xfId="0" applyNumberFormat="1" applyFont="1"/>
    <xf numFmtId="172" fontId="14" fillId="0" borderId="0" xfId="1" applyNumberFormat="1" applyFont="1" applyFill="1"/>
    <xf numFmtId="0" fontId="4" fillId="2" borderId="0" xfId="0" applyFont="1" applyFill="1"/>
    <xf numFmtId="172" fontId="4" fillId="2" borderId="0" xfId="0" applyNumberFormat="1" applyFont="1" applyFill="1"/>
    <xf numFmtId="176" fontId="0" fillId="0" borderId="0" xfId="2" applyNumberFormat="1" applyFont="1"/>
    <xf numFmtId="176" fontId="15" fillId="0" borderId="0" xfId="2" applyNumberFormat="1" applyFont="1"/>
    <xf numFmtId="176" fontId="4" fillId="0" borderId="0" xfId="2" applyNumberFormat="1" applyFont="1"/>
    <xf numFmtId="9" fontId="4" fillId="0" borderId="0" xfId="0" applyNumberFormat="1" applyFont="1"/>
    <xf numFmtId="172" fontId="8" fillId="0" borderId="0" xfId="1" applyNumberFormat="1" applyFont="1"/>
    <xf numFmtId="172" fontId="8" fillId="0" borderId="0" xfId="1" applyNumberFormat="1" applyFont="1" applyFill="1"/>
    <xf numFmtId="0" fontId="16" fillId="0" borderId="0" xfId="0" applyFont="1"/>
    <xf numFmtId="172" fontId="16" fillId="0" borderId="0" xfId="0" applyNumberFormat="1" applyFont="1"/>
    <xf numFmtId="174" fontId="10" fillId="0" borderId="0" xfId="0" applyNumberFormat="1" applyFont="1"/>
    <xf numFmtId="174" fontId="16" fillId="0" borderId="0" xfId="0" applyNumberFormat="1" applyFont="1"/>
    <xf numFmtId="174" fontId="16" fillId="0" borderId="0" xfId="1" applyNumberFormat="1" applyFont="1"/>
    <xf numFmtId="172" fontId="10" fillId="0" borderId="0" xfId="1" applyNumberFormat="1" applyFont="1"/>
    <xf numFmtId="0" fontId="17" fillId="0" borderId="0" xfId="0" applyFont="1"/>
    <xf numFmtId="167" fontId="0" fillId="0" borderId="0" xfId="3" applyNumberFormat="1" applyFont="1"/>
    <xf numFmtId="172" fontId="0" fillId="0" borderId="0" xfId="0" applyNumberFormat="1" applyAlignment="1">
      <alignment vertical="center"/>
    </xf>
    <xf numFmtId="172" fontId="8" fillId="0" borderId="0" xfId="0" applyNumberFormat="1" applyFont="1"/>
    <xf numFmtId="44" fontId="0" fillId="9" borderId="0" xfId="2" applyFont="1" applyFill="1"/>
    <xf numFmtId="43" fontId="7" fillId="0" borderId="0" xfId="1" applyFont="1" applyFill="1"/>
    <xf numFmtId="167" fontId="0" fillId="0" borderId="0" xfId="0" applyNumberFormat="1"/>
    <xf numFmtId="0" fontId="18" fillId="10" borderId="0" xfId="0" applyFont="1" applyFill="1"/>
    <xf numFmtId="0" fontId="18" fillId="0" borderId="0" xfId="0" applyFont="1"/>
    <xf numFmtId="0" fontId="18" fillId="11" borderId="0" xfId="0" applyFont="1" applyFill="1" applyAlignment="1">
      <alignment horizontal="center"/>
    </xf>
    <xf numFmtId="9" fontId="18" fillId="11" borderId="0" xfId="0" applyNumberFormat="1" applyFont="1" applyFill="1"/>
    <xf numFmtId="0" fontId="18" fillId="11" borderId="0" xfId="0" applyFont="1" applyFill="1"/>
    <xf numFmtId="0" fontId="19" fillId="10" borderId="0" xfId="0" applyFont="1" applyFill="1"/>
    <xf numFmtId="0" fontId="18" fillId="10" borderId="0" xfId="0" applyFont="1" applyFill="1" applyAlignment="1">
      <alignment horizontal="center"/>
    </xf>
    <xf numFmtId="2" fontId="18" fillId="11" borderId="0" xfId="0" applyNumberFormat="1" applyFont="1" applyFill="1"/>
    <xf numFmtId="43" fontId="18" fillId="12" borderId="0" xfId="1" applyFont="1" applyFill="1"/>
    <xf numFmtId="0" fontId="21" fillId="10" borderId="0" xfId="0" applyFont="1" applyFill="1"/>
    <xf numFmtId="0" fontId="22" fillId="10" borderId="0" xfId="0" applyFont="1" applyFill="1"/>
    <xf numFmtId="0" fontId="23" fillId="10" borderId="0" xfId="0" applyFont="1" applyFill="1"/>
    <xf numFmtId="0" fontId="24" fillId="10" borderId="0" xfId="0" applyFont="1" applyFill="1"/>
    <xf numFmtId="0" fontId="25" fillId="10" borderId="0" xfId="0" applyFont="1" applyFill="1"/>
    <xf numFmtId="0" fontId="26" fillId="10" borderId="0" xfId="0" applyFont="1" applyFill="1"/>
    <xf numFmtId="0" fontId="27" fillId="0" borderId="0" xfId="0" applyFont="1"/>
    <xf numFmtId="177" fontId="0" fillId="0" borderId="0" xfId="0" applyNumberFormat="1" applyAlignment="1">
      <alignment vertical="center"/>
    </xf>
    <xf numFmtId="9" fontId="0" fillId="0" borderId="0" xfId="0" applyNumberFormat="1"/>
    <xf numFmtId="2" fontId="0" fillId="0" borderId="0" xfId="0" applyNumberFormat="1"/>
    <xf numFmtId="10" fontId="18" fillId="10" borderId="0" xfId="0" applyNumberFormat="1" applyFont="1" applyFill="1"/>
    <xf numFmtId="3" fontId="18" fillId="11" borderId="0" xfId="0" applyNumberFormat="1" applyFont="1" applyFill="1"/>
    <xf numFmtId="42" fontId="0" fillId="13" borderId="0" xfId="0" applyNumberFormat="1" applyFill="1"/>
    <xf numFmtId="0" fontId="28" fillId="0" borderId="0" xfId="0" applyFont="1"/>
    <xf numFmtId="42" fontId="0" fillId="0" borderId="0" xfId="0" applyNumberFormat="1"/>
    <xf numFmtId="42" fontId="18" fillId="10" borderId="0" xfId="0" applyNumberFormat="1" applyFont="1" applyFill="1"/>
    <xf numFmtId="0" fontId="18" fillId="5" borderId="0" xfId="0" applyFont="1" applyFill="1"/>
    <xf numFmtId="3" fontId="18" fillId="5" borderId="0" xfId="0" applyNumberFormat="1" applyFont="1" applyFill="1"/>
    <xf numFmtId="42" fontId="18" fillId="5" borderId="0" xfId="0" applyNumberFormat="1" applyFont="1" applyFill="1"/>
    <xf numFmtId="0" fontId="18" fillId="12" borderId="0" xfId="0" applyFont="1" applyFill="1"/>
    <xf numFmtId="0" fontId="19" fillId="0" borderId="0" xfId="0" applyFont="1"/>
    <xf numFmtId="0" fontId="19" fillId="5" borderId="0" xfId="0" applyFont="1" applyFill="1"/>
    <xf numFmtId="9" fontId="3" fillId="0" borderId="0" xfId="0" applyNumberFormat="1" applyFont="1"/>
    <xf numFmtId="0" fontId="0" fillId="2" borderId="0" xfId="0" applyFill="1"/>
    <xf numFmtId="172" fontId="0" fillId="2" borderId="0" xfId="1" applyNumberFormat="1" applyFont="1" applyFill="1"/>
    <xf numFmtId="10" fontId="3" fillId="0" borderId="0" xfId="0" applyNumberFormat="1" applyFont="1"/>
    <xf numFmtId="42" fontId="3" fillId="0" borderId="0" xfId="0" applyNumberFormat="1" applyFont="1"/>
    <xf numFmtId="2" fontId="18" fillId="0" borderId="0" xfId="0" applyNumberFormat="1" applyFont="1"/>
    <xf numFmtId="0" fontId="3" fillId="14" borderId="1" xfId="0" applyFont="1" applyFill="1" applyBorder="1"/>
    <xf numFmtId="0" fontId="3" fillId="0" borderId="2" xfId="0" applyFont="1" applyBorder="1"/>
    <xf numFmtId="9" fontId="3" fillId="14" borderId="3" xfId="0" applyNumberFormat="1" applyFont="1" applyFill="1" applyBorder="1"/>
    <xf numFmtId="0" fontId="0" fillId="14" borderId="4" xfId="0" applyFill="1" applyBorder="1"/>
    <xf numFmtId="0" fontId="3" fillId="0" borderId="5" xfId="0" applyFont="1" applyBorder="1"/>
    <xf numFmtId="0" fontId="18" fillId="14" borderId="6" xfId="0" applyFont="1" applyFill="1" applyBorder="1"/>
    <xf numFmtId="0" fontId="3" fillId="0" borderId="7" xfId="0" applyFont="1" applyBorder="1"/>
    <xf numFmtId="167" fontId="3" fillId="14" borderId="8" xfId="0" applyNumberFormat="1" applyFont="1" applyFill="1" applyBorder="1"/>
    <xf numFmtId="0" fontId="18" fillId="14" borderId="9" xfId="0" applyFont="1" applyFill="1" applyBorder="1"/>
    <xf numFmtId="2" fontId="18" fillId="15" borderId="0" xfId="0" applyNumberFormat="1" applyFont="1" applyFill="1"/>
    <xf numFmtId="1" fontId="18" fillId="0" borderId="0" xfId="0" applyNumberFormat="1" applyFont="1"/>
    <xf numFmtId="1" fontId="19" fillId="5" borderId="0" xfId="0" applyNumberFormat="1" applyFont="1" applyFill="1"/>
    <xf numFmtId="0" fontId="18" fillId="15" borderId="0" xfId="0" applyFont="1" applyFill="1"/>
    <xf numFmtId="0" fontId="23" fillId="0" borderId="0" xfId="0" applyFont="1"/>
    <xf numFmtId="0" fontId="18" fillId="10" borderId="2" xfId="0" applyFont="1" applyFill="1" applyBorder="1"/>
    <xf numFmtId="0" fontId="18" fillId="10" borderId="10" xfId="0" applyFont="1" applyFill="1" applyBorder="1"/>
    <xf numFmtId="9" fontId="18" fillId="11" borderId="10" xfId="0" applyNumberFormat="1" applyFont="1" applyFill="1" applyBorder="1"/>
    <xf numFmtId="0" fontId="22" fillId="10" borderId="11" xfId="0" applyFont="1" applyFill="1" applyBorder="1"/>
    <xf numFmtId="0" fontId="18" fillId="10" borderId="5" xfId="0" applyFont="1" applyFill="1" applyBorder="1"/>
    <xf numFmtId="0" fontId="22" fillId="10" borderId="12" xfId="0" applyFont="1" applyFill="1" applyBorder="1"/>
    <xf numFmtId="0" fontId="18" fillId="10" borderId="7" xfId="0" applyFont="1" applyFill="1" applyBorder="1"/>
    <xf numFmtId="0" fontId="18" fillId="10" borderId="13" xfId="0" applyFont="1" applyFill="1" applyBorder="1"/>
    <xf numFmtId="0" fontId="18" fillId="11" borderId="13" xfId="0" applyFont="1" applyFill="1" applyBorder="1"/>
    <xf numFmtId="0" fontId="22" fillId="10" borderId="14" xfId="0" applyFont="1" applyFill="1" applyBorder="1"/>
    <xf numFmtId="0" fontId="18" fillId="5" borderId="10" xfId="0" applyFont="1" applyFill="1" applyBorder="1"/>
    <xf numFmtId="42" fontId="18" fillId="5" borderId="13" xfId="0" applyNumberFormat="1" applyFont="1" applyFill="1" applyBorder="1"/>
    <xf numFmtId="3" fontId="18" fillId="10" borderId="0" xfId="0" applyNumberFormat="1" applyFont="1" applyFill="1"/>
    <xf numFmtId="42" fontId="18" fillId="10" borderId="13" xfId="0" applyNumberFormat="1" applyFont="1" applyFill="1" applyBorder="1"/>
    <xf numFmtId="178" fontId="7" fillId="0" borderId="0" xfId="1" applyNumberFormat="1" applyFont="1" applyFill="1" applyBorder="1"/>
    <xf numFmtId="0" fontId="0" fillId="16" borderId="0" xfId="0" applyFill="1"/>
    <xf numFmtId="172" fontId="0" fillId="16" borderId="0" xfId="0" applyNumberFormat="1" applyFill="1"/>
    <xf numFmtId="172" fontId="0" fillId="16" borderId="0" xfId="1" applyNumberFormat="1" applyFont="1" applyFill="1"/>
    <xf numFmtId="174" fontId="10" fillId="16" borderId="0" xfId="0" applyNumberFormat="1" applyFont="1" applyFill="1"/>
    <xf numFmtId="170" fontId="7" fillId="16" borderId="0" xfId="1" applyNumberFormat="1" applyFont="1" applyFill="1"/>
    <xf numFmtId="44" fontId="7" fillId="16" borderId="0" xfId="0" applyNumberFormat="1" applyFont="1" applyFill="1"/>
    <xf numFmtId="167" fontId="7" fillId="0" borderId="0" xfId="0" applyNumberFormat="1" applyFont="1"/>
    <xf numFmtId="44" fontId="7" fillId="0" borderId="0" xfId="0" applyNumberFormat="1" applyFont="1"/>
    <xf numFmtId="0" fontId="7" fillId="0" borderId="0" xfId="1" applyNumberFormat="1" applyFont="1" applyFill="1"/>
    <xf numFmtId="166" fontId="4" fillId="0" borderId="0" xfId="0" applyNumberFormat="1" applyFont="1" applyAlignment="1">
      <alignment vertical="center"/>
    </xf>
    <xf numFmtId="10" fontId="8" fillId="0" borderId="0" xfId="3" applyNumberFormat="1" applyFont="1" applyFill="1" applyBorder="1" applyAlignment="1">
      <alignment vertical="center"/>
    </xf>
    <xf numFmtId="0" fontId="0" fillId="12" borderId="15" xfId="0" applyFill="1" applyBorder="1"/>
    <xf numFmtId="10" fontId="0" fillId="12" borderId="17" xfId="0" applyNumberFormat="1" applyFill="1" applyBorder="1"/>
    <xf numFmtId="0" fontId="0" fillId="12" borderId="17" xfId="0" applyFill="1" applyBorder="1"/>
    <xf numFmtId="42" fontId="0" fillId="12" borderId="17" xfId="0" applyNumberFormat="1" applyFill="1" applyBorder="1"/>
    <xf numFmtId="42" fontId="0" fillId="12" borderId="16" xfId="0" applyNumberFormat="1" applyFill="1" applyBorder="1"/>
    <xf numFmtId="0" fontId="0" fillId="5" borderId="2" xfId="0" applyFill="1" applyBorder="1"/>
    <xf numFmtId="10" fontId="0" fillId="5" borderId="10" xfId="0" applyNumberFormat="1" applyFill="1" applyBorder="1"/>
    <xf numFmtId="0" fontId="0" fillId="5" borderId="10" xfId="0" applyFill="1" applyBorder="1"/>
    <xf numFmtId="42" fontId="0" fillId="5" borderId="10" xfId="0" applyNumberFormat="1" applyFill="1" applyBorder="1"/>
    <xf numFmtId="42" fontId="0" fillId="5" borderId="11" xfId="0" applyNumberFormat="1" applyFill="1" applyBorder="1"/>
    <xf numFmtId="0" fontId="0" fillId="5" borderId="5" xfId="0" applyFill="1" applyBorder="1"/>
    <xf numFmtId="0" fontId="0" fillId="5" borderId="0" xfId="0" applyFill="1"/>
    <xf numFmtId="42" fontId="0" fillId="5" borderId="0" xfId="0" applyNumberFormat="1" applyFill="1"/>
    <xf numFmtId="42" fontId="0" fillId="5" borderId="12" xfId="0" applyNumberFormat="1" applyFill="1" applyBorder="1"/>
    <xf numFmtId="0" fontId="0" fillId="5" borderId="12" xfId="0" applyFill="1" applyBorder="1"/>
    <xf numFmtId="0" fontId="0" fillId="5" borderId="7" xfId="0" applyFill="1" applyBorder="1"/>
    <xf numFmtId="0" fontId="0" fillId="5" borderId="13" xfId="0" applyFill="1" applyBorder="1"/>
    <xf numFmtId="42" fontId="0" fillId="5" borderId="13" xfId="0" applyNumberFormat="1" applyFill="1" applyBorder="1"/>
    <xf numFmtId="42" fontId="0" fillId="5" borderId="14" xfId="0" applyNumberFormat="1" applyFill="1" applyBorder="1"/>
    <xf numFmtId="0" fontId="18" fillId="11" borderId="15" xfId="0" applyFont="1" applyFill="1" applyBorder="1"/>
    <xf numFmtId="42" fontId="18" fillId="11" borderId="16" xfId="0" applyNumberFormat="1" applyFont="1" applyFill="1" applyBorder="1"/>
    <xf numFmtId="10" fontId="18" fillId="11" borderId="18" xfId="0" applyNumberFormat="1" applyFont="1" applyFill="1" applyBorder="1"/>
    <xf numFmtId="0" fontId="18" fillId="12" borderId="15" xfId="0" applyFont="1" applyFill="1" applyBorder="1"/>
    <xf numFmtId="42" fontId="18" fillId="12" borderId="16" xfId="0" applyNumberFormat="1" applyFont="1" applyFill="1" applyBorder="1"/>
    <xf numFmtId="10" fontId="18" fillId="12" borderId="18" xfId="0" applyNumberFormat="1" applyFont="1" applyFill="1" applyBorder="1"/>
    <xf numFmtId="2" fontId="18" fillId="10" borderId="0" xfId="0" applyNumberFormat="1" applyFont="1" applyFill="1"/>
    <xf numFmtId="0" fontId="18" fillId="17" borderId="2" xfId="0" applyFont="1" applyFill="1" applyBorder="1"/>
    <xf numFmtId="0" fontId="18" fillId="17" borderId="11" xfId="0" applyFont="1" applyFill="1" applyBorder="1"/>
    <xf numFmtId="0" fontId="18" fillId="17" borderId="7" xfId="0" applyFont="1" applyFill="1" applyBorder="1"/>
    <xf numFmtId="42" fontId="18" fillId="17" borderId="14" xfId="0" applyNumberFormat="1" applyFont="1" applyFill="1" applyBorder="1"/>
    <xf numFmtId="0" fontId="18" fillId="17" borderId="15" xfId="0" applyFont="1" applyFill="1" applyBorder="1"/>
    <xf numFmtId="42" fontId="18" fillId="17" borderId="16" xfId="0" applyNumberFormat="1" applyFont="1" applyFill="1" applyBorder="1"/>
    <xf numFmtId="10" fontId="18" fillId="17" borderId="18" xfId="0" applyNumberFormat="1" applyFont="1" applyFill="1" applyBorder="1"/>
    <xf numFmtId="0" fontId="0" fillId="16" borderId="15" xfId="0" applyFill="1" applyBorder="1"/>
    <xf numFmtId="44" fontId="18" fillId="16" borderId="16" xfId="0" applyNumberFormat="1" applyFont="1" applyFill="1" applyBorder="1"/>
    <xf numFmtId="9" fontId="18" fillId="12" borderId="17" xfId="0" applyNumberFormat="1" applyFont="1" applyFill="1" applyBorder="1"/>
    <xf numFmtId="0" fontId="18" fillId="12" borderId="2" xfId="0" applyFont="1" applyFill="1" applyBorder="1"/>
    <xf numFmtId="0" fontId="18" fillId="12" borderId="5" xfId="0" applyFont="1" applyFill="1" applyBorder="1"/>
    <xf numFmtId="0" fontId="18" fillId="12" borderId="12" xfId="0" applyFont="1" applyFill="1" applyBorder="1"/>
    <xf numFmtId="10" fontId="19" fillId="12" borderId="11" xfId="0" applyNumberFormat="1" applyFont="1" applyFill="1" applyBorder="1"/>
    <xf numFmtId="42" fontId="19" fillId="12" borderId="15" xfId="0" applyNumberFormat="1" applyFont="1" applyFill="1" applyBorder="1"/>
    <xf numFmtId="10" fontId="19" fillId="12" borderId="16" xfId="0" applyNumberFormat="1" applyFont="1" applyFill="1" applyBorder="1"/>
    <xf numFmtId="10" fontId="19" fillId="18" borderId="0" xfId="0" applyNumberFormat="1" applyFont="1" applyFill="1"/>
    <xf numFmtId="10" fontId="19" fillId="5" borderId="0" xfId="0" applyNumberFormat="1" applyFont="1" applyFill="1"/>
    <xf numFmtId="44" fontId="19" fillId="12" borderId="10" xfId="0" applyNumberFormat="1" applyFont="1" applyFill="1" applyBorder="1"/>
    <xf numFmtId="0" fontId="0" fillId="19" borderId="0" xfId="0" applyFill="1"/>
    <xf numFmtId="10" fontId="18" fillId="19" borderId="0" xfId="0" applyNumberFormat="1" applyFont="1" applyFill="1"/>
    <xf numFmtId="0" fontId="29" fillId="20" borderId="18" xfId="0" applyFont="1" applyFill="1" applyBorder="1"/>
    <xf numFmtId="0" fontId="29" fillId="2" borderId="18" xfId="0" applyFont="1" applyFill="1" applyBorder="1"/>
    <xf numFmtId="0" fontId="0" fillId="8" borderId="0" xfId="0" applyFill="1"/>
    <xf numFmtId="2" fontId="29" fillId="2" borderId="18" xfId="0" applyNumberFormat="1" applyFont="1" applyFill="1" applyBorder="1" applyProtection="1">
      <protection locked="0"/>
    </xf>
    <xf numFmtId="0" fontId="29" fillId="20" borderId="18" xfId="0" applyFont="1" applyFill="1" applyBorder="1" applyProtection="1">
      <protection locked="0"/>
    </xf>
    <xf numFmtId="0" fontId="0" fillId="10" borderId="0" xfId="0" applyFill="1"/>
    <xf numFmtId="0" fontId="29" fillId="10" borderId="0" xfId="0" applyFont="1" applyFill="1"/>
    <xf numFmtId="0" fontId="29" fillId="10" borderId="18" xfId="0" applyFont="1" applyFill="1" applyBorder="1"/>
    <xf numFmtId="2" fontId="29" fillId="10" borderId="18" xfId="0" applyNumberFormat="1" applyFont="1" applyFill="1" applyBorder="1"/>
    <xf numFmtId="3" fontId="29" fillId="10" borderId="18" xfId="0" applyNumberFormat="1" applyFont="1" applyFill="1" applyBorder="1"/>
    <xf numFmtId="2" fontId="29" fillId="20" borderId="18" xfId="0" applyNumberFormat="1" applyFont="1" applyFill="1" applyBorder="1" applyProtection="1">
      <protection locked="0"/>
    </xf>
    <xf numFmtId="3" fontId="29" fillId="20" borderId="18" xfId="0" applyNumberFormat="1" applyFont="1" applyFill="1" applyBorder="1" applyProtection="1">
      <protection locked="0"/>
    </xf>
    <xf numFmtId="10" fontId="30" fillId="0" borderId="0" xfId="0" applyNumberFormat="1" applyFont="1"/>
    <xf numFmtId="0" fontId="29" fillId="20" borderId="15" xfId="0" applyFont="1" applyFill="1" applyBorder="1"/>
    <xf numFmtId="0" fontId="0" fillId="0" borderId="0" xfId="0" applyAlignment="1">
      <alignment horizontal="center" vertical="center" wrapText="1"/>
    </xf>
    <xf numFmtId="0" fontId="0" fillId="9" borderId="0" xfId="0" applyFill="1" applyAlignment="1">
      <alignment horizontal="center" vertical="center"/>
    </xf>
    <xf numFmtId="0" fontId="20" fillId="0" borderId="0" xfId="0" applyFont="1" applyAlignment="1">
      <alignment horizontal="center"/>
    </xf>
  </cellXfs>
  <cellStyles count="4">
    <cellStyle name="Comma" xfId="1" builtinId="3"/>
    <cellStyle name="Currency" xfId="2" builtinId="4"/>
    <cellStyle name="Normal" xfId="0" builtinId="0"/>
    <cellStyle name="Per cent" xfId="3" builtinId="5"/>
  </cellStyles>
  <dxfs count="4">
    <dxf>
      <font>
        <color theme="6" tint="-0.24994659260841701"/>
      </font>
      <fill>
        <patternFill>
          <bgColor theme="6" tint="0.79998168889431442"/>
        </patternFill>
      </fill>
    </dxf>
    <dxf>
      <font>
        <color theme="6" tint="-0.24994659260841701"/>
      </font>
      <fill>
        <patternFill>
          <bgColor theme="6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EFFFEF"/>
      <color rgb="FFCC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ROI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'Calculation Debt'!$C$161:$AB$161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cat>
          <c:val>
            <c:numRef>
              <c:f>'Calculation Debt'!$C$159:$AB$159</c:f>
              <c:numCache>
                <c:formatCode>_-* #,##0_-;\-* #,##0_-;_-* "-"??_-;_-@_-</c:formatCode>
                <c:ptCount val="26"/>
                <c:pt idx="0">
                  <c:v>-38160</c:v>
                </c:pt>
                <c:pt idx="1">
                  <c:v>-39743.075030949112</c:v>
                </c:pt>
                <c:pt idx="2">
                  <c:v>-41006.024368138344</c:v>
                </c:pt>
                <c:pt idx="3">
                  <c:v>-41947.179378154207</c:v>
                </c:pt>
                <c:pt idx="4">
                  <c:v>-42241.774658112889</c:v>
                </c:pt>
                <c:pt idx="5">
                  <c:v>-42203.072420084034</c:v>
                </c:pt>
                <c:pt idx="6">
                  <c:v>-41829.111864918217</c:v>
                </c:pt>
                <c:pt idx="7">
                  <c:v>-41117.896045308436</c:v>
                </c:pt>
                <c:pt idx="8">
                  <c:v>-40067.391217913624</c:v>
                </c:pt>
                <c:pt idx="9">
                  <c:v>-38675.526184369795</c:v>
                </c:pt>
                <c:pt idx="10">
                  <c:v>-36940.19162101212</c:v>
                </c:pt>
                <c:pt idx="11">
                  <c:v>-34379.239397128746</c:v>
                </c:pt>
                <c:pt idx="12">
                  <c:v>-31470.481881564745</c:v>
                </c:pt>
                <c:pt idx="13">
                  <c:v>-28211.691237492199</c:v>
                </c:pt>
                <c:pt idx="14">
                  <c:v>-24600.598705159828</c:v>
                </c:pt>
                <c:pt idx="15">
                  <c:v>-20634.893872433251</c:v>
                </c:pt>
                <c:pt idx="16">
                  <c:v>-13768.223932934276</c:v>
                </c:pt>
                <c:pt idx="17">
                  <c:v>-8131.1646986889373</c:v>
                </c:pt>
                <c:pt idx="18">
                  <c:v>-2402.1307480213845</c:v>
                </c:pt>
                <c:pt idx="19">
                  <c:v>3428.3973277086616</c:v>
                </c:pt>
                <c:pt idx="20">
                  <c:v>9362.3170711191415</c:v>
                </c:pt>
                <c:pt idx="21">
                  <c:v>15401.560747159585</c:v>
                </c:pt>
                <c:pt idx="22">
                  <c:v>21548.095958434253</c:v>
                </c:pt>
                <c:pt idx="23">
                  <c:v>27803.926270885251</c:v>
                </c:pt>
                <c:pt idx="24">
                  <c:v>34171.091849994766</c:v>
                </c:pt>
                <c:pt idx="25">
                  <c:v>40651.670107667596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AD-4DD3-8F82-49480B809BD8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'Calculation Debt'!$C$161:$AB$161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cat>
          <c:val>
            <c:numRef>
              <c:f>'Calculation Debt'!$C$158:$AB$158</c:f>
              <c:numCache>
                <c:formatCode>_-* #,##0_-;\-* #,##0_-;_-* "-"??_-;_-@_-</c:formatCode>
                <c:ptCount val="26"/>
                <c:pt idx="0">
                  <c:v>-38160</c:v>
                </c:pt>
                <c:pt idx="1">
                  <c:v>-39743.075030949112</c:v>
                </c:pt>
                <c:pt idx="2">
                  <c:v>-41006.024368138344</c:v>
                </c:pt>
                <c:pt idx="3">
                  <c:v>-41947.179378154207</c:v>
                </c:pt>
                <c:pt idx="4">
                  <c:v>-42241.774658112889</c:v>
                </c:pt>
                <c:pt idx="5">
                  <c:v>-42203.072420084034</c:v>
                </c:pt>
                <c:pt idx="6">
                  <c:v>-41829.111864918217</c:v>
                </c:pt>
                <c:pt idx="7">
                  <c:v>-41117.896045308436</c:v>
                </c:pt>
                <c:pt idx="8">
                  <c:v>-40067.391217913624</c:v>
                </c:pt>
                <c:pt idx="9">
                  <c:v>-38675.526184369795</c:v>
                </c:pt>
                <c:pt idx="10">
                  <c:v>-36940.19162101212</c:v>
                </c:pt>
                <c:pt idx="11">
                  <c:v>-34379.239397128746</c:v>
                </c:pt>
                <c:pt idx="12">
                  <c:v>-31470.481881564745</c:v>
                </c:pt>
                <c:pt idx="13">
                  <c:v>-28211.691237492199</c:v>
                </c:pt>
                <c:pt idx="14">
                  <c:v>-24600.598705159828</c:v>
                </c:pt>
                <c:pt idx="15">
                  <c:v>-20634.893872433251</c:v>
                </c:pt>
                <c:pt idx="16">
                  <c:v>-13768.223932934276</c:v>
                </c:pt>
                <c:pt idx="17">
                  <c:v>-6771.1529315852495</c:v>
                </c:pt>
                <c:pt idx="18">
                  <c:v>358.75900263815402</c:v>
                </c:pt>
                <c:pt idx="19">
                  <c:v>7623.9964369448817</c:v>
                </c:pt>
                <c:pt idx="20">
                  <c:v>15027.089428158853</c:v>
                </c:pt>
                <c:pt idx="21">
                  <c:v>22570.614329546112</c:v>
                </c:pt>
                <c:pt idx="22">
                  <c:v>30257.194611245668</c:v>
                </c:pt>
                <c:pt idx="23">
                  <c:v>38089.501694513667</c:v>
                </c:pt>
                <c:pt idx="24">
                  <c:v>46070.255799993021</c:v>
                </c:pt>
                <c:pt idx="25">
                  <c:v>54202.226810223467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46C-4503-BBA1-C828334A154E}"/>
            </c:ext>
          </c:extLst>
        </c:ser>
        <c:ser>
          <c:idx val="2"/>
          <c:order val="2"/>
          <c:tx>
            <c:v>Zero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'Calculation Debt'!$C$161:$AB$161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cat>
          <c:val>
            <c:numRef>
              <c:f>'Calculation Debt'!$C$160:$O$160</c:f>
              <c:numCache>
                <c:formatCode>#,##0_ ;\-#,##0\ 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408-4E4E-B264-255AC674CC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7783568"/>
        <c:axId val="977782128"/>
      </c:lineChart>
      <c:catAx>
        <c:axId val="977783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7782128"/>
        <c:crosses val="autoZero"/>
        <c:auto val="1"/>
        <c:lblAlgn val="ctr"/>
        <c:lblOffset val="100"/>
        <c:noMultiLvlLbl val="0"/>
      </c:catAx>
      <c:valAx>
        <c:axId val="977782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7783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ROI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'Without Debt'!$C$160:$AB$160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cat>
          <c:val>
            <c:numRef>
              <c:f>'Without Debt'!$C$158:$AB$158</c:f>
              <c:numCache>
                <c:formatCode>_-* #,##0_-;\-* #,##0_-;_-* "-"??_-;_-@_-</c:formatCode>
                <c:ptCount val="26"/>
                <c:pt idx="0">
                  <c:v>-38160</c:v>
                </c:pt>
                <c:pt idx="1">
                  <c:v>-34481.90627321184</c:v>
                </c:pt>
                <c:pt idx="2">
                  <c:v>-30735.438276103763</c:v>
                </c:pt>
                <c:pt idx="3">
                  <c:v>-26919.344533615662</c:v>
                </c:pt>
                <c:pt idx="4">
                  <c:v>-22790.050993584671</c:v>
                </c:pt>
                <c:pt idx="5">
                  <c:v>-18582.50431506303</c:v>
                </c:pt>
                <c:pt idx="6">
                  <c:v>-14295.233898688668</c:v>
                </c:pt>
                <c:pt idx="7">
                  <c:v>-9926.7420339813361</c:v>
                </c:pt>
                <c:pt idx="8">
                  <c:v>-5475.5034134352254</c:v>
                </c:pt>
                <c:pt idx="9">
                  <c:v>-939.96463827735261</c:v>
                </c:pt>
                <c:pt idx="10">
                  <c:v>3681.4562842409059</c:v>
                </c:pt>
                <c:pt idx="11">
                  <c:v>8750.3704521534382</c:v>
                </c:pt>
                <c:pt idx="12">
                  <c:v>13908.418588826438</c:v>
                </c:pt>
                <c:pt idx="13">
                  <c:v>19157.271571880847</c:v>
                </c:pt>
                <c:pt idx="14">
                  <c:v>24498.630971130126</c:v>
                </c:pt>
                <c:pt idx="15">
                  <c:v>29934.22959567506</c:v>
                </c:pt>
                <c:pt idx="16">
                  <c:v>35465.832050299294</c:v>
                </c:pt>
                <c:pt idx="17">
                  <c:v>41095.235301311062</c:v>
                </c:pt>
                <c:pt idx="18">
                  <c:v>46824.269251978614</c:v>
                </c:pt>
                <c:pt idx="19">
                  <c:v>52654.797327708657</c:v>
                </c:pt>
                <c:pt idx="20">
                  <c:v>58588.717071119136</c:v>
                </c:pt>
                <c:pt idx="21">
                  <c:v>64627.960747159581</c:v>
                </c:pt>
                <c:pt idx="22">
                  <c:v>70774.495958434243</c:v>
                </c:pt>
                <c:pt idx="23">
                  <c:v>77030.326270885242</c:v>
                </c:pt>
                <c:pt idx="24">
                  <c:v>83397.491849994753</c:v>
                </c:pt>
                <c:pt idx="25">
                  <c:v>89878.070107667576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EF1-4A0F-887F-F352A762CEAA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'Without Debt'!$C$160:$AB$160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cat>
          <c:val>
            <c:numRef>
              <c:f>'Without Debt'!$C$157:$AB$157</c:f>
              <c:numCache>
                <c:formatCode>_-* #,##0_-;\-* #,##0_-;_-* "-"??_-;_-@_-</c:formatCode>
                <c:ptCount val="26"/>
                <c:pt idx="0">
                  <c:v>-38160</c:v>
                </c:pt>
                <c:pt idx="1">
                  <c:v>-33764.675030949118</c:v>
                </c:pt>
                <c:pt idx="2">
                  <c:v>-29278.184368138347</c:v>
                </c:pt>
                <c:pt idx="3">
                  <c:v>-24698.859378154215</c:v>
                </c:pt>
                <c:pt idx="4">
                  <c:v>-19701.934658112896</c:v>
                </c:pt>
                <c:pt idx="5">
                  <c:v>-14600.672420084038</c:v>
                </c:pt>
                <c:pt idx="6">
                  <c:v>-9393.1118649182208</c:v>
                </c:pt>
                <c:pt idx="7">
                  <c:v>-4077.2560453084434</c:v>
                </c:pt>
                <c:pt idx="8">
                  <c:v>1348.9287820863701</c:v>
                </c:pt>
                <c:pt idx="9">
                  <c:v>6887.513815630201</c:v>
                </c:pt>
                <c:pt idx="10">
                  <c:v>12540.608378987879</c:v>
                </c:pt>
                <c:pt idx="11">
                  <c:v>18790.360602871257</c:v>
                </c:pt>
                <c:pt idx="12">
                  <c:v>25158.958118435257</c:v>
                </c:pt>
                <c:pt idx="13">
                  <c:v>31648.628762507804</c:v>
                </c:pt>
                <c:pt idx="14">
                  <c:v>38261.641294840178</c:v>
                </c:pt>
                <c:pt idx="15">
                  <c:v>45000.306127566757</c:v>
                </c:pt>
                <c:pt idx="16">
                  <c:v>51866.976067065734</c:v>
                </c:pt>
                <c:pt idx="17">
                  <c:v>58864.047068414759</c:v>
                </c:pt>
                <c:pt idx="18">
                  <c:v>65993.959002638163</c:v>
                </c:pt>
                <c:pt idx="19">
                  <c:v>73259.196436944883</c:v>
                </c:pt>
                <c:pt idx="20">
                  <c:v>80662.289428158852</c:v>
                </c:pt>
                <c:pt idx="21">
                  <c:v>88205.814329546105</c:v>
                </c:pt>
                <c:pt idx="22">
                  <c:v>95892.394611245662</c:v>
                </c:pt>
                <c:pt idx="23">
                  <c:v>103724.70169451366</c:v>
                </c:pt>
                <c:pt idx="24">
                  <c:v>111705.45579999301</c:v>
                </c:pt>
                <c:pt idx="25">
                  <c:v>119837.42681022345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EF1-4A0F-887F-F352A762CEAA}"/>
            </c:ext>
          </c:extLst>
        </c:ser>
        <c:ser>
          <c:idx val="2"/>
          <c:order val="2"/>
          <c:tx>
            <c:v>Zero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'Without Debt'!$C$160:$AB$160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cat>
          <c:val>
            <c:numRef>
              <c:f>'Calculation Debt'!$C$160:$O$160</c:f>
              <c:numCache>
                <c:formatCode>#,##0_ ;\-#,##0\ 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EF1-4A0F-887F-F352A762CE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7783568"/>
        <c:axId val="977782128"/>
      </c:lineChart>
      <c:catAx>
        <c:axId val="977783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7782128"/>
        <c:crosses val="autoZero"/>
        <c:auto val="1"/>
        <c:lblAlgn val="ctr"/>
        <c:lblOffset val="100"/>
        <c:noMultiLvlLbl val="0"/>
      </c:catAx>
      <c:valAx>
        <c:axId val="977782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7783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23118</xdr:colOff>
      <xdr:row>0</xdr:row>
      <xdr:rowOff>0</xdr:rowOff>
    </xdr:from>
    <xdr:to>
      <xdr:col>9</xdr:col>
      <xdr:colOff>0</xdr:colOff>
      <xdr:row>30</xdr:row>
      <xdr:rowOff>182561</xdr:rowOff>
    </xdr:to>
    <xdr:pic>
      <xdr:nvPicPr>
        <xdr:cNvPr id="2" name="Picture 1" descr="A solar panels and wind turbines&#10;&#10;Description automatically generated">
          <a:extLst>
            <a:ext uri="{FF2B5EF4-FFF2-40B4-BE49-F238E27FC236}">
              <a16:creationId xmlns:a16="http://schemas.microsoft.com/office/drawing/2014/main" id="{D7C23987-62F6-1F65-E1BB-85ECF597BCE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23118" y="0"/>
          <a:ext cx="5477570" cy="5659436"/>
        </a:xfrm>
        <a:prstGeom prst="rect">
          <a:avLst/>
        </a:prstGeom>
      </xdr:spPr>
    </xdr:pic>
    <xdr:clientData/>
  </xdr:twoCellAnchor>
  <xdr:twoCellAnchor>
    <xdr:from>
      <xdr:col>7</xdr:col>
      <xdr:colOff>214312</xdr:colOff>
      <xdr:row>0</xdr:row>
      <xdr:rowOff>176214</xdr:rowOff>
    </xdr:from>
    <xdr:to>
      <xdr:col>8</xdr:col>
      <xdr:colOff>455612</xdr:colOff>
      <xdr:row>5</xdr:row>
      <xdr:rowOff>57151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2B0303DC-CA2E-48E7-8C2D-9A49FE1F2A2A}"/>
            </a:ext>
          </a:extLst>
        </xdr:cNvPr>
        <xdr:cNvGrpSpPr/>
      </xdr:nvGrpSpPr>
      <xdr:grpSpPr>
        <a:xfrm>
          <a:off x="4422245" y="176214"/>
          <a:ext cx="842434" cy="812270"/>
          <a:chOff x="13179" y="46006"/>
          <a:chExt cx="374171" cy="391298"/>
        </a:xfrm>
      </xdr:grpSpPr>
      <xdr:grpSp>
        <xdr:nvGrpSpPr>
          <xdr:cNvPr id="4" name="Group 3">
            <a:extLst>
              <a:ext uri="{FF2B5EF4-FFF2-40B4-BE49-F238E27FC236}">
                <a16:creationId xmlns:a16="http://schemas.microsoft.com/office/drawing/2014/main" id="{44327DAC-9FE7-FE76-3949-B9B9407D2F28}"/>
              </a:ext>
            </a:extLst>
          </xdr:cNvPr>
          <xdr:cNvGrpSpPr/>
        </xdr:nvGrpSpPr>
        <xdr:grpSpPr>
          <a:xfrm>
            <a:off x="25008" y="313011"/>
            <a:ext cx="350521" cy="124293"/>
            <a:chOff x="501725" y="73501"/>
            <a:chExt cx="690448" cy="244833"/>
          </a:xfrm>
        </xdr:grpSpPr>
        <xdr:sp macro="" textlink="">
          <xdr:nvSpPr>
            <xdr:cNvPr id="8" name="Freeform: Shape 7">
              <a:extLst>
                <a:ext uri="{FF2B5EF4-FFF2-40B4-BE49-F238E27FC236}">
                  <a16:creationId xmlns:a16="http://schemas.microsoft.com/office/drawing/2014/main" id="{FA1EC7A2-B6BE-26E4-1D3C-216699390AE1}"/>
                </a:ext>
              </a:extLst>
            </xdr:cNvPr>
            <xdr:cNvSpPr/>
          </xdr:nvSpPr>
          <xdr:spPr>
            <a:xfrm>
              <a:off x="501725" y="73501"/>
              <a:ext cx="106380" cy="156911"/>
            </a:xfrm>
            <a:custGeom>
              <a:avLst/>
              <a:gdLst>
                <a:gd name="connsiteX0" fmla="*/ 11926 w 132367"/>
                <a:gd name="connsiteY0" fmla="*/ 149176 h 195242"/>
                <a:gd name="connsiteX1" fmla="*/ 58321 w 132367"/>
                <a:gd name="connsiteY1" fmla="*/ 160840 h 195242"/>
                <a:gd name="connsiteX2" fmla="*/ 92232 w 132367"/>
                <a:gd name="connsiteY2" fmla="*/ 139969 h 195242"/>
                <a:gd name="connsiteX3" fmla="*/ 57239 w 132367"/>
                <a:gd name="connsiteY3" fmla="*/ 112840 h 195242"/>
                <a:gd name="connsiteX4" fmla="*/ 4620 w 132367"/>
                <a:gd name="connsiteY4" fmla="*/ 55601 h 195242"/>
                <a:gd name="connsiteX5" fmla="*/ 67527 w 132367"/>
                <a:gd name="connsiteY5" fmla="*/ 0 h 195242"/>
                <a:gd name="connsiteX6" fmla="*/ 128305 w 132367"/>
                <a:gd name="connsiteY6" fmla="*/ 10583 h 195242"/>
                <a:gd name="connsiteX7" fmla="*/ 119065 w 132367"/>
                <a:gd name="connsiteY7" fmla="*/ 43937 h 195242"/>
                <a:gd name="connsiteX8" fmla="*/ 71328 w 132367"/>
                <a:gd name="connsiteY8" fmla="*/ 34435 h 195242"/>
                <a:gd name="connsiteX9" fmla="*/ 44756 w 132367"/>
                <a:gd name="connsiteY9" fmla="*/ 52325 h 195242"/>
                <a:gd name="connsiteX10" fmla="*/ 79191 w 132367"/>
                <a:gd name="connsiteY10" fmla="*/ 79716 h 195242"/>
                <a:gd name="connsiteX11" fmla="*/ 132368 w 132367"/>
                <a:gd name="connsiteY11" fmla="*/ 135579 h 195242"/>
                <a:gd name="connsiteX12" fmla="*/ 60483 w 132367"/>
                <a:gd name="connsiteY12" fmla="*/ 195243 h 195242"/>
                <a:gd name="connsiteX13" fmla="*/ 0 w 132367"/>
                <a:gd name="connsiteY13" fmla="*/ 180040 h 195242"/>
                <a:gd name="connsiteX14" fmla="*/ 11926 w 132367"/>
                <a:gd name="connsiteY14" fmla="*/ 149110 h 195242"/>
                <a:gd name="connsiteX15" fmla="*/ 11926 w 132367"/>
                <a:gd name="connsiteY15" fmla="*/ 149176 h 195242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</a:cxnLst>
              <a:rect l="l" t="t" r="r" b="b"/>
              <a:pathLst>
                <a:path w="132367" h="195242">
                  <a:moveTo>
                    <a:pt x="11926" y="149176"/>
                  </a:moveTo>
                  <a:cubicBezTo>
                    <a:pt x="25753" y="155696"/>
                    <a:pt x="41218" y="160840"/>
                    <a:pt x="58321" y="160840"/>
                  </a:cubicBezTo>
                  <a:cubicBezTo>
                    <a:pt x="78110" y="160840"/>
                    <a:pt x="92232" y="154320"/>
                    <a:pt x="92232" y="139969"/>
                  </a:cubicBezTo>
                  <a:cubicBezTo>
                    <a:pt x="92232" y="125618"/>
                    <a:pt x="77324" y="120704"/>
                    <a:pt x="57239" y="112840"/>
                  </a:cubicBezTo>
                  <a:cubicBezTo>
                    <a:pt x="32568" y="103077"/>
                    <a:pt x="4620" y="90856"/>
                    <a:pt x="4620" y="55601"/>
                  </a:cubicBezTo>
                  <a:cubicBezTo>
                    <a:pt x="4620" y="20347"/>
                    <a:pt x="33616" y="0"/>
                    <a:pt x="67527" y="0"/>
                  </a:cubicBezTo>
                  <a:cubicBezTo>
                    <a:pt x="90036" y="0"/>
                    <a:pt x="108745" y="2719"/>
                    <a:pt x="128305" y="10583"/>
                  </a:cubicBezTo>
                  <a:lnTo>
                    <a:pt x="119065" y="43937"/>
                  </a:lnTo>
                  <a:cubicBezTo>
                    <a:pt x="103862" y="38236"/>
                    <a:pt x="89512" y="34435"/>
                    <a:pt x="71328" y="34435"/>
                  </a:cubicBezTo>
                  <a:cubicBezTo>
                    <a:pt x="55338" y="34435"/>
                    <a:pt x="44756" y="41775"/>
                    <a:pt x="44756" y="52325"/>
                  </a:cubicBezTo>
                  <a:cubicBezTo>
                    <a:pt x="44756" y="67527"/>
                    <a:pt x="60221" y="72933"/>
                    <a:pt x="79191" y="79716"/>
                  </a:cubicBezTo>
                  <a:cubicBezTo>
                    <a:pt x="105239" y="89217"/>
                    <a:pt x="132368" y="101963"/>
                    <a:pt x="132368" y="135579"/>
                  </a:cubicBezTo>
                  <a:cubicBezTo>
                    <a:pt x="132368" y="176010"/>
                    <a:pt x="101995" y="195243"/>
                    <a:pt x="60483" y="195243"/>
                  </a:cubicBezTo>
                  <a:cubicBezTo>
                    <a:pt x="33911" y="195243"/>
                    <a:pt x="15169" y="188198"/>
                    <a:pt x="0" y="180040"/>
                  </a:cubicBezTo>
                  <a:lnTo>
                    <a:pt x="11926" y="149110"/>
                  </a:lnTo>
                  <a:lnTo>
                    <a:pt x="11926" y="149176"/>
                  </a:lnTo>
                  <a:close/>
                </a:path>
              </a:pathLst>
            </a:custGeom>
            <a:solidFill>
              <a:schemeClr val="tx1">
                <a:lumMod val="95000"/>
                <a:lumOff val="5000"/>
              </a:schemeClr>
            </a:solidFill>
            <a:ln w="9525" cap="flat">
              <a:noFill/>
              <a:prstDash val="solid"/>
              <a:miter/>
            </a:ln>
          </xdr:spPr>
          <xdr:txBody>
            <a:bodyPr wrap="square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US">
                <a:solidFill>
                  <a:schemeClr val="tx1"/>
                </a:solidFill>
              </a:endParaRPr>
            </a:p>
          </xdr:txBody>
        </xdr:sp>
        <xdr:sp macro="" textlink="">
          <xdr:nvSpPr>
            <xdr:cNvPr id="9" name="Freeform: Shape 8">
              <a:extLst>
                <a:ext uri="{FF2B5EF4-FFF2-40B4-BE49-F238E27FC236}">
                  <a16:creationId xmlns:a16="http://schemas.microsoft.com/office/drawing/2014/main" id="{52AFE30F-710F-B14D-AACA-9B3F59D53689}"/>
                </a:ext>
              </a:extLst>
            </xdr:cNvPr>
            <xdr:cNvSpPr/>
          </xdr:nvSpPr>
          <xdr:spPr>
            <a:xfrm>
              <a:off x="624220" y="74343"/>
              <a:ext cx="147380" cy="155436"/>
            </a:xfrm>
            <a:custGeom>
              <a:avLst/>
              <a:gdLst>
                <a:gd name="connsiteX0" fmla="*/ 70542 w 183383"/>
                <a:gd name="connsiteY0" fmla="*/ 1638 h 193407"/>
                <a:gd name="connsiteX1" fmla="*/ 110679 w 183383"/>
                <a:gd name="connsiteY1" fmla="*/ 0 h 193407"/>
                <a:gd name="connsiteX2" fmla="*/ 183384 w 183383"/>
                <a:gd name="connsiteY2" fmla="*/ 191245 h 193407"/>
                <a:gd name="connsiteX3" fmla="*/ 142426 w 183383"/>
                <a:gd name="connsiteY3" fmla="*/ 193408 h 193407"/>
                <a:gd name="connsiteX4" fmla="*/ 124242 w 183383"/>
                <a:gd name="connsiteY4" fmla="*/ 142427 h 193407"/>
                <a:gd name="connsiteX5" fmla="*/ 58321 w 183383"/>
                <a:gd name="connsiteY5" fmla="*/ 142427 h 193407"/>
                <a:gd name="connsiteX6" fmla="*/ 41218 w 183383"/>
                <a:gd name="connsiteY6" fmla="*/ 191540 h 193407"/>
                <a:gd name="connsiteX7" fmla="*/ 0 w 183383"/>
                <a:gd name="connsiteY7" fmla="*/ 191540 h 193407"/>
                <a:gd name="connsiteX8" fmla="*/ 70542 w 183383"/>
                <a:gd name="connsiteY8" fmla="*/ 1638 h 193407"/>
                <a:gd name="connsiteX9" fmla="*/ 112841 w 183383"/>
                <a:gd name="connsiteY9" fmla="*/ 109597 h 193407"/>
                <a:gd name="connsiteX10" fmla="*/ 100915 w 183383"/>
                <a:gd name="connsiteY10" fmla="*/ 75686 h 193407"/>
                <a:gd name="connsiteX11" fmla="*/ 90594 w 183383"/>
                <a:gd name="connsiteY11" fmla="*/ 42331 h 193407"/>
                <a:gd name="connsiteX12" fmla="*/ 80568 w 183383"/>
                <a:gd name="connsiteY12" fmla="*/ 75423 h 193407"/>
                <a:gd name="connsiteX13" fmla="*/ 69166 w 183383"/>
                <a:gd name="connsiteY13" fmla="*/ 109597 h 193407"/>
                <a:gd name="connsiteX14" fmla="*/ 112841 w 183383"/>
                <a:gd name="connsiteY14" fmla="*/ 109597 h 193407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</a:cxnLst>
              <a:rect l="l" t="t" r="r" b="b"/>
              <a:pathLst>
                <a:path w="183383" h="193407">
                  <a:moveTo>
                    <a:pt x="70542" y="1638"/>
                  </a:moveTo>
                  <a:lnTo>
                    <a:pt x="110679" y="0"/>
                  </a:lnTo>
                  <a:lnTo>
                    <a:pt x="183384" y="191245"/>
                  </a:lnTo>
                  <a:lnTo>
                    <a:pt x="142426" y="193408"/>
                  </a:lnTo>
                  <a:lnTo>
                    <a:pt x="124242" y="142427"/>
                  </a:lnTo>
                  <a:lnTo>
                    <a:pt x="58321" y="142427"/>
                  </a:lnTo>
                  <a:lnTo>
                    <a:pt x="41218" y="191540"/>
                  </a:lnTo>
                  <a:lnTo>
                    <a:pt x="0" y="191540"/>
                  </a:lnTo>
                  <a:lnTo>
                    <a:pt x="70542" y="1638"/>
                  </a:lnTo>
                  <a:close/>
                  <a:moveTo>
                    <a:pt x="112841" y="109597"/>
                  </a:moveTo>
                  <a:lnTo>
                    <a:pt x="100915" y="75686"/>
                  </a:lnTo>
                  <a:lnTo>
                    <a:pt x="90594" y="42331"/>
                  </a:lnTo>
                  <a:lnTo>
                    <a:pt x="80568" y="75423"/>
                  </a:lnTo>
                  <a:lnTo>
                    <a:pt x="69166" y="109597"/>
                  </a:lnTo>
                  <a:lnTo>
                    <a:pt x="112841" y="109597"/>
                  </a:lnTo>
                  <a:close/>
                </a:path>
              </a:pathLst>
            </a:custGeom>
            <a:solidFill>
              <a:schemeClr val="tx1">
                <a:lumMod val="95000"/>
                <a:lumOff val="5000"/>
              </a:schemeClr>
            </a:solidFill>
            <a:ln w="9525" cap="flat">
              <a:noFill/>
              <a:prstDash val="solid"/>
              <a:miter/>
            </a:ln>
          </xdr:spPr>
          <xdr:txBody>
            <a:bodyPr wrap="square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US">
                <a:solidFill>
                  <a:schemeClr val="tx1"/>
                </a:solidFill>
              </a:endParaRPr>
            </a:p>
          </xdr:txBody>
        </xdr:sp>
        <xdr:sp macro="" textlink="">
          <xdr:nvSpPr>
            <xdr:cNvPr id="10" name="Freeform: Shape 9">
              <a:extLst>
                <a:ext uri="{FF2B5EF4-FFF2-40B4-BE49-F238E27FC236}">
                  <a16:creationId xmlns:a16="http://schemas.microsoft.com/office/drawing/2014/main" id="{1BB658D6-F5D1-2A30-1213-9C8BB2737152}"/>
                </a:ext>
              </a:extLst>
            </xdr:cNvPr>
            <xdr:cNvSpPr/>
          </xdr:nvSpPr>
          <xdr:spPr>
            <a:xfrm>
              <a:off x="794956" y="75661"/>
              <a:ext cx="110300" cy="152618"/>
            </a:xfrm>
            <a:custGeom>
              <a:avLst/>
              <a:gdLst>
                <a:gd name="connsiteX0" fmla="*/ 0 w 137245"/>
                <a:gd name="connsiteY0" fmla="*/ 0 h 189901"/>
                <a:gd name="connsiteX1" fmla="*/ 64541 w 137245"/>
                <a:gd name="connsiteY1" fmla="*/ 0 h 189901"/>
                <a:gd name="connsiteX2" fmla="*/ 128302 w 137245"/>
                <a:gd name="connsiteY2" fmla="*/ 47475 h 189901"/>
                <a:gd name="connsiteX3" fmla="*/ 104156 w 137245"/>
                <a:gd name="connsiteY3" fmla="*/ 86531 h 189901"/>
                <a:gd name="connsiteX4" fmla="*/ 104156 w 137245"/>
                <a:gd name="connsiteY4" fmla="*/ 87350 h 189901"/>
                <a:gd name="connsiteX5" fmla="*/ 137246 w 137245"/>
                <a:gd name="connsiteY5" fmla="*/ 131844 h 189901"/>
                <a:gd name="connsiteX6" fmla="*/ 68085 w 137245"/>
                <a:gd name="connsiteY6" fmla="*/ 189902 h 189901"/>
                <a:gd name="connsiteX7" fmla="*/ 0 w 137245"/>
                <a:gd name="connsiteY7" fmla="*/ 189902 h 189901"/>
                <a:gd name="connsiteX8" fmla="*/ 0 w 137245"/>
                <a:gd name="connsiteY8" fmla="*/ 0 h 189901"/>
                <a:gd name="connsiteX9" fmla="*/ 72142 w 137245"/>
                <a:gd name="connsiteY9" fmla="*/ 77291 h 189901"/>
                <a:gd name="connsiteX10" fmla="*/ 89516 w 137245"/>
                <a:gd name="connsiteY10" fmla="*/ 53701 h 189901"/>
                <a:gd name="connsiteX11" fmla="*/ 61560 w 137245"/>
                <a:gd name="connsiteY11" fmla="*/ 34173 h 189901"/>
                <a:gd name="connsiteX12" fmla="*/ 37976 w 137245"/>
                <a:gd name="connsiteY12" fmla="*/ 34173 h 189901"/>
                <a:gd name="connsiteX13" fmla="*/ 37976 w 137245"/>
                <a:gd name="connsiteY13" fmla="*/ 77291 h 189901"/>
                <a:gd name="connsiteX14" fmla="*/ 72142 w 137245"/>
                <a:gd name="connsiteY14" fmla="*/ 77291 h 189901"/>
                <a:gd name="connsiteX15" fmla="*/ 66999 w 137245"/>
                <a:gd name="connsiteY15" fmla="*/ 155401 h 189901"/>
                <a:gd name="connsiteX16" fmla="*/ 97117 w 137245"/>
                <a:gd name="connsiteY16" fmla="*/ 131254 h 189901"/>
                <a:gd name="connsiteX17" fmla="*/ 70799 w 137245"/>
                <a:gd name="connsiteY17" fmla="*/ 109564 h 189901"/>
                <a:gd name="connsiteX18" fmla="*/ 37976 w 137245"/>
                <a:gd name="connsiteY18" fmla="*/ 109564 h 189901"/>
                <a:gd name="connsiteX19" fmla="*/ 37976 w 137245"/>
                <a:gd name="connsiteY19" fmla="*/ 155401 h 189901"/>
                <a:gd name="connsiteX20" fmla="*/ 66999 w 137245"/>
                <a:gd name="connsiteY20" fmla="*/ 155401 h 189901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</a:cxnLst>
              <a:rect l="l" t="t" r="r" b="b"/>
              <a:pathLst>
                <a:path w="137245" h="189901">
                  <a:moveTo>
                    <a:pt x="0" y="0"/>
                  </a:moveTo>
                  <a:lnTo>
                    <a:pt x="64541" y="0"/>
                  </a:lnTo>
                  <a:cubicBezTo>
                    <a:pt x="106061" y="0"/>
                    <a:pt x="128302" y="16808"/>
                    <a:pt x="128302" y="47475"/>
                  </a:cubicBezTo>
                  <a:cubicBezTo>
                    <a:pt x="128302" y="67003"/>
                    <a:pt x="118539" y="79748"/>
                    <a:pt x="104156" y="86531"/>
                  </a:cubicBezTo>
                  <a:lnTo>
                    <a:pt x="104156" y="87350"/>
                  </a:lnTo>
                  <a:cubicBezTo>
                    <a:pt x="123682" y="93575"/>
                    <a:pt x="137246" y="106353"/>
                    <a:pt x="137246" y="131844"/>
                  </a:cubicBezTo>
                  <a:cubicBezTo>
                    <a:pt x="137246" y="167917"/>
                    <a:pt x="109861" y="189902"/>
                    <a:pt x="68085" y="189902"/>
                  </a:cubicBezTo>
                  <a:lnTo>
                    <a:pt x="0" y="189902"/>
                  </a:lnTo>
                  <a:lnTo>
                    <a:pt x="0" y="0"/>
                  </a:lnTo>
                  <a:close/>
                  <a:moveTo>
                    <a:pt x="72142" y="77291"/>
                  </a:moveTo>
                  <a:cubicBezTo>
                    <a:pt x="84077" y="73228"/>
                    <a:pt x="89516" y="65070"/>
                    <a:pt x="89516" y="53701"/>
                  </a:cubicBezTo>
                  <a:cubicBezTo>
                    <a:pt x="89516" y="40398"/>
                    <a:pt x="78400" y="34173"/>
                    <a:pt x="61560" y="34173"/>
                  </a:cubicBezTo>
                  <a:lnTo>
                    <a:pt x="37976" y="34173"/>
                  </a:lnTo>
                  <a:lnTo>
                    <a:pt x="37976" y="77291"/>
                  </a:lnTo>
                  <a:lnTo>
                    <a:pt x="72142" y="77291"/>
                  </a:lnTo>
                  <a:close/>
                  <a:moveTo>
                    <a:pt x="66999" y="155401"/>
                  </a:moveTo>
                  <a:cubicBezTo>
                    <a:pt x="87087" y="155401"/>
                    <a:pt x="97117" y="146194"/>
                    <a:pt x="97117" y="131254"/>
                  </a:cubicBezTo>
                  <a:cubicBezTo>
                    <a:pt x="97117" y="117165"/>
                    <a:pt x="85449" y="110907"/>
                    <a:pt x="70799" y="109564"/>
                  </a:cubicBezTo>
                  <a:lnTo>
                    <a:pt x="37976" y="109564"/>
                  </a:lnTo>
                  <a:lnTo>
                    <a:pt x="37976" y="155401"/>
                  </a:lnTo>
                  <a:lnTo>
                    <a:pt x="66999" y="155401"/>
                  </a:lnTo>
                  <a:close/>
                </a:path>
              </a:pathLst>
            </a:custGeom>
            <a:solidFill>
              <a:schemeClr val="tx1">
                <a:lumMod val="95000"/>
                <a:lumOff val="5000"/>
              </a:schemeClr>
            </a:solidFill>
            <a:ln w="9525" cap="flat">
              <a:noFill/>
              <a:prstDash val="solid"/>
              <a:miter/>
            </a:ln>
          </xdr:spPr>
          <xdr:txBody>
            <a:bodyPr wrap="square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US">
                <a:solidFill>
                  <a:schemeClr val="tx1"/>
                </a:solidFill>
              </a:endParaRPr>
            </a:p>
          </xdr:txBody>
        </xdr:sp>
        <xdr:sp macro="" textlink="">
          <xdr:nvSpPr>
            <xdr:cNvPr id="11" name="Freeform: Shape 10">
              <a:extLst>
                <a:ext uri="{FF2B5EF4-FFF2-40B4-BE49-F238E27FC236}">
                  <a16:creationId xmlns:a16="http://schemas.microsoft.com/office/drawing/2014/main" id="{FDCDB99F-F500-E509-4B6D-407FDF9F6C7F}"/>
                </a:ext>
              </a:extLst>
            </xdr:cNvPr>
            <xdr:cNvSpPr/>
          </xdr:nvSpPr>
          <xdr:spPr>
            <a:xfrm>
              <a:off x="937309" y="75661"/>
              <a:ext cx="98527" cy="152618"/>
            </a:xfrm>
            <a:custGeom>
              <a:avLst/>
              <a:gdLst>
                <a:gd name="connsiteX0" fmla="*/ 0 w 122596"/>
                <a:gd name="connsiteY0" fmla="*/ 0 h 189901"/>
                <a:gd name="connsiteX1" fmla="*/ 118539 w 122596"/>
                <a:gd name="connsiteY1" fmla="*/ 0 h 189901"/>
                <a:gd name="connsiteX2" fmla="*/ 116634 w 122596"/>
                <a:gd name="connsiteY2" fmla="*/ 34435 h 189901"/>
                <a:gd name="connsiteX3" fmla="*/ 37967 w 122596"/>
                <a:gd name="connsiteY3" fmla="*/ 34435 h 189901"/>
                <a:gd name="connsiteX4" fmla="*/ 37967 w 122596"/>
                <a:gd name="connsiteY4" fmla="*/ 77029 h 189901"/>
                <a:gd name="connsiteX5" fmla="*/ 111490 w 122596"/>
                <a:gd name="connsiteY5" fmla="*/ 77029 h 189901"/>
                <a:gd name="connsiteX6" fmla="*/ 111490 w 122596"/>
                <a:gd name="connsiteY6" fmla="*/ 109859 h 189901"/>
                <a:gd name="connsiteX7" fmla="*/ 37967 w 122596"/>
                <a:gd name="connsiteY7" fmla="*/ 109859 h 189901"/>
                <a:gd name="connsiteX8" fmla="*/ 37967 w 122596"/>
                <a:gd name="connsiteY8" fmla="*/ 155171 h 189901"/>
                <a:gd name="connsiteX9" fmla="*/ 122596 w 122596"/>
                <a:gd name="connsiteY9" fmla="*/ 155171 h 189901"/>
                <a:gd name="connsiteX10" fmla="*/ 120701 w 122596"/>
                <a:gd name="connsiteY10" fmla="*/ 189902 h 189901"/>
                <a:gd name="connsiteX11" fmla="*/ 0 w 122596"/>
                <a:gd name="connsiteY11" fmla="*/ 189902 h 189901"/>
                <a:gd name="connsiteX12" fmla="*/ 0 w 122596"/>
                <a:gd name="connsiteY12" fmla="*/ 0 h 189901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</a:cxnLst>
              <a:rect l="l" t="t" r="r" b="b"/>
              <a:pathLst>
                <a:path w="122596" h="189901">
                  <a:moveTo>
                    <a:pt x="0" y="0"/>
                  </a:moveTo>
                  <a:lnTo>
                    <a:pt x="118539" y="0"/>
                  </a:lnTo>
                  <a:lnTo>
                    <a:pt x="116634" y="34435"/>
                  </a:lnTo>
                  <a:lnTo>
                    <a:pt x="37967" y="34435"/>
                  </a:lnTo>
                  <a:lnTo>
                    <a:pt x="37967" y="77029"/>
                  </a:lnTo>
                  <a:lnTo>
                    <a:pt x="111490" y="77029"/>
                  </a:lnTo>
                  <a:lnTo>
                    <a:pt x="111490" y="109859"/>
                  </a:lnTo>
                  <a:lnTo>
                    <a:pt x="37967" y="109859"/>
                  </a:lnTo>
                  <a:lnTo>
                    <a:pt x="37967" y="155171"/>
                  </a:lnTo>
                  <a:lnTo>
                    <a:pt x="122596" y="155171"/>
                  </a:lnTo>
                  <a:lnTo>
                    <a:pt x="120701" y="189902"/>
                  </a:lnTo>
                  <a:lnTo>
                    <a:pt x="0" y="189902"/>
                  </a:lnTo>
                  <a:lnTo>
                    <a:pt x="0" y="0"/>
                  </a:lnTo>
                  <a:close/>
                </a:path>
              </a:pathLst>
            </a:custGeom>
            <a:solidFill>
              <a:schemeClr val="tx1">
                <a:lumMod val="95000"/>
                <a:lumOff val="5000"/>
              </a:schemeClr>
            </a:solidFill>
            <a:ln w="9525" cap="flat">
              <a:noFill/>
              <a:prstDash val="solid"/>
              <a:miter/>
            </a:ln>
          </xdr:spPr>
          <xdr:txBody>
            <a:bodyPr wrap="square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US">
                <a:solidFill>
                  <a:schemeClr val="tx1"/>
                </a:solidFill>
              </a:endParaRPr>
            </a:p>
          </xdr:txBody>
        </xdr:sp>
        <xdr:sp macro="" textlink="">
          <xdr:nvSpPr>
            <xdr:cNvPr id="12" name="Freeform: Shape 11">
              <a:extLst>
                <a:ext uri="{FF2B5EF4-FFF2-40B4-BE49-F238E27FC236}">
                  <a16:creationId xmlns:a16="http://schemas.microsoft.com/office/drawing/2014/main" id="{5842B288-FC12-7DAA-B3DE-3A757C77F577}"/>
                </a:ext>
              </a:extLst>
            </xdr:cNvPr>
            <xdr:cNvSpPr/>
          </xdr:nvSpPr>
          <xdr:spPr>
            <a:xfrm>
              <a:off x="1067466" y="75661"/>
              <a:ext cx="124676" cy="154542"/>
            </a:xfrm>
            <a:custGeom>
              <a:avLst/>
              <a:gdLst>
                <a:gd name="connsiteX0" fmla="*/ 0 w 155133"/>
                <a:gd name="connsiteY0" fmla="*/ 0 h 192294"/>
                <a:gd name="connsiteX1" fmla="*/ 62646 w 155133"/>
                <a:gd name="connsiteY1" fmla="*/ 0 h 192294"/>
                <a:gd name="connsiteX2" fmla="*/ 135055 w 155133"/>
                <a:gd name="connsiteY2" fmla="*/ 57239 h 192294"/>
                <a:gd name="connsiteX3" fmla="*/ 102775 w 155133"/>
                <a:gd name="connsiteY3" fmla="*/ 107959 h 192294"/>
                <a:gd name="connsiteX4" fmla="*/ 155134 w 155133"/>
                <a:gd name="connsiteY4" fmla="*/ 189869 h 192294"/>
                <a:gd name="connsiteX5" fmla="*/ 112014 w 155133"/>
                <a:gd name="connsiteY5" fmla="*/ 192294 h 192294"/>
                <a:gd name="connsiteX6" fmla="*/ 67523 w 155133"/>
                <a:gd name="connsiteY6" fmla="*/ 120147 h 192294"/>
                <a:gd name="connsiteX7" fmla="*/ 37967 w 155133"/>
                <a:gd name="connsiteY7" fmla="*/ 120147 h 192294"/>
                <a:gd name="connsiteX8" fmla="*/ 37967 w 155133"/>
                <a:gd name="connsiteY8" fmla="*/ 189869 h 192294"/>
                <a:gd name="connsiteX9" fmla="*/ 0 w 155133"/>
                <a:gd name="connsiteY9" fmla="*/ 189869 h 192294"/>
                <a:gd name="connsiteX10" fmla="*/ 0 w 155133"/>
                <a:gd name="connsiteY10" fmla="*/ 0 h 192294"/>
                <a:gd name="connsiteX11" fmla="*/ 73781 w 155133"/>
                <a:gd name="connsiteY11" fmla="*/ 86531 h 192294"/>
                <a:gd name="connsiteX12" fmla="*/ 94945 w 155133"/>
                <a:gd name="connsiteY12" fmla="*/ 59402 h 192294"/>
                <a:gd name="connsiteX13" fmla="*/ 58617 w 155133"/>
                <a:gd name="connsiteY13" fmla="*/ 34435 h 192294"/>
                <a:gd name="connsiteX14" fmla="*/ 38005 w 155133"/>
                <a:gd name="connsiteY14" fmla="*/ 34435 h 192294"/>
                <a:gd name="connsiteX15" fmla="*/ 38005 w 155133"/>
                <a:gd name="connsiteY15" fmla="*/ 86531 h 192294"/>
                <a:gd name="connsiteX16" fmla="*/ 73819 w 155133"/>
                <a:gd name="connsiteY16" fmla="*/ 86531 h 192294"/>
                <a:gd name="connsiteX17" fmla="*/ 73781 w 155133"/>
                <a:gd name="connsiteY17" fmla="*/ 86531 h 192294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</a:cxnLst>
              <a:rect l="l" t="t" r="r" b="b"/>
              <a:pathLst>
                <a:path w="155133" h="192294">
                  <a:moveTo>
                    <a:pt x="0" y="0"/>
                  </a:moveTo>
                  <a:lnTo>
                    <a:pt x="62646" y="0"/>
                  </a:lnTo>
                  <a:cubicBezTo>
                    <a:pt x="110119" y="0"/>
                    <a:pt x="135055" y="20085"/>
                    <a:pt x="135055" y="57239"/>
                  </a:cubicBezTo>
                  <a:cubicBezTo>
                    <a:pt x="135055" y="82468"/>
                    <a:pt x="121491" y="98195"/>
                    <a:pt x="102775" y="107959"/>
                  </a:cubicBezTo>
                  <a:lnTo>
                    <a:pt x="155134" y="189869"/>
                  </a:lnTo>
                  <a:lnTo>
                    <a:pt x="112014" y="192294"/>
                  </a:lnTo>
                  <a:lnTo>
                    <a:pt x="67523" y="120147"/>
                  </a:lnTo>
                  <a:lnTo>
                    <a:pt x="37967" y="120147"/>
                  </a:lnTo>
                  <a:lnTo>
                    <a:pt x="37967" y="189869"/>
                  </a:lnTo>
                  <a:lnTo>
                    <a:pt x="0" y="189869"/>
                  </a:lnTo>
                  <a:lnTo>
                    <a:pt x="0" y="0"/>
                  </a:lnTo>
                  <a:close/>
                  <a:moveTo>
                    <a:pt x="73781" y="86531"/>
                  </a:moveTo>
                  <a:cubicBezTo>
                    <a:pt x="86001" y="82468"/>
                    <a:pt x="94945" y="74309"/>
                    <a:pt x="94945" y="59402"/>
                  </a:cubicBezTo>
                  <a:cubicBezTo>
                    <a:pt x="94945" y="41775"/>
                    <a:pt x="81124" y="34435"/>
                    <a:pt x="58617" y="34435"/>
                  </a:cubicBezTo>
                  <a:lnTo>
                    <a:pt x="38005" y="34435"/>
                  </a:lnTo>
                  <a:lnTo>
                    <a:pt x="38005" y="86531"/>
                  </a:lnTo>
                  <a:lnTo>
                    <a:pt x="73819" y="86531"/>
                  </a:lnTo>
                  <a:lnTo>
                    <a:pt x="73781" y="86531"/>
                  </a:lnTo>
                  <a:close/>
                </a:path>
              </a:pathLst>
            </a:custGeom>
            <a:solidFill>
              <a:schemeClr val="tx1">
                <a:lumMod val="95000"/>
                <a:lumOff val="5000"/>
              </a:schemeClr>
            </a:solidFill>
            <a:ln w="9525" cap="flat">
              <a:noFill/>
              <a:prstDash val="solid"/>
              <a:miter/>
            </a:ln>
          </xdr:spPr>
          <xdr:txBody>
            <a:bodyPr wrap="square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US">
                <a:solidFill>
                  <a:schemeClr val="tx1"/>
                </a:solidFill>
              </a:endParaRPr>
            </a:p>
          </xdr:txBody>
        </xdr:sp>
        <xdr:sp macro="" textlink="">
          <xdr:nvSpPr>
            <xdr:cNvPr id="13" name="Freeform: Shape 12">
              <a:extLst>
                <a:ext uri="{FF2B5EF4-FFF2-40B4-BE49-F238E27FC236}">
                  <a16:creationId xmlns:a16="http://schemas.microsoft.com/office/drawing/2014/main" id="{986C596C-0204-A3E3-BB04-B8964D1CEB61}"/>
                </a:ext>
              </a:extLst>
            </xdr:cNvPr>
            <xdr:cNvSpPr/>
          </xdr:nvSpPr>
          <xdr:spPr>
            <a:xfrm>
              <a:off x="501725" y="283893"/>
              <a:ext cx="28096" cy="34099"/>
            </a:xfrm>
            <a:custGeom>
              <a:avLst/>
              <a:gdLst>
                <a:gd name="connsiteX0" fmla="*/ 26047 w 34959"/>
                <a:gd name="connsiteY0" fmla="*/ 27718 h 42429"/>
                <a:gd name="connsiteX1" fmla="*/ 32109 w 34959"/>
                <a:gd name="connsiteY1" fmla="*/ 22672 h 42429"/>
                <a:gd name="connsiteX2" fmla="*/ 34239 w 34959"/>
                <a:gd name="connsiteY2" fmla="*/ 14776 h 42429"/>
                <a:gd name="connsiteX3" fmla="*/ 32109 w 34959"/>
                <a:gd name="connsiteY3" fmla="*/ 6848 h 42429"/>
                <a:gd name="connsiteX4" fmla="*/ 26047 w 34959"/>
                <a:gd name="connsiteY4" fmla="*/ 1769 h 42429"/>
                <a:gd name="connsiteX5" fmla="*/ 16546 w 34959"/>
                <a:gd name="connsiteY5" fmla="*/ 0 h 42429"/>
                <a:gd name="connsiteX6" fmla="*/ 0 w 34959"/>
                <a:gd name="connsiteY6" fmla="*/ 0 h 42429"/>
                <a:gd name="connsiteX7" fmla="*/ 0 w 34959"/>
                <a:gd name="connsiteY7" fmla="*/ 42429 h 42429"/>
                <a:gd name="connsiteX8" fmla="*/ 6061 w 34959"/>
                <a:gd name="connsiteY8" fmla="*/ 42429 h 42429"/>
                <a:gd name="connsiteX9" fmla="*/ 6061 w 34959"/>
                <a:gd name="connsiteY9" fmla="*/ 29520 h 42429"/>
                <a:gd name="connsiteX10" fmla="*/ 16546 w 34959"/>
                <a:gd name="connsiteY10" fmla="*/ 29520 h 42429"/>
                <a:gd name="connsiteX11" fmla="*/ 19233 w 34959"/>
                <a:gd name="connsiteY11" fmla="*/ 29422 h 42429"/>
                <a:gd name="connsiteX12" fmla="*/ 28341 w 34959"/>
                <a:gd name="connsiteY12" fmla="*/ 42429 h 42429"/>
                <a:gd name="connsiteX13" fmla="*/ 34960 w 34959"/>
                <a:gd name="connsiteY13" fmla="*/ 42429 h 42429"/>
                <a:gd name="connsiteX14" fmla="*/ 24868 w 34959"/>
                <a:gd name="connsiteY14" fmla="*/ 28209 h 42429"/>
                <a:gd name="connsiteX15" fmla="*/ 26047 w 34959"/>
                <a:gd name="connsiteY15" fmla="*/ 27783 h 42429"/>
                <a:gd name="connsiteX16" fmla="*/ 26047 w 34959"/>
                <a:gd name="connsiteY16" fmla="*/ 27718 h 42429"/>
                <a:gd name="connsiteX17" fmla="*/ 16350 w 34959"/>
                <a:gd name="connsiteY17" fmla="*/ 24311 h 42429"/>
                <a:gd name="connsiteX18" fmla="*/ 6061 w 34959"/>
                <a:gd name="connsiteY18" fmla="*/ 24311 h 42429"/>
                <a:gd name="connsiteX19" fmla="*/ 6061 w 34959"/>
                <a:gd name="connsiteY19" fmla="*/ 5209 h 42429"/>
                <a:gd name="connsiteX20" fmla="*/ 16350 w 34959"/>
                <a:gd name="connsiteY20" fmla="*/ 5209 h 42429"/>
                <a:gd name="connsiteX21" fmla="*/ 25163 w 34959"/>
                <a:gd name="connsiteY21" fmla="*/ 7699 h 42429"/>
                <a:gd name="connsiteX22" fmla="*/ 28177 w 34959"/>
                <a:gd name="connsiteY22" fmla="*/ 14744 h 42429"/>
                <a:gd name="connsiteX23" fmla="*/ 25163 w 34959"/>
                <a:gd name="connsiteY23" fmla="*/ 21787 h 42429"/>
                <a:gd name="connsiteX24" fmla="*/ 16350 w 34959"/>
                <a:gd name="connsiteY24" fmla="*/ 24311 h 4242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</a:cxnLst>
              <a:rect l="l" t="t" r="r" b="b"/>
              <a:pathLst>
                <a:path w="34959" h="42429">
                  <a:moveTo>
                    <a:pt x="26047" y="27718"/>
                  </a:moveTo>
                  <a:cubicBezTo>
                    <a:pt x="28668" y="26539"/>
                    <a:pt x="30700" y="24868"/>
                    <a:pt x="32109" y="22672"/>
                  </a:cubicBezTo>
                  <a:cubicBezTo>
                    <a:pt x="33518" y="20477"/>
                    <a:pt x="34239" y="17823"/>
                    <a:pt x="34239" y="14776"/>
                  </a:cubicBezTo>
                  <a:cubicBezTo>
                    <a:pt x="34239" y="11729"/>
                    <a:pt x="33518" y="9075"/>
                    <a:pt x="32109" y="6848"/>
                  </a:cubicBezTo>
                  <a:cubicBezTo>
                    <a:pt x="30700" y="4620"/>
                    <a:pt x="28668" y="2916"/>
                    <a:pt x="26047" y="1769"/>
                  </a:cubicBezTo>
                  <a:cubicBezTo>
                    <a:pt x="23427" y="590"/>
                    <a:pt x="20248" y="0"/>
                    <a:pt x="16546" y="0"/>
                  </a:cubicBezTo>
                  <a:lnTo>
                    <a:pt x="0" y="0"/>
                  </a:lnTo>
                  <a:lnTo>
                    <a:pt x="0" y="42429"/>
                  </a:lnTo>
                  <a:lnTo>
                    <a:pt x="6061" y="42429"/>
                  </a:lnTo>
                  <a:lnTo>
                    <a:pt x="6061" y="29520"/>
                  </a:lnTo>
                  <a:lnTo>
                    <a:pt x="16546" y="29520"/>
                  </a:lnTo>
                  <a:cubicBezTo>
                    <a:pt x="17463" y="29520"/>
                    <a:pt x="18380" y="29487"/>
                    <a:pt x="19233" y="29422"/>
                  </a:cubicBezTo>
                  <a:lnTo>
                    <a:pt x="28341" y="42429"/>
                  </a:lnTo>
                  <a:lnTo>
                    <a:pt x="34960" y="42429"/>
                  </a:lnTo>
                  <a:lnTo>
                    <a:pt x="24868" y="28209"/>
                  </a:lnTo>
                  <a:cubicBezTo>
                    <a:pt x="25261" y="28079"/>
                    <a:pt x="25687" y="27947"/>
                    <a:pt x="26047" y="27783"/>
                  </a:cubicBezTo>
                  <a:lnTo>
                    <a:pt x="26047" y="27718"/>
                  </a:lnTo>
                  <a:close/>
                  <a:moveTo>
                    <a:pt x="16350" y="24311"/>
                  </a:moveTo>
                  <a:lnTo>
                    <a:pt x="6061" y="24311"/>
                  </a:lnTo>
                  <a:lnTo>
                    <a:pt x="6061" y="5209"/>
                  </a:lnTo>
                  <a:lnTo>
                    <a:pt x="16350" y="5209"/>
                  </a:lnTo>
                  <a:cubicBezTo>
                    <a:pt x="20216" y="5209"/>
                    <a:pt x="23164" y="6028"/>
                    <a:pt x="25163" y="7699"/>
                  </a:cubicBezTo>
                  <a:cubicBezTo>
                    <a:pt x="27161" y="9370"/>
                    <a:pt x="28177" y="11697"/>
                    <a:pt x="28177" y="14744"/>
                  </a:cubicBezTo>
                  <a:cubicBezTo>
                    <a:pt x="28177" y="17791"/>
                    <a:pt x="27194" y="20117"/>
                    <a:pt x="25163" y="21787"/>
                  </a:cubicBezTo>
                  <a:cubicBezTo>
                    <a:pt x="23164" y="23459"/>
                    <a:pt x="20216" y="24311"/>
                    <a:pt x="16350" y="24311"/>
                  </a:cubicBezTo>
                  <a:close/>
                </a:path>
              </a:pathLst>
            </a:custGeom>
            <a:solidFill>
              <a:srgbClr val="7CC061"/>
            </a:solidFill>
            <a:ln w="9525" cap="flat">
              <a:noFill/>
              <a:prstDash val="solid"/>
              <a:miter/>
            </a:ln>
          </xdr:spPr>
          <xdr:txBody>
            <a:bodyPr wrap="square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US"/>
            </a:p>
          </xdr:txBody>
        </xdr:sp>
        <xdr:sp macro="" textlink="">
          <xdr:nvSpPr>
            <xdr:cNvPr id="14" name="Freeform: Shape 13">
              <a:extLst>
                <a:ext uri="{FF2B5EF4-FFF2-40B4-BE49-F238E27FC236}">
                  <a16:creationId xmlns:a16="http://schemas.microsoft.com/office/drawing/2014/main" id="{70D359AF-A26E-2B14-8135-0E2FAEBAEE80}"/>
                </a:ext>
              </a:extLst>
            </xdr:cNvPr>
            <xdr:cNvSpPr/>
          </xdr:nvSpPr>
          <xdr:spPr>
            <a:xfrm>
              <a:off x="546857" y="283866"/>
              <a:ext cx="24752" cy="34100"/>
            </a:xfrm>
            <a:custGeom>
              <a:avLst/>
              <a:gdLst>
                <a:gd name="connsiteX0" fmla="*/ 6062 w 30799"/>
                <a:gd name="connsiteY0" fmla="*/ 23459 h 42430"/>
                <a:gd name="connsiteX1" fmla="*/ 27325 w 30799"/>
                <a:gd name="connsiteY1" fmla="*/ 23459 h 42430"/>
                <a:gd name="connsiteX2" fmla="*/ 27325 w 30799"/>
                <a:gd name="connsiteY2" fmla="*/ 18316 h 42430"/>
                <a:gd name="connsiteX3" fmla="*/ 6062 w 30799"/>
                <a:gd name="connsiteY3" fmla="*/ 18316 h 42430"/>
                <a:gd name="connsiteX4" fmla="*/ 6062 w 30799"/>
                <a:gd name="connsiteY4" fmla="*/ 5275 h 42430"/>
                <a:gd name="connsiteX5" fmla="*/ 29947 w 30799"/>
                <a:gd name="connsiteY5" fmla="*/ 5275 h 42430"/>
                <a:gd name="connsiteX6" fmla="*/ 29947 w 30799"/>
                <a:gd name="connsiteY6" fmla="*/ 0 h 42430"/>
                <a:gd name="connsiteX7" fmla="*/ 0 w 30799"/>
                <a:gd name="connsiteY7" fmla="*/ 0 h 42430"/>
                <a:gd name="connsiteX8" fmla="*/ 0 w 30799"/>
                <a:gd name="connsiteY8" fmla="*/ 42430 h 42430"/>
                <a:gd name="connsiteX9" fmla="*/ 30799 w 30799"/>
                <a:gd name="connsiteY9" fmla="*/ 42430 h 42430"/>
                <a:gd name="connsiteX10" fmla="*/ 30799 w 30799"/>
                <a:gd name="connsiteY10" fmla="*/ 37155 h 42430"/>
                <a:gd name="connsiteX11" fmla="*/ 6062 w 30799"/>
                <a:gd name="connsiteY11" fmla="*/ 37155 h 42430"/>
                <a:gd name="connsiteX12" fmla="*/ 6062 w 30799"/>
                <a:gd name="connsiteY12" fmla="*/ 23459 h 4243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</a:cxnLst>
              <a:rect l="l" t="t" r="r" b="b"/>
              <a:pathLst>
                <a:path w="30799" h="42430">
                  <a:moveTo>
                    <a:pt x="6062" y="23459"/>
                  </a:moveTo>
                  <a:lnTo>
                    <a:pt x="27325" y="23459"/>
                  </a:lnTo>
                  <a:lnTo>
                    <a:pt x="27325" y="18316"/>
                  </a:lnTo>
                  <a:lnTo>
                    <a:pt x="6062" y="18316"/>
                  </a:lnTo>
                  <a:lnTo>
                    <a:pt x="6062" y="5275"/>
                  </a:lnTo>
                  <a:lnTo>
                    <a:pt x="29947" y="5275"/>
                  </a:lnTo>
                  <a:lnTo>
                    <a:pt x="29947" y="0"/>
                  </a:lnTo>
                  <a:lnTo>
                    <a:pt x="0" y="0"/>
                  </a:lnTo>
                  <a:lnTo>
                    <a:pt x="0" y="42430"/>
                  </a:lnTo>
                  <a:lnTo>
                    <a:pt x="30799" y="42430"/>
                  </a:lnTo>
                  <a:lnTo>
                    <a:pt x="30799" y="37155"/>
                  </a:lnTo>
                  <a:lnTo>
                    <a:pt x="6062" y="37155"/>
                  </a:lnTo>
                  <a:lnTo>
                    <a:pt x="6062" y="23459"/>
                  </a:lnTo>
                  <a:close/>
                </a:path>
              </a:pathLst>
            </a:custGeom>
            <a:solidFill>
              <a:srgbClr val="7CC061"/>
            </a:solidFill>
            <a:ln w="9525" cap="flat">
              <a:noFill/>
              <a:prstDash val="solid"/>
              <a:miter/>
            </a:ln>
          </xdr:spPr>
          <xdr:txBody>
            <a:bodyPr wrap="square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US"/>
            </a:p>
          </xdr:txBody>
        </xdr:sp>
        <xdr:sp macro="" textlink="">
          <xdr:nvSpPr>
            <xdr:cNvPr id="15" name="Freeform: Shape 14">
              <a:extLst>
                <a:ext uri="{FF2B5EF4-FFF2-40B4-BE49-F238E27FC236}">
                  <a16:creationId xmlns:a16="http://schemas.microsoft.com/office/drawing/2014/main" id="{FEF4C43B-4B60-8533-59F0-68660443F4B3}"/>
                </a:ext>
              </a:extLst>
            </xdr:cNvPr>
            <xdr:cNvSpPr/>
          </xdr:nvSpPr>
          <xdr:spPr>
            <a:xfrm>
              <a:off x="589225" y="283866"/>
              <a:ext cx="29333" cy="34100"/>
            </a:xfrm>
            <a:custGeom>
              <a:avLst/>
              <a:gdLst>
                <a:gd name="connsiteX0" fmla="*/ 30438 w 36499"/>
                <a:gd name="connsiteY0" fmla="*/ 31617 h 42430"/>
                <a:gd name="connsiteX1" fmla="*/ 4981 w 36499"/>
                <a:gd name="connsiteY1" fmla="*/ 0 h 42430"/>
                <a:gd name="connsiteX2" fmla="*/ 0 w 36499"/>
                <a:gd name="connsiteY2" fmla="*/ 0 h 42430"/>
                <a:gd name="connsiteX3" fmla="*/ 0 w 36499"/>
                <a:gd name="connsiteY3" fmla="*/ 42430 h 42430"/>
                <a:gd name="connsiteX4" fmla="*/ 6062 w 36499"/>
                <a:gd name="connsiteY4" fmla="*/ 42430 h 42430"/>
                <a:gd name="connsiteX5" fmla="*/ 6062 w 36499"/>
                <a:gd name="connsiteY5" fmla="*/ 10813 h 42430"/>
                <a:gd name="connsiteX6" fmla="*/ 31519 w 36499"/>
                <a:gd name="connsiteY6" fmla="*/ 42430 h 42430"/>
                <a:gd name="connsiteX7" fmla="*/ 36500 w 36499"/>
                <a:gd name="connsiteY7" fmla="*/ 42430 h 42430"/>
                <a:gd name="connsiteX8" fmla="*/ 36500 w 36499"/>
                <a:gd name="connsiteY8" fmla="*/ 0 h 42430"/>
                <a:gd name="connsiteX9" fmla="*/ 30438 w 36499"/>
                <a:gd name="connsiteY9" fmla="*/ 0 h 42430"/>
                <a:gd name="connsiteX10" fmla="*/ 30438 w 36499"/>
                <a:gd name="connsiteY10" fmla="*/ 31617 h 4243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</a:cxnLst>
              <a:rect l="l" t="t" r="r" b="b"/>
              <a:pathLst>
                <a:path w="36499" h="42430">
                  <a:moveTo>
                    <a:pt x="30438" y="31617"/>
                  </a:moveTo>
                  <a:lnTo>
                    <a:pt x="4981" y="0"/>
                  </a:lnTo>
                  <a:lnTo>
                    <a:pt x="0" y="0"/>
                  </a:lnTo>
                  <a:lnTo>
                    <a:pt x="0" y="42430"/>
                  </a:lnTo>
                  <a:lnTo>
                    <a:pt x="6062" y="42430"/>
                  </a:lnTo>
                  <a:lnTo>
                    <a:pt x="6062" y="10813"/>
                  </a:lnTo>
                  <a:lnTo>
                    <a:pt x="31519" y="42430"/>
                  </a:lnTo>
                  <a:lnTo>
                    <a:pt x="36500" y="42430"/>
                  </a:lnTo>
                  <a:lnTo>
                    <a:pt x="36500" y="0"/>
                  </a:lnTo>
                  <a:lnTo>
                    <a:pt x="30438" y="0"/>
                  </a:lnTo>
                  <a:lnTo>
                    <a:pt x="30438" y="31617"/>
                  </a:lnTo>
                  <a:close/>
                </a:path>
              </a:pathLst>
            </a:custGeom>
            <a:solidFill>
              <a:srgbClr val="7CC061"/>
            </a:solidFill>
            <a:ln w="9525" cap="flat">
              <a:noFill/>
              <a:prstDash val="solid"/>
              <a:miter/>
            </a:ln>
          </xdr:spPr>
          <xdr:txBody>
            <a:bodyPr wrap="square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US"/>
            </a:p>
          </xdr:txBody>
        </xdr:sp>
        <xdr:sp macro="" textlink="">
          <xdr:nvSpPr>
            <xdr:cNvPr id="16" name="Freeform: Shape 15">
              <a:extLst>
                <a:ext uri="{FF2B5EF4-FFF2-40B4-BE49-F238E27FC236}">
                  <a16:creationId xmlns:a16="http://schemas.microsoft.com/office/drawing/2014/main" id="{43A8C4AE-8EED-341C-DFC4-9394664B5186}"/>
                </a:ext>
              </a:extLst>
            </xdr:cNvPr>
            <xdr:cNvSpPr/>
          </xdr:nvSpPr>
          <xdr:spPr>
            <a:xfrm>
              <a:off x="638519" y="283866"/>
              <a:ext cx="24725" cy="34100"/>
            </a:xfrm>
            <a:custGeom>
              <a:avLst/>
              <a:gdLst>
                <a:gd name="connsiteX0" fmla="*/ 6061 w 30765"/>
                <a:gd name="connsiteY0" fmla="*/ 23459 h 42430"/>
                <a:gd name="connsiteX1" fmla="*/ 27325 w 30765"/>
                <a:gd name="connsiteY1" fmla="*/ 23459 h 42430"/>
                <a:gd name="connsiteX2" fmla="*/ 27325 w 30765"/>
                <a:gd name="connsiteY2" fmla="*/ 18316 h 42430"/>
                <a:gd name="connsiteX3" fmla="*/ 6061 w 30765"/>
                <a:gd name="connsiteY3" fmla="*/ 18316 h 42430"/>
                <a:gd name="connsiteX4" fmla="*/ 6061 w 30765"/>
                <a:gd name="connsiteY4" fmla="*/ 5275 h 42430"/>
                <a:gd name="connsiteX5" fmla="*/ 29947 w 30765"/>
                <a:gd name="connsiteY5" fmla="*/ 5275 h 42430"/>
                <a:gd name="connsiteX6" fmla="*/ 29947 w 30765"/>
                <a:gd name="connsiteY6" fmla="*/ 0 h 42430"/>
                <a:gd name="connsiteX7" fmla="*/ 0 w 30765"/>
                <a:gd name="connsiteY7" fmla="*/ 0 h 42430"/>
                <a:gd name="connsiteX8" fmla="*/ 0 w 30765"/>
                <a:gd name="connsiteY8" fmla="*/ 42430 h 42430"/>
                <a:gd name="connsiteX9" fmla="*/ 30766 w 30765"/>
                <a:gd name="connsiteY9" fmla="*/ 42430 h 42430"/>
                <a:gd name="connsiteX10" fmla="*/ 30766 w 30765"/>
                <a:gd name="connsiteY10" fmla="*/ 37155 h 42430"/>
                <a:gd name="connsiteX11" fmla="*/ 6061 w 30765"/>
                <a:gd name="connsiteY11" fmla="*/ 37155 h 42430"/>
                <a:gd name="connsiteX12" fmla="*/ 6061 w 30765"/>
                <a:gd name="connsiteY12" fmla="*/ 23459 h 4243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</a:cxnLst>
              <a:rect l="l" t="t" r="r" b="b"/>
              <a:pathLst>
                <a:path w="30765" h="42430">
                  <a:moveTo>
                    <a:pt x="6061" y="23459"/>
                  </a:moveTo>
                  <a:lnTo>
                    <a:pt x="27325" y="23459"/>
                  </a:lnTo>
                  <a:lnTo>
                    <a:pt x="27325" y="18316"/>
                  </a:lnTo>
                  <a:lnTo>
                    <a:pt x="6061" y="18316"/>
                  </a:lnTo>
                  <a:lnTo>
                    <a:pt x="6061" y="5275"/>
                  </a:lnTo>
                  <a:lnTo>
                    <a:pt x="29947" y="5275"/>
                  </a:lnTo>
                  <a:lnTo>
                    <a:pt x="29947" y="0"/>
                  </a:lnTo>
                  <a:lnTo>
                    <a:pt x="0" y="0"/>
                  </a:lnTo>
                  <a:lnTo>
                    <a:pt x="0" y="42430"/>
                  </a:lnTo>
                  <a:lnTo>
                    <a:pt x="30766" y="42430"/>
                  </a:lnTo>
                  <a:lnTo>
                    <a:pt x="30766" y="37155"/>
                  </a:lnTo>
                  <a:lnTo>
                    <a:pt x="6061" y="37155"/>
                  </a:lnTo>
                  <a:lnTo>
                    <a:pt x="6061" y="23459"/>
                  </a:lnTo>
                  <a:close/>
                </a:path>
              </a:pathLst>
            </a:custGeom>
            <a:solidFill>
              <a:srgbClr val="7CC061"/>
            </a:solidFill>
            <a:ln w="9525" cap="flat">
              <a:noFill/>
              <a:prstDash val="solid"/>
              <a:miter/>
            </a:ln>
          </xdr:spPr>
          <xdr:txBody>
            <a:bodyPr wrap="square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US"/>
            </a:p>
          </xdr:txBody>
        </xdr:sp>
        <xdr:sp macro="" textlink="">
          <xdr:nvSpPr>
            <xdr:cNvPr id="17" name="Freeform: Shape 16">
              <a:extLst>
                <a:ext uri="{FF2B5EF4-FFF2-40B4-BE49-F238E27FC236}">
                  <a16:creationId xmlns:a16="http://schemas.microsoft.com/office/drawing/2014/main" id="{A4946B89-7290-371A-F09F-8FA4A83ADBF6}"/>
                </a:ext>
              </a:extLst>
            </xdr:cNvPr>
            <xdr:cNvSpPr/>
          </xdr:nvSpPr>
          <xdr:spPr>
            <a:xfrm>
              <a:off x="676831" y="283866"/>
              <a:ext cx="51742" cy="34100"/>
            </a:xfrm>
            <a:custGeom>
              <a:avLst/>
              <a:gdLst>
                <a:gd name="connsiteX0" fmla="*/ 46918 w 64382"/>
                <a:gd name="connsiteY0" fmla="*/ 34664 h 42430"/>
                <a:gd name="connsiteX1" fmla="*/ 35222 w 64382"/>
                <a:gd name="connsiteY1" fmla="*/ 0 h 42430"/>
                <a:gd name="connsiteX2" fmla="*/ 29652 w 64382"/>
                <a:gd name="connsiteY2" fmla="*/ 0 h 42430"/>
                <a:gd name="connsiteX3" fmla="*/ 17725 w 64382"/>
                <a:gd name="connsiteY3" fmla="*/ 34501 h 42430"/>
                <a:gd name="connsiteX4" fmla="*/ 6258 w 64382"/>
                <a:gd name="connsiteY4" fmla="*/ 0 h 42430"/>
                <a:gd name="connsiteX5" fmla="*/ 0 w 64382"/>
                <a:gd name="connsiteY5" fmla="*/ 0 h 42430"/>
                <a:gd name="connsiteX6" fmla="*/ 14188 w 64382"/>
                <a:gd name="connsiteY6" fmla="*/ 42430 h 42430"/>
                <a:gd name="connsiteX7" fmla="*/ 20674 w 64382"/>
                <a:gd name="connsiteY7" fmla="*/ 42430 h 42430"/>
                <a:gd name="connsiteX8" fmla="*/ 32273 w 64382"/>
                <a:gd name="connsiteY8" fmla="*/ 8519 h 42430"/>
                <a:gd name="connsiteX9" fmla="*/ 43839 w 64382"/>
                <a:gd name="connsiteY9" fmla="*/ 42430 h 42430"/>
                <a:gd name="connsiteX10" fmla="*/ 50195 w 64382"/>
                <a:gd name="connsiteY10" fmla="*/ 42430 h 42430"/>
                <a:gd name="connsiteX11" fmla="*/ 64382 w 64382"/>
                <a:gd name="connsiteY11" fmla="*/ 0 h 42430"/>
                <a:gd name="connsiteX12" fmla="*/ 58616 w 64382"/>
                <a:gd name="connsiteY12" fmla="*/ 0 h 42430"/>
                <a:gd name="connsiteX13" fmla="*/ 46918 w 64382"/>
                <a:gd name="connsiteY13" fmla="*/ 34664 h 4243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</a:cxnLst>
              <a:rect l="l" t="t" r="r" b="b"/>
              <a:pathLst>
                <a:path w="64382" h="42430">
                  <a:moveTo>
                    <a:pt x="46918" y="34664"/>
                  </a:moveTo>
                  <a:lnTo>
                    <a:pt x="35222" y="0"/>
                  </a:lnTo>
                  <a:lnTo>
                    <a:pt x="29652" y="0"/>
                  </a:lnTo>
                  <a:lnTo>
                    <a:pt x="17725" y="34501"/>
                  </a:lnTo>
                  <a:lnTo>
                    <a:pt x="6258" y="0"/>
                  </a:lnTo>
                  <a:lnTo>
                    <a:pt x="0" y="0"/>
                  </a:lnTo>
                  <a:lnTo>
                    <a:pt x="14188" y="42430"/>
                  </a:lnTo>
                  <a:lnTo>
                    <a:pt x="20674" y="42430"/>
                  </a:lnTo>
                  <a:lnTo>
                    <a:pt x="32273" y="8519"/>
                  </a:lnTo>
                  <a:lnTo>
                    <a:pt x="43839" y="42430"/>
                  </a:lnTo>
                  <a:lnTo>
                    <a:pt x="50195" y="42430"/>
                  </a:lnTo>
                  <a:lnTo>
                    <a:pt x="64382" y="0"/>
                  </a:lnTo>
                  <a:lnTo>
                    <a:pt x="58616" y="0"/>
                  </a:lnTo>
                  <a:lnTo>
                    <a:pt x="46918" y="34664"/>
                  </a:lnTo>
                  <a:close/>
                </a:path>
              </a:pathLst>
            </a:custGeom>
            <a:solidFill>
              <a:srgbClr val="7CC061"/>
            </a:solidFill>
            <a:ln w="9525" cap="flat">
              <a:noFill/>
              <a:prstDash val="solid"/>
              <a:miter/>
            </a:ln>
          </xdr:spPr>
          <xdr:txBody>
            <a:bodyPr wrap="square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US"/>
            </a:p>
          </xdr:txBody>
        </xdr:sp>
        <xdr:sp macro="" textlink="">
          <xdr:nvSpPr>
            <xdr:cNvPr id="18" name="Freeform: Shape 17">
              <a:extLst>
                <a:ext uri="{FF2B5EF4-FFF2-40B4-BE49-F238E27FC236}">
                  <a16:creationId xmlns:a16="http://schemas.microsoft.com/office/drawing/2014/main" id="{1242CCD8-BA27-BAC6-6B73-8602585E63D6}"/>
                </a:ext>
              </a:extLst>
            </xdr:cNvPr>
            <xdr:cNvSpPr/>
          </xdr:nvSpPr>
          <xdr:spPr>
            <a:xfrm>
              <a:off x="738026" y="283866"/>
              <a:ext cx="35732" cy="34100"/>
            </a:xfrm>
            <a:custGeom>
              <a:avLst/>
              <a:gdLst>
                <a:gd name="connsiteX0" fmla="*/ 19201 w 44461"/>
                <a:gd name="connsiteY0" fmla="*/ 0 h 42430"/>
                <a:gd name="connsiteX1" fmla="*/ 0 w 44461"/>
                <a:gd name="connsiteY1" fmla="*/ 42430 h 42430"/>
                <a:gd name="connsiteX2" fmla="*/ 6258 w 44461"/>
                <a:gd name="connsiteY2" fmla="*/ 42430 h 42430"/>
                <a:gd name="connsiteX3" fmla="*/ 10915 w 44461"/>
                <a:gd name="connsiteY3" fmla="*/ 31814 h 42430"/>
                <a:gd name="connsiteX4" fmla="*/ 33451 w 44461"/>
                <a:gd name="connsiteY4" fmla="*/ 31814 h 42430"/>
                <a:gd name="connsiteX5" fmla="*/ 38109 w 44461"/>
                <a:gd name="connsiteY5" fmla="*/ 42430 h 42430"/>
                <a:gd name="connsiteX6" fmla="*/ 44462 w 44461"/>
                <a:gd name="connsiteY6" fmla="*/ 42430 h 42430"/>
                <a:gd name="connsiteX7" fmla="*/ 25193 w 44461"/>
                <a:gd name="connsiteY7" fmla="*/ 0 h 42430"/>
                <a:gd name="connsiteX8" fmla="*/ 19201 w 44461"/>
                <a:gd name="connsiteY8" fmla="*/ 0 h 42430"/>
                <a:gd name="connsiteX9" fmla="*/ 13010 w 44461"/>
                <a:gd name="connsiteY9" fmla="*/ 26965 h 42430"/>
                <a:gd name="connsiteX10" fmla="*/ 22145 w 44461"/>
                <a:gd name="connsiteY10" fmla="*/ 6160 h 42430"/>
                <a:gd name="connsiteX11" fmla="*/ 31289 w 44461"/>
                <a:gd name="connsiteY11" fmla="*/ 26965 h 42430"/>
                <a:gd name="connsiteX12" fmla="*/ 13010 w 44461"/>
                <a:gd name="connsiteY12" fmla="*/ 26965 h 4243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</a:cxnLst>
              <a:rect l="l" t="t" r="r" b="b"/>
              <a:pathLst>
                <a:path w="44461" h="42430">
                  <a:moveTo>
                    <a:pt x="19201" y="0"/>
                  </a:moveTo>
                  <a:lnTo>
                    <a:pt x="0" y="42430"/>
                  </a:lnTo>
                  <a:lnTo>
                    <a:pt x="6258" y="42430"/>
                  </a:lnTo>
                  <a:lnTo>
                    <a:pt x="10915" y="31814"/>
                  </a:lnTo>
                  <a:lnTo>
                    <a:pt x="33451" y="31814"/>
                  </a:lnTo>
                  <a:lnTo>
                    <a:pt x="38109" y="42430"/>
                  </a:lnTo>
                  <a:lnTo>
                    <a:pt x="44462" y="42430"/>
                  </a:lnTo>
                  <a:lnTo>
                    <a:pt x="25193" y="0"/>
                  </a:lnTo>
                  <a:lnTo>
                    <a:pt x="19201" y="0"/>
                  </a:lnTo>
                  <a:close/>
                  <a:moveTo>
                    <a:pt x="13010" y="26965"/>
                  </a:moveTo>
                  <a:lnTo>
                    <a:pt x="22145" y="6160"/>
                  </a:lnTo>
                  <a:lnTo>
                    <a:pt x="31289" y="26965"/>
                  </a:lnTo>
                  <a:lnTo>
                    <a:pt x="13010" y="26965"/>
                  </a:lnTo>
                  <a:close/>
                </a:path>
              </a:pathLst>
            </a:custGeom>
            <a:solidFill>
              <a:srgbClr val="7CC061"/>
            </a:solidFill>
            <a:ln w="9525" cap="flat">
              <a:noFill/>
              <a:prstDash val="solid"/>
              <a:miter/>
            </a:ln>
          </xdr:spPr>
          <xdr:txBody>
            <a:bodyPr wrap="square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US"/>
            </a:p>
          </xdr:txBody>
        </xdr:sp>
        <xdr:sp macro="" textlink="">
          <xdr:nvSpPr>
            <xdr:cNvPr id="19" name="Freeform: Shape 18">
              <a:extLst>
                <a:ext uri="{FF2B5EF4-FFF2-40B4-BE49-F238E27FC236}">
                  <a16:creationId xmlns:a16="http://schemas.microsoft.com/office/drawing/2014/main" id="{7AAAA575-4BD8-A974-F188-10E58D26BBB4}"/>
                </a:ext>
              </a:extLst>
            </xdr:cNvPr>
            <xdr:cNvSpPr/>
          </xdr:nvSpPr>
          <xdr:spPr>
            <a:xfrm>
              <a:off x="788587" y="283866"/>
              <a:ext cx="29326" cy="34100"/>
            </a:xfrm>
            <a:custGeom>
              <a:avLst/>
              <a:gdLst>
                <a:gd name="connsiteX0" fmla="*/ 30404 w 36490"/>
                <a:gd name="connsiteY0" fmla="*/ 21166 h 42430"/>
                <a:gd name="connsiteX1" fmla="*/ 28337 w 36490"/>
                <a:gd name="connsiteY1" fmla="*/ 20510 h 42430"/>
                <a:gd name="connsiteX2" fmla="*/ 28537 w 36490"/>
                <a:gd name="connsiteY2" fmla="*/ 20445 h 42430"/>
                <a:gd name="connsiteX3" fmla="*/ 32690 w 36490"/>
                <a:gd name="connsiteY3" fmla="*/ 16808 h 42430"/>
                <a:gd name="connsiteX4" fmla="*/ 34233 w 36490"/>
                <a:gd name="connsiteY4" fmla="*/ 10977 h 42430"/>
                <a:gd name="connsiteX5" fmla="*/ 30299 w 36490"/>
                <a:gd name="connsiteY5" fmla="*/ 2949 h 42430"/>
                <a:gd name="connsiteX6" fmla="*/ 19031 w 36490"/>
                <a:gd name="connsiteY6" fmla="*/ 0 h 42430"/>
                <a:gd name="connsiteX7" fmla="*/ 0 w 36490"/>
                <a:gd name="connsiteY7" fmla="*/ 0 h 42430"/>
                <a:gd name="connsiteX8" fmla="*/ 0 w 36490"/>
                <a:gd name="connsiteY8" fmla="*/ 42430 h 42430"/>
                <a:gd name="connsiteX9" fmla="*/ 20241 w 36490"/>
                <a:gd name="connsiteY9" fmla="*/ 42430 h 42430"/>
                <a:gd name="connsiteX10" fmla="*/ 32404 w 36490"/>
                <a:gd name="connsiteY10" fmla="*/ 39415 h 42430"/>
                <a:gd name="connsiteX11" fmla="*/ 36490 w 36490"/>
                <a:gd name="connsiteY11" fmla="*/ 30962 h 42430"/>
                <a:gd name="connsiteX12" fmla="*/ 34852 w 36490"/>
                <a:gd name="connsiteY12" fmla="*/ 24868 h 42430"/>
                <a:gd name="connsiteX13" fmla="*/ 30432 w 36490"/>
                <a:gd name="connsiteY13" fmla="*/ 21133 h 42430"/>
                <a:gd name="connsiteX14" fmla="*/ 30404 w 36490"/>
                <a:gd name="connsiteY14" fmla="*/ 21166 h 42430"/>
                <a:gd name="connsiteX15" fmla="*/ 6020 w 36490"/>
                <a:gd name="connsiteY15" fmla="*/ 4915 h 42430"/>
                <a:gd name="connsiteX16" fmla="*/ 18440 w 36490"/>
                <a:gd name="connsiteY16" fmla="*/ 4915 h 42430"/>
                <a:gd name="connsiteX17" fmla="*/ 25584 w 36490"/>
                <a:gd name="connsiteY17" fmla="*/ 6619 h 42430"/>
                <a:gd name="connsiteX18" fmla="*/ 28137 w 36490"/>
                <a:gd name="connsiteY18" fmla="*/ 11697 h 42430"/>
                <a:gd name="connsiteX19" fmla="*/ 25584 w 36490"/>
                <a:gd name="connsiteY19" fmla="*/ 16775 h 42430"/>
                <a:gd name="connsiteX20" fmla="*/ 18440 w 36490"/>
                <a:gd name="connsiteY20" fmla="*/ 18479 h 42430"/>
                <a:gd name="connsiteX21" fmla="*/ 6020 w 36490"/>
                <a:gd name="connsiteY21" fmla="*/ 18479 h 42430"/>
                <a:gd name="connsiteX22" fmla="*/ 6020 w 36490"/>
                <a:gd name="connsiteY22" fmla="*/ 4915 h 42430"/>
                <a:gd name="connsiteX23" fmla="*/ 27651 w 36490"/>
                <a:gd name="connsiteY23" fmla="*/ 35811 h 42430"/>
                <a:gd name="connsiteX24" fmla="*/ 19945 w 36490"/>
                <a:gd name="connsiteY24" fmla="*/ 37515 h 42430"/>
                <a:gd name="connsiteX25" fmla="*/ 6020 w 36490"/>
                <a:gd name="connsiteY25" fmla="*/ 37515 h 42430"/>
                <a:gd name="connsiteX26" fmla="*/ 6020 w 36490"/>
                <a:gd name="connsiteY26" fmla="*/ 23394 h 42430"/>
                <a:gd name="connsiteX27" fmla="*/ 19945 w 36490"/>
                <a:gd name="connsiteY27" fmla="*/ 23394 h 42430"/>
                <a:gd name="connsiteX28" fmla="*/ 27651 w 36490"/>
                <a:gd name="connsiteY28" fmla="*/ 25097 h 42430"/>
                <a:gd name="connsiteX29" fmla="*/ 30299 w 36490"/>
                <a:gd name="connsiteY29" fmla="*/ 30504 h 42430"/>
                <a:gd name="connsiteX30" fmla="*/ 27651 w 36490"/>
                <a:gd name="connsiteY30" fmla="*/ 35844 h 42430"/>
                <a:gd name="connsiteX31" fmla="*/ 27651 w 36490"/>
                <a:gd name="connsiteY31" fmla="*/ 35811 h 4243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  <a:cxn ang="0">
                  <a:pos x="connsiteX26" y="connsiteY26"/>
                </a:cxn>
                <a:cxn ang="0">
                  <a:pos x="connsiteX27" y="connsiteY27"/>
                </a:cxn>
                <a:cxn ang="0">
                  <a:pos x="connsiteX28" y="connsiteY28"/>
                </a:cxn>
                <a:cxn ang="0">
                  <a:pos x="connsiteX29" y="connsiteY29"/>
                </a:cxn>
                <a:cxn ang="0">
                  <a:pos x="connsiteX30" y="connsiteY30"/>
                </a:cxn>
                <a:cxn ang="0">
                  <a:pos x="connsiteX31" y="connsiteY31"/>
                </a:cxn>
              </a:cxnLst>
              <a:rect l="l" t="t" r="r" b="b"/>
              <a:pathLst>
                <a:path w="36490" h="42430">
                  <a:moveTo>
                    <a:pt x="30404" y="21166"/>
                  </a:moveTo>
                  <a:cubicBezTo>
                    <a:pt x="29747" y="20871"/>
                    <a:pt x="29023" y="20707"/>
                    <a:pt x="28337" y="20510"/>
                  </a:cubicBezTo>
                  <a:cubicBezTo>
                    <a:pt x="28404" y="20510"/>
                    <a:pt x="28470" y="20478"/>
                    <a:pt x="28537" y="20445"/>
                  </a:cubicBezTo>
                  <a:cubicBezTo>
                    <a:pt x="30270" y="19593"/>
                    <a:pt x="31642" y="18381"/>
                    <a:pt x="32690" y="16808"/>
                  </a:cubicBezTo>
                  <a:cubicBezTo>
                    <a:pt x="33709" y="15235"/>
                    <a:pt x="34233" y="13303"/>
                    <a:pt x="34233" y="10977"/>
                  </a:cubicBezTo>
                  <a:cubicBezTo>
                    <a:pt x="34233" y="7569"/>
                    <a:pt x="32928" y="4915"/>
                    <a:pt x="30299" y="2949"/>
                  </a:cubicBezTo>
                  <a:cubicBezTo>
                    <a:pt x="27680" y="983"/>
                    <a:pt x="23917" y="0"/>
                    <a:pt x="19031" y="0"/>
                  </a:cubicBezTo>
                  <a:lnTo>
                    <a:pt x="0" y="0"/>
                  </a:lnTo>
                  <a:lnTo>
                    <a:pt x="0" y="42430"/>
                  </a:lnTo>
                  <a:lnTo>
                    <a:pt x="20241" y="42430"/>
                  </a:lnTo>
                  <a:cubicBezTo>
                    <a:pt x="25613" y="42430"/>
                    <a:pt x="29680" y="41415"/>
                    <a:pt x="32404" y="39415"/>
                  </a:cubicBezTo>
                  <a:cubicBezTo>
                    <a:pt x="35119" y="37417"/>
                    <a:pt x="36490" y="34600"/>
                    <a:pt x="36490" y="30962"/>
                  </a:cubicBezTo>
                  <a:cubicBezTo>
                    <a:pt x="36490" y="28538"/>
                    <a:pt x="35938" y="26506"/>
                    <a:pt x="34852" y="24868"/>
                  </a:cubicBezTo>
                  <a:cubicBezTo>
                    <a:pt x="33776" y="23231"/>
                    <a:pt x="32299" y="21985"/>
                    <a:pt x="30432" y="21133"/>
                  </a:cubicBezTo>
                  <a:lnTo>
                    <a:pt x="30404" y="21166"/>
                  </a:lnTo>
                  <a:close/>
                  <a:moveTo>
                    <a:pt x="6020" y="4915"/>
                  </a:moveTo>
                  <a:lnTo>
                    <a:pt x="18440" y="4915"/>
                  </a:lnTo>
                  <a:cubicBezTo>
                    <a:pt x="21517" y="4915"/>
                    <a:pt x="23879" y="5472"/>
                    <a:pt x="25584" y="6619"/>
                  </a:cubicBezTo>
                  <a:cubicBezTo>
                    <a:pt x="27289" y="7766"/>
                    <a:pt x="28137" y="9436"/>
                    <a:pt x="28137" y="11697"/>
                  </a:cubicBezTo>
                  <a:cubicBezTo>
                    <a:pt x="28137" y="13958"/>
                    <a:pt x="27289" y="15662"/>
                    <a:pt x="25584" y="16775"/>
                  </a:cubicBezTo>
                  <a:cubicBezTo>
                    <a:pt x="23879" y="17922"/>
                    <a:pt x="21488" y="18479"/>
                    <a:pt x="18440" y="18479"/>
                  </a:cubicBezTo>
                  <a:lnTo>
                    <a:pt x="6020" y="18479"/>
                  </a:lnTo>
                  <a:lnTo>
                    <a:pt x="6020" y="4915"/>
                  </a:lnTo>
                  <a:close/>
                  <a:moveTo>
                    <a:pt x="27651" y="35811"/>
                  </a:moveTo>
                  <a:cubicBezTo>
                    <a:pt x="25879" y="36958"/>
                    <a:pt x="23289" y="37515"/>
                    <a:pt x="19945" y="37515"/>
                  </a:cubicBezTo>
                  <a:lnTo>
                    <a:pt x="6020" y="37515"/>
                  </a:lnTo>
                  <a:lnTo>
                    <a:pt x="6020" y="23394"/>
                  </a:lnTo>
                  <a:lnTo>
                    <a:pt x="19945" y="23394"/>
                  </a:lnTo>
                  <a:cubicBezTo>
                    <a:pt x="23289" y="23394"/>
                    <a:pt x="25879" y="23951"/>
                    <a:pt x="27651" y="25097"/>
                  </a:cubicBezTo>
                  <a:cubicBezTo>
                    <a:pt x="29413" y="26244"/>
                    <a:pt x="30299" y="28014"/>
                    <a:pt x="30299" y="30504"/>
                  </a:cubicBezTo>
                  <a:cubicBezTo>
                    <a:pt x="30299" y="32994"/>
                    <a:pt x="29413" y="34698"/>
                    <a:pt x="27651" y="35844"/>
                  </a:cubicBezTo>
                  <a:lnTo>
                    <a:pt x="27651" y="35811"/>
                  </a:lnTo>
                  <a:close/>
                </a:path>
              </a:pathLst>
            </a:custGeom>
            <a:solidFill>
              <a:srgbClr val="7CC061"/>
            </a:solidFill>
            <a:ln w="9525" cap="flat">
              <a:noFill/>
              <a:prstDash val="solid"/>
              <a:miter/>
            </a:ln>
          </xdr:spPr>
          <xdr:txBody>
            <a:bodyPr wrap="square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US"/>
            </a:p>
          </xdr:txBody>
        </xdr:sp>
        <xdr:sp macro="" textlink="">
          <xdr:nvSpPr>
            <xdr:cNvPr id="20" name="Freeform: Shape 19">
              <a:extLst>
                <a:ext uri="{FF2B5EF4-FFF2-40B4-BE49-F238E27FC236}">
                  <a16:creationId xmlns:a16="http://schemas.microsoft.com/office/drawing/2014/main" id="{658E7C3B-CEB2-D45D-B054-ED50C1B2A1C7}"/>
                </a:ext>
              </a:extLst>
            </xdr:cNvPr>
            <xdr:cNvSpPr/>
          </xdr:nvSpPr>
          <xdr:spPr>
            <a:xfrm>
              <a:off x="835168" y="283866"/>
              <a:ext cx="23324" cy="34100"/>
            </a:xfrm>
            <a:custGeom>
              <a:avLst/>
              <a:gdLst>
                <a:gd name="connsiteX0" fmla="*/ 6058 w 29022"/>
                <a:gd name="connsiteY0" fmla="*/ 0 h 42430"/>
                <a:gd name="connsiteX1" fmla="*/ 0 w 29022"/>
                <a:gd name="connsiteY1" fmla="*/ 0 h 42430"/>
                <a:gd name="connsiteX2" fmla="*/ 0 w 29022"/>
                <a:gd name="connsiteY2" fmla="*/ 42430 h 42430"/>
                <a:gd name="connsiteX3" fmla="*/ 29023 w 29022"/>
                <a:gd name="connsiteY3" fmla="*/ 42430 h 42430"/>
                <a:gd name="connsiteX4" fmla="*/ 29023 w 29022"/>
                <a:gd name="connsiteY4" fmla="*/ 37155 h 42430"/>
                <a:gd name="connsiteX5" fmla="*/ 6058 w 29022"/>
                <a:gd name="connsiteY5" fmla="*/ 37155 h 42430"/>
                <a:gd name="connsiteX6" fmla="*/ 6058 w 29022"/>
                <a:gd name="connsiteY6" fmla="*/ 0 h 4243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</a:cxnLst>
              <a:rect l="l" t="t" r="r" b="b"/>
              <a:pathLst>
                <a:path w="29022" h="42430">
                  <a:moveTo>
                    <a:pt x="6058" y="0"/>
                  </a:moveTo>
                  <a:lnTo>
                    <a:pt x="0" y="0"/>
                  </a:lnTo>
                  <a:lnTo>
                    <a:pt x="0" y="42430"/>
                  </a:lnTo>
                  <a:lnTo>
                    <a:pt x="29023" y="42430"/>
                  </a:lnTo>
                  <a:lnTo>
                    <a:pt x="29023" y="37155"/>
                  </a:lnTo>
                  <a:lnTo>
                    <a:pt x="6058" y="37155"/>
                  </a:lnTo>
                  <a:lnTo>
                    <a:pt x="6058" y="0"/>
                  </a:lnTo>
                  <a:close/>
                </a:path>
              </a:pathLst>
            </a:custGeom>
            <a:solidFill>
              <a:srgbClr val="7CC061"/>
            </a:solidFill>
            <a:ln w="9525" cap="flat">
              <a:noFill/>
              <a:prstDash val="solid"/>
              <a:miter/>
            </a:ln>
          </xdr:spPr>
          <xdr:txBody>
            <a:bodyPr wrap="square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US"/>
            </a:p>
          </xdr:txBody>
        </xdr:sp>
        <xdr:sp macro="" textlink="">
          <xdr:nvSpPr>
            <xdr:cNvPr id="21" name="Freeform: Shape 20">
              <a:extLst>
                <a:ext uri="{FF2B5EF4-FFF2-40B4-BE49-F238E27FC236}">
                  <a16:creationId xmlns:a16="http://schemas.microsoft.com/office/drawing/2014/main" id="{435AF172-E643-0493-D1FF-42D2DB4BFDF6}"/>
                </a:ext>
              </a:extLst>
            </xdr:cNvPr>
            <xdr:cNvSpPr/>
          </xdr:nvSpPr>
          <xdr:spPr>
            <a:xfrm>
              <a:off x="873848" y="283866"/>
              <a:ext cx="24725" cy="34100"/>
            </a:xfrm>
            <a:custGeom>
              <a:avLst/>
              <a:gdLst>
                <a:gd name="connsiteX0" fmla="*/ 6058 w 30765"/>
                <a:gd name="connsiteY0" fmla="*/ 23459 h 42430"/>
                <a:gd name="connsiteX1" fmla="*/ 27318 w 30765"/>
                <a:gd name="connsiteY1" fmla="*/ 23459 h 42430"/>
                <a:gd name="connsiteX2" fmla="*/ 27318 w 30765"/>
                <a:gd name="connsiteY2" fmla="*/ 18316 h 42430"/>
                <a:gd name="connsiteX3" fmla="*/ 6058 w 30765"/>
                <a:gd name="connsiteY3" fmla="*/ 18316 h 42430"/>
                <a:gd name="connsiteX4" fmla="*/ 6058 w 30765"/>
                <a:gd name="connsiteY4" fmla="*/ 5275 h 42430"/>
                <a:gd name="connsiteX5" fmla="*/ 29947 w 30765"/>
                <a:gd name="connsiteY5" fmla="*/ 5275 h 42430"/>
                <a:gd name="connsiteX6" fmla="*/ 29947 w 30765"/>
                <a:gd name="connsiteY6" fmla="*/ 0 h 42430"/>
                <a:gd name="connsiteX7" fmla="*/ 0 w 30765"/>
                <a:gd name="connsiteY7" fmla="*/ 0 h 42430"/>
                <a:gd name="connsiteX8" fmla="*/ 0 w 30765"/>
                <a:gd name="connsiteY8" fmla="*/ 42430 h 42430"/>
                <a:gd name="connsiteX9" fmla="*/ 30766 w 30765"/>
                <a:gd name="connsiteY9" fmla="*/ 42430 h 42430"/>
                <a:gd name="connsiteX10" fmla="*/ 30766 w 30765"/>
                <a:gd name="connsiteY10" fmla="*/ 37155 h 42430"/>
                <a:gd name="connsiteX11" fmla="*/ 6058 w 30765"/>
                <a:gd name="connsiteY11" fmla="*/ 37155 h 42430"/>
                <a:gd name="connsiteX12" fmla="*/ 6058 w 30765"/>
                <a:gd name="connsiteY12" fmla="*/ 23459 h 4243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</a:cxnLst>
              <a:rect l="l" t="t" r="r" b="b"/>
              <a:pathLst>
                <a:path w="30765" h="42430">
                  <a:moveTo>
                    <a:pt x="6058" y="23459"/>
                  </a:moveTo>
                  <a:lnTo>
                    <a:pt x="27318" y="23459"/>
                  </a:lnTo>
                  <a:lnTo>
                    <a:pt x="27318" y="18316"/>
                  </a:lnTo>
                  <a:lnTo>
                    <a:pt x="6058" y="18316"/>
                  </a:lnTo>
                  <a:lnTo>
                    <a:pt x="6058" y="5275"/>
                  </a:lnTo>
                  <a:lnTo>
                    <a:pt x="29947" y="5275"/>
                  </a:lnTo>
                  <a:lnTo>
                    <a:pt x="29947" y="0"/>
                  </a:lnTo>
                  <a:lnTo>
                    <a:pt x="0" y="0"/>
                  </a:lnTo>
                  <a:lnTo>
                    <a:pt x="0" y="42430"/>
                  </a:lnTo>
                  <a:lnTo>
                    <a:pt x="30766" y="42430"/>
                  </a:lnTo>
                  <a:lnTo>
                    <a:pt x="30766" y="37155"/>
                  </a:lnTo>
                  <a:lnTo>
                    <a:pt x="6058" y="37155"/>
                  </a:lnTo>
                  <a:lnTo>
                    <a:pt x="6058" y="23459"/>
                  </a:lnTo>
                  <a:close/>
                </a:path>
              </a:pathLst>
            </a:custGeom>
            <a:solidFill>
              <a:srgbClr val="7CC061"/>
            </a:solidFill>
            <a:ln w="9525" cap="flat">
              <a:noFill/>
              <a:prstDash val="solid"/>
              <a:miter/>
            </a:ln>
          </xdr:spPr>
          <xdr:txBody>
            <a:bodyPr wrap="square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US"/>
            </a:p>
          </xdr:txBody>
        </xdr:sp>
        <xdr:sp macro="" textlink="">
          <xdr:nvSpPr>
            <xdr:cNvPr id="22" name="Freeform: Shape 21">
              <a:extLst>
                <a:ext uri="{FF2B5EF4-FFF2-40B4-BE49-F238E27FC236}">
                  <a16:creationId xmlns:a16="http://schemas.microsoft.com/office/drawing/2014/main" id="{0CFD54B6-4DF2-D29C-6C61-8A18DF5D921F}"/>
                </a:ext>
              </a:extLst>
            </xdr:cNvPr>
            <xdr:cNvSpPr/>
          </xdr:nvSpPr>
          <xdr:spPr>
            <a:xfrm>
              <a:off x="939046" y="283866"/>
              <a:ext cx="24748" cy="34100"/>
            </a:xfrm>
            <a:custGeom>
              <a:avLst/>
              <a:gdLst>
                <a:gd name="connsiteX0" fmla="*/ 6058 w 30794"/>
                <a:gd name="connsiteY0" fmla="*/ 23459 h 42430"/>
                <a:gd name="connsiteX1" fmla="*/ 27356 w 30794"/>
                <a:gd name="connsiteY1" fmla="*/ 23459 h 42430"/>
                <a:gd name="connsiteX2" fmla="*/ 27356 w 30794"/>
                <a:gd name="connsiteY2" fmla="*/ 18316 h 42430"/>
                <a:gd name="connsiteX3" fmla="*/ 6058 w 30794"/>
                <a:gd name="connsiteY3" fmla="*/ 18316 h 42430"/>
                <a:gd name="connsiteX4" fmla="*/ 6058 w 30794"/>
                <a:gd name="connsiteY4" fmla="*/ 5275 h 42430"/>
                <a:gd name="connsiteX5" fmla="*/ 29947 w 30794"/>
                <a:gd name="connsiteY5" fmla="*/ 5275 h 42430"/>
                <a:gd name="connsiteX6" fmla="*/ 29947 w 30794"/>
                <a:gd name="connsiteY6" fmla="*/ 0 h 42430"/>
                <a:gd name="connsiteX7" fmla="*/ 0 w 30794"/>
                <a:gd name="connsiteY7" fmla="*/ 0 h 42430"/>
                <a:gd name="connsiteX8" fmla="*/ 0 w 30794"/>
                <a:gd name="connsiteY8" fmla="*/ 42430 h 42430"/>
                <a:gd name="connsiteX9" fmla="*/ 30794 w 30794"/>
                <a:gd name="connsiteY9" fmla="*/ 42430 h 42430"/>
                <a:gd name="connsiteX10" fmla="*/ 30794 w 30794"/>
                <a:gd name="connsiteY10" fmla="*/ 37155 h 42430"/>
                <a:gd name="connsiteX11" fmla="*/ 6058 w 30794"/>
                <a:gd name="connsiteY11" fmla="*/ 37155 h 42430"/>
                <a:gd name="connsiteX12" fmla="*/ 6058 w 30794"/>
                <a:gd name="connsiteY12" fmla="*/ 23459 h 4243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</a:cxnLst>
              <a:rect l="l" t="t" r="r" b="b"/>
              <a:pathLst>
                <a:path w="30794" h="42430">
                  <a:moveTo>
                    <a:pt x="6058" y="23459"/>
                  </a:moveTo>
                  <a:lnTo>
                    <a:pt x="27356" y="23459"/>
                  </a:lnTo>
                  <a:lnTo>
                    <a:pt x="27356" y="18316"/>
                  </a:lnTo>
                  <a:lnTo>
                    <a:pt x="6058" y="18316"/>
                  </a:lnTo>
                  <a:lnTo>
                    <a:pt x="6058" y="5275"/>
                  </a:lnTo>
                  <a:lnTo>
                    <a:pt x="29947" y="5275"/>
                  </a:lnTo>
                  <a:lnTo>
                    <a:pt x="29947" y="0"/>
                  </a:lnTo>
                  <a:lnTo>
                    <a:pt x="0" y="0"/>
                  </a:lnTo>
                  <a:lnTo>
                    <a:pt x="0" y="42430"/>
                  </a:lnTo>
                  <a:lnTo>
                    <a:pt x="30794" y="42430"/>
                  </a:lnTo>
                  <a:lnTo>
                    <a:pt x="30794" y="37155"/>
                  </a:lnTo>
                  <a:lnTo>
                    <a:pt x="6058" y="37155"/>
                  </a:lnTo>
                  <a:lnTo>
                    <a:pt x="6058" y="23459"/>
                  </a:lnTo>
                  <a:close/>
                </a:path>
              </a:pathLst>
            </a:custGeom>
            <a:solidFill>
              <a:srgbClr val="7CC061"/>
            </a:solidFill>
            <a:ln w="9525" cap="flat">
              <a:noFill/>
              <a:prstDash val="solid"/>
              <a:miter/>
            </a:ln>
          </xdr:spPr>
          <xdr:txBody>
            <a:bodyPr wrap="square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US"/>
            </a:p>
          </xdr:txBody>
        </xdr:sp>
        <xdr:sp macro="" textlink="">
          <xdr:nvSpPr>
            <xdr:cNvPr id="23" name="Freeform: Shape 22">
              <a:extLst>
                <a:ext uri="{FF2B5EF4-FFF2-40B4-BE49-F238E27FC236}">
                  <a16:creationId xmlns:a16="http://schemas.microsoft.com/office/drawing/2014/main" id="{7EF6D8BB-6313-F71F-ABC3-0F72EF3CD327}"/>
                </a:ext>
              </a:extLst>
            </xdr:cNvPr>
            <xdr:cNvSpPr/>
          </xdr:nvSpPr>
          <xdr:spPr>
            <a:xfrm>
              <a:off x="981439" y="283866"/>
              <a:ext cx="29303" cy="34100"/>
            </a:xfrm>
            <a:custGeom>
              <a:avLst/>
              <a:gdLst>
                <a:gd name="connsiteX0" fmla="*/ 30404 w 36461"/>
                <a:gd name="connsiteY0" fmla="*/ 31617 h 42430"/>
                <a:gd name="connsiteX1" fmla="*/ 4944 w 36461"/>
                <a:gd name="connsiteY1" fmla="*/ 0 h 42430"/>
                <a:gd name="connsiteX2" fmla="*/ 0 w 36461"/>
                <a:gd name="connsiteY2" fmla="*/ 0 h 42430"/>
                <a:gd name="connsiteX3" fmla="*/ 0 w 36461"/>
                <a:gd name="connsiteY3" fmla="*/ 42430 h 42430"/>
                <a:gd name="connsiteX4" fmla="*/ 6029 w 36461"/>
                <a:gd name="connsiteY4" fmla="*/ 42430 h 42430"/>
                <a:gd name="connsiteX5" fmla="*/ 6029 w 36461"/>
                <a:gd name="connsiteY5" fmla="*/ 10813 h 42430"/>
                <a:gd name="connsiteX6" fmla="*/ 31480 w 36461"/>
                <a:gd name="connsiteY6" fmla="*/ 42430 h 42430"/>
                <a:gd name="connsiteX7" fmla="*/ 36462 w 36461"/>
                <a:gd name="connsiteY7" fmla="*/ 42430 h 42430"/>
                <a:gd name="connsiteX8" fmla="*/ 36462 w 36461"/>
                <a:gd name="connsiteY8" fmla="*/ 0 h 42430"/>
                <a:gd name="connsiteX9" fmla="*/ 30404 w 36461"/>
                <a:gd name="connsiteY9" fmla="*/ 0 h 42430"/>
                <a:gd name="connsiteX10" fmla="*/ 30404 w 36461"/>
                <a:gd name="connsiteY10" fmla="*/ 31617 h 4243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</a:cxnLst>
              <a:rect l="l" t="t" r="r" b="b"/>
              <a:pathLst>
                <a:path w="36461" h="42430">
                  <a:moveTo>
                    <a:pt x="30404" y="31617"/>
                  </a:moveTo>
                  <a:lnTo>
                    <a:pt x="4944" y="0"/>
                  </a:lnTo>
                  <a:lnTo>
                    <a:pt x="0" y="0"/>
                  </a:lnTo>
                  <a:lnTo>
                    <a:pt x="0" y="42430"/>
                  </a:lnTo>
                  <a:lnTo>
                    <a:pt x="6029" y="42430"/>
                  </a:lnTo>
                  <a:lnTo>
                    <a:pt x="6029" y="10813"/>
                  </a:lnTo>
                  <a:lnTo>
                    <a:pt x="31480" y="42430"/>
                  </a:lnTo>
                  <a:lnTo>
                    <a:pt x="36462" y="42430"/>
                  </a:lnTo>
                  <a:lnTo>
                    <a:pt x="36462" y="0"/>
                  </a:lnTo>
                  <a:lnTo>
                    <a:pt x="30404" y="0"/>
                  </a:lnTo>
                  <a:lnTo>
                    <a:pt x="30404" y="31617"/>
                  </a:lnTo>
                  <a:close/>
                </a:path>
              </a:pathLst>
            </a:custGeom>
            <a:solidFill>
              <a:srgbClr val="7CC061"/>
            </a:solidFill>
            <a:ln w="9525" cap="flat">
              <a:noFill/>
              <a:prstDash val="solid"/>
              <a:miter/>
            </a:ln>
          </xdr:spPr>
          <xdr:txBody>
            <a:bodyPr wrap="square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US"/>
            </a:p>
          </xdr:txBody>
        </xdr:sp>
        <xdr:sp macro="" textlink="">
          <xdr:nvSpPr>
            <xdr:cNvPr id="24" name="Freeform: Shape 23">
              <a:extLst>
                <a:ext uri="{FF2B5EF4-FFF2-40B4-BE49-F238E27FC236}">
                  <a16:creationId xmlns:a16="http://schemas.microsoft.com/office/drawing/2014/main" id="{67DECEA4-BD4E-C0FF-57FD-9C263C6A812A}"/>
                </a:ext>
              </a:extLst>
            </xdr:cNvPr>
            <xdr:cNvSpPr/>
          </xdr:nvSpPr>
          <xdr:spPr>
            <a:xfrm>
              <a:off x="1030707" y="283866"/>
              <a:ext cx="24748" cy="34100"/>
            </a:xfrm>
            <a:custGeom>
              <a:avLst/>
              <a:gdLst>
                <a:gd name="connsiteX0" fmla="*/ 6058 w 30794"/>
                <a:gd name="connsiteY0" fmla="*/ 23459 h 42430"/>
                <a:gd name="connsiteX1" fmla="*/ 27327 w 30794"/>
                <a:gd name="connsiteY1" fmla="*/ 23459 h 42430"/>
                <a:gd name="connsiteX2" fmla="*/ 27327 w 30794"/>
                <a:gd name="connsiteY2" fmla="*/ 18316 h 42430"/>
                <a:gd name="connsiteX3" fmla="*/ 6058 w 30794"/>
                <a:gd name="connsiteY3" fmla="*/ 18316 h 42430"/>
                <a:gd name="connsiteX4" fmla="*/ 6058 w 30794"/>
                <a:gd name="connsiteY4" fmla="*/ 5275 h 42430"/>
                <a:gd name="connsiteX5" fmla="*/ 29947 w 30794"/>
                <a:gd name="connsiteY5" fmla="*/ 5275 h 42430"/>
                <a:gd name="connsiteX6" fmla="*/ 29947 w 30794"/>
                <a:gd name="connsiteY6" fmla="*/ 0 h 42430"/>
                <a:gd name="connsiteX7" fmla="*/ 0 w 30794"/>
                <a:gd name="connsiteY7" fmla="*/ 0 h 42430"/>
                <a:gd name="connsiteX8" fmla="*/ 0 w 30794"/>
                <a:gd name="connsiteY8" fmla="*/ 42430 h 42430"/>
                <a:gd name="connsiteX9" fmla="*/ 30794 w 30794"/>
                <a:gd name="connsiteY9" fmla="*/ 42430 h 42430"/>
                <a:gd name="connsiteX10" fmla="*/ 30794 w 30794"/>
                <a:gd name="connsiteY10" fmla="*/ 37155 h 42430"/>
                <a:gd name="connsiteX11" fmla="*/ 6058 w 30794"/>
                <a:gd name="connsiteY11" fmla="*/ 37155 h 42430"/>
                <a:gd name="connsiteX12" fmla="*/ 6058 w 30794"/>
                <a:gd name="connsiteY12" fmla="*/ 23459 h 4243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</a:cxnLst>
              <a:rect l="l" t="t" r="r" b="b"/>
              <a:pathLst>
                <a:path w="30794" h="42430">
                  <a:moveTo>
                    <a:pt x="6058" y="23459"/>
                  </a:moveTo>
                  <a:lnTo>
                    <a:pt x="27327" y="23459"/>
                  </a:lnTo>
                  <a:lnTo>
                    <a:pt x="27327" y="18316"/>
                  </a:lnTo>
                  <a:lnTo>
                    <a:pt x="6058" y="18316"/>
                  </a:lnTo>
                  <a:lnTo>
                    <a:pt x="6058" y="5275"/>
                  </a:lnTo>
                  <a:lnTo>
                    <a:pt x="29947" y="5275"/>
                  </a:lnTo>
                  <a:lnTo>
                    <a:pt x="29947" y="0"/>
                  </a:lnTo>
                  <a:lnTo>
                    <a:pt x="0" y="0"/>
                  </a:lnTo>
                  <a:lnTo>
                    <a:pt x="0" y="42430"/>
                  </a:lnTo>
                  <a:lnTo>
                    <a:pt x="30794" y="42430"/>
                  </a:lnTo>
                  <a:lnTo>
                    <a:pt x="30794" y="37155"/>
                  </a:lnTo>
                  <a:lnTo>
                    <a:pt x="6058" y="37155"/>
                  </a:lnTo>
                  <a:lnTo>
                    <a:pt x="6058" y="23459"/>
                  </a:lnTo>
                  <a:close/>
                </a:path>
              </a:pathLst>
            </a:custGeom>
            <a:solidFill>
              <a:srgbClr val="7CC061"/>
            </a:solidFill>
            <a:ln w="9525" cap="flat">
              <a:noFill/>
              <a:prstDash val="solid"/>
              <a:miter/>
            </a:ln>
          </xdr:spPr>
          <xdr:txBody>
            <a:bodyPr wrap="square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US"/>
            </a:p>
          </xdr:txBody>
        </xdr:sp>
        <xdr:sp macro="" textlink="">
          <xdr:nvSpPr>
            <xdr:cNvPr id="25" name="Freeform: Shape 24">
              <a:extLst>
                <a:ext uri="{FF2B5EF4-FFF2-40B4-BE49-F238E27FC236}">
                  <a16:creationId xmlns:a16="http://schemas.microsoft.com/office/drawing/2014/main" id="{FC244483-034B-8AC3-0E67-49052CB745B7}"/>
                </a:ext>
              </a:extLst>
            </xdr:cNvPr>
            <xdr:cNvSpPr/>
          </xdr:nvSpPr>
          <xdr:spPr>
            <a:xfrm>
              <a:off x="1073101" y="283893"/>
              <a:ext cx="28093" cy="34099"/>
            </a:xfrm>
            <a:custGeom>
              <a:avLst/>
              <a:gdLst>
                <a:gd name="connsiteX0" fmla="*/ 26041 w 34956"/>
                <a:gd name="connsiteY0" fmla="*/ 27718 h 42429"/>
                <a:gd name="connsiteX1" fmla="*/ 32109 w 34956"/>
                <a:gd name="connsiteY1" fmla="*/ 22672 h 42429"/>
                <a:gd name="connsiteX2" fmla="*/ 34233 w 34956"/>
                <a:gd name="connsiteY2" fmla="*/ 14776 h 42429"/>
                <a:gd name="connsiteX3" fmla="*/ 32109 w 34956"/>
                <a:gd name="connsiteY3" fmla="*/ 6848 h 42429"/>
                <a:gd name="connsiteX4" fmla="*/ 26041 w 34956"/>
                <a:gd name="connsiteY4" fmla="*/ 1769 h 42429"/>
                <a:gd name="connsiteX5" fmla="*/ 16545 w 34956"/>
                <a:gd name="connsiteY5" fmla="*/ 0 h 42429"/>
                <a:gd name="connsiteX6" fmla="*/ 0 w 34956"/>
                <a:gd name="connsiteY6" fmla="*/ 0 h 42429"/>
                <a:gd name="connsiteX7" fmla="*/ 0 w 34956"/>
                <a:gd name="connsiteY7" fmla="*/ 42429 h 42429"/>
                <a:gd name="connsiteX8" fmla="*/ 6058 w 34956"/>
                <a:gd name="connsiteY8" fmla="*/ 42429 h 42429"/>
                <a:gd name="connsiteX9" fmla="*/ 6058 w 34956"/>
                <a:gd name="connsiteY9" fmla="*/ 29520 h 42429"/>
                <a:gd name="connsiteX10" fmla="*/ 16545 w 34956"/>
                <a:gd name="connsiteY10" fmla="*/ 29520 h 42429"/>
                <a:gd name="connsiteX11" fmla="*/ 19231 w 34956"/>
                <a:gd name="connsiteY11" fmla="*/ 29422 h 42429"/>
                <a:gd name="connsiteX12" fmla="*/ 28337 w 34956"/>
                <a:gd name="connsiteY12" fmla="*/ 42429 h 42429"/>
                <a:gd name="connsiteX13" fmla="*/ 34957 w 34956"/>
                <a:gd name="connsiteY13" fmla="*/ 42429 h 42429"/>
                <a:gd name="connsiteX14" fmla="*/ 24870 w 34956"/>
                <a:gd name="connsiteY14" fmla="*/ 28209 h 42429"/>
                <a:gd name="connsiteX15" fmla="*/ 26041 w 34956"/>
                <a:gd name="connsiteY15" fmla="*/ 27783 h 42429"/>
                <a:gd name="connsiteX16" fmla="*/ 26041 w 34956"/>
                <a:gd name="connsiteY16" fmla="*/ 27718 h 42429"/>
                <a:gd name="connsiteX17" fmla="*/ 16345 w 34956"/>
                <a:gd name="connsiteY17" fmla="*/ 24311 h 42429"/>
                <a:gd name="connsiteX18" fmla="*/ 6058 w 34956"/>
                <a:gd name="connsiteY18" fmla="*/ 24311 h 42429"/>
                <a:gd name="connsiteX19" fmla="*/ 6058 w 34956"/>
                <a:gd name="connsiteY19" fmla="*/ 5209 h 42429"/>
                <a:gd name="connsiteX20" fmla="*/ 16345 w 34956"/>
                <a:gd name="connsiteY20" fmla="*/ 5209 h 42429"/>
                <a:gd name="connsiteX21" fmla="*/ 25165 w 34956"/>
                <a:gd name="connsiteY21" fmla="*/ 7699 h 42429"/>
                <a:gd name="connsiteX22" fmla="*/ 28175 w 34956"/>
                <a:gd name="connsiteY22" fmla="*/ 14744 h 42429"/>
                <a:gd name="connsiteX23" fmla="*/ 25165 w 34956"/>
                <a:gd name="connsiteY23" fmla="*/ 21787 h 42429"/>
                <a:gd name="connsiteX24" fmla="*/ 16345 w 34956"/>
                <a:gd name="connsiteY24" fmla="*/ 24311 h 4242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</a:cxnLst>
              <a:rect l="l" t="t" r="r" b="b"/>
              <a:pathLst>
                <a:path w="34956" h="42429">
                  <a:moveTo>
                    <a:pt x="26041" y="27718"/>
                  </a:moveTo>
                  <a:cubicBezTo>
                    <a:pt x="28670" y="26539"/>
                    <a:pt x="30699" y="24868"/>
                    <a:pt x="32109" y="22672"/>
                  </a:cubicBezTo>
                  <a:cubicBezTo>
                    <a:pt x="33518" y="20477"/>
                    <a:pt x="34233" y="17823"/>
                    <a:pt x="34233" y="14776"/>
                  </a:cubicBezTo>
                  <a:cubicBezTo>
                    <a:pt x="34233" y="11729"/>
                    <a:pt x="33518" y="9075"/>
                    <a:pt x="32109" y="6848"/>
                  </a:cubicBezTo>
                  <a:cubicBezTo>
                    <a:pt x="30699" y="4620"/>
                    <a:pt x="28670" y="2916"/>
                    <a:pt x="26041" y="1769"/>
                  </a:cubicBezTo>
                  <a:cubicBezTo>
                    <a:pt x="23422" y="590"/>
                    <a:pt x="20250" y="0"/>
                    <a:pt x="16545" y="0"/>
                  </a:cubicBezTo>
                  <a:lnTo>
                    <a:pt x="0" y="0"/>
                  </a:lnTo>
                  <a:lnTo>
                    <a:pt x="0" y="42429"/>
                  </a:lnTo>
                  <a:lnTo>
                    <a:pt x="6058" y="42429"/>
                  </a:lnTo>
                  <a:lnTo>
                    <a:pt x="6058" y="29520"/>
                  </a:lnTo>
                  <a:lnTo>
                    <a:pt x="16545" y="29520"/>
                  </a:lnTo>
                  <a:cubicBezTo>
                    <a:pt x="17459" y="29520"/>
                    <a:pt x="18383" y="29487"/>
                    <a:pt x="19231" y="29422"/>
                  </a:cubicBezTo>
                  <a:lnTo>
                    <a:pt x="28337" y="42429"/>
                  </a:lnTo>
                  <a:lnTo>
                    <a:pt x="34957" y="42429"/>
                  </a:lnTo>
                  <a:lnTo>
                    <a:pt x="24870" y="28209"/>
                  </a:lnTo>
                  <a:cubicBezTo>
                    <a:pt x="25260" y="28079"/>
                    <a:pt x="25689" y="27947"/>
                    <a:pt x="26041" y="27783"/>
                  </a:cubicBezTo>
                  <a:lnTo>
                    <a:pt x="26041" y="27718"/>
                  </a:lnTo>
                  <a:close/>
                  <a:moveTo>
                    <a:pt x="16345" y="24311"/>
                  </a:moveTo>
                  <a:lnTo>
                    <a:pt x="6058" y="24311"/>
                  </a:lnTo>
                  <a:lnTo>
                    <a:pt x="6058" y="5209"/>
                  </a:lnTo>
                  <a:lnTo>
                    <a:pt x="16345" y="5209"/>
                  </a:lnTo>
                  <a:cubicBezTo>
                    <a:pt x="20212" y="5209"/>
                    <a:pt x="23165" y="6028"/>
                    <a:pt x="25165" y="7699"/>
                  </a:cubicBezTo>
                  <a:cubicBezTo>
                    <a:pt x="27156" y="9370"/>
                    <a:pt x="28175" y="11697"/>
                    <a:pt x="28175" y="14744"/>
                  </a:cubicBezTo>
                  <a:cubicBezTo>
                    <a:pt x="28175" y="17791"/>
                    <a:pt x="27194" y="20117"/>
                    <a:pt x="25165" y="21787"/>
                  </a:cubicBezTo>
                  <a:cubicBezTo>
                    <a:pt x="23165" y="23459"/>
                    <a:pt x="20212" y="24311"/>
                    <a:pt x="16345" y="24311"/>
                  </a:cubicBezTo>
                  <a:close/>
                </a:path>
              </a:pathLst>
            </a:custGeom>
            <a:solidFill>
              <a:srgbClr val="7CC061"/>
            </a:solidFill>
            <a:ln w="9525" cap="flat">
              <a:noFill/>
              <a:prstDash val="solid"/>
              <a:miter/>
            </a:ln>
          </xdr:spPr>
          <xdr:txBody>
            <a:bodyPr wrap="square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US"/>
            </a:p>
          </xdr:txBody>
        </xdr:sp>
        <xdr:sp macro="" textlink="">
          <xdr:nvSpPr>
            <xdr:cNvPr id="26" name="Freeform: Shape 25">
              <a:extLst>
                <a:ext uri="{FF2B5EF4-FFF2-40B4-BE49-F238E27FC236}">
                  <a16:creationId xmlns:a16="http://schemas.microsoft.com/office/drawing/2014/main" id="{52CD1423-60DE-5573-6BD0-930435C6AF91}"/>
                </a:ext>
              </a:extLst>
            </xdr:cNvPr>
            <xdr:cNvSpPr/>
          </xdr:nvSpPr>
          <xdr:spPr>
            <a:xfrm>
              <a:off x="1115494" y="283471"/>
              <a:ext cx="31331" cy="34863"/>
            </a:xfrm>
            <a:custGeom>
              <a:avLst/>
              <a:gdLst>
                <a:gd name="connsiteX0" fmla="*/ 10782 w 38985"/>
                <a:gd name="connsiteY0" fmla="*/ 10026 h 43379"/>
                <a:gd name="connsiteX1" fmla="*/ 16183 w 38985"/>
                <a:gd name="connsiteY1" fmla="*/ 6619 h 43379"/>
                <a:gd name="connsiteX2" fmla="*/ 22936 w 38985"/>
                <a:gd name="connsiteY2" fmla="*/ 5406 h 43379"/>
                <a:gd name="connsiteX3" fmla="*/ 29556 w 38985"/>
                <a:gd name="connsiteY3" fmla="*/ 6586 h 43379"/>
                <a:gd name="connsiteX4" fmla="*/ 35223 w 38985"/>
                <a:gd name="connsiteY4" fmla="*/ 10321 h 43379"/>
                <a:gd name="connsiteX5" fmla="*/ 38986 w 38985"/>
                <a:gd name="connsiteY5" fmla="*/ 6553 h 43379"/>
                <a:gd name="connsiteX6" fmla="*/ 31909 w 38985"/>
                <a:gd name="connsiteY6" fmla="*/ 1638 h 43379"/>
                <a:gd name="connsiteX7" fmla="*/ 22708 w 38985"/>
                <a:gd name="connsiteY7" fmla="*/ 0 h 43379"/>
                <a:gd name="connsiteX8" fmla="*/ 13630 w 38985"/>
                <a:gd name="connsiteY8" fmla="*/ 1606 h 43379"/>
                <a:gd name="connsiteX9" fmla="*/ 6458 w 38985"/>
                <a:gd name="connsiteY9" fmla="*/ 6160 h 43379"/>
                <a:gd name="connsiteX10" fmla="*/ 1705 w 38985"/>
                <a:gd name="connsiteY10" fmla="*/ 13041 h 43379"/>
                <a:gd name="connsiteX11" fmla="*/ 0 w 38985"/>
                <a:gd name="connsiteY11" fmla="*/ 21690 h 43379"/>
                <a:gd name="connsiteX12" fmla="*/ 1705 w 38985"/>
                <a:gd name="connsiteY12" fmla="*/ 30340 h 43379"/>
                <a:gd name="connsiteX13" fmla="*/ 6420 w 38985"/>
                <a:gd name="connsiteY13" fmla="*/ 37221 h 43379"/>
                <a:gd name="connsiteX14" fmla="*/ 13564 w 38985"/>
                <a:gd name="connsiteY14" fmla="*/ 41775 h 43379"/>
                <a:gd name="connsiteX15" fmla="*/ 22603 w 38985"/>
                <a:gd name="connsiteY15" fmla="*/ 43380 h 43379"/>
                <a:gd name="connsiteX16" fmla="*/ 31290 w 38985"/>
                <a:gd name="connsiteY16" fmla="*/ 42004 h 43379"/>
                <a:gd name="connsiteX17" fmla="*/ 38662 w 38985"/>
                <a:gd name="connsiteY17" fmla="*/ 37974 h 43379"/>
                <a:gd name="connsiteX18" fmla="*/ 38662 w 38985"/>
                <a:gd name="connsiteY18" fmla="*/ 21428 h 43379"/>
                <a:gd name="connsiteX19" fmla="*/ 32833 w 38985"/>
                <a:gd name="connsiteY19" fmla="*/ 21428 h 43379"/>
                <a:gd name="connsiteX20" fmla="*/ 32833 w 38985"/>
                <a:gd name="connsiteY20" fmla="*/ 35189 h 43379"/>
                <a:gd name="connsiteX21" fmla="*/ 29385 w 38985"/>
                <a:gd name="connsiteY21" fmla="*/ 36926 h 43379"/>
                <a:gd name="connsiteX22" fmla="*/ 22870 w 38985"/>
                <a:gd name="connsiteY22" fmla="*/ 37974 h 43379"/>
                <a:gd name="connsiteX23" fmla="*/ 16154 w 38985"/>
                <a:gd name="connsiteY23" fmla="*/ 36762 h 43379"/>
                <a:gd name="connsiteX24" fmla="*/ 10782 w 38985"/>
                <a:gd name="connsiteY24" fmla="*/ 33321 h 43379"/>
                <a:gd name="connsiteX25" fmla="*/ 7277 w 38985"/>
                <a:gd name="connsiteY25" fmla="*/ 28112 h 43379"/>
                <a:gd name="connsiteX26" fmla="*/ 6029 w 38985"/>
                <a:gd name="connsiteY26" fmla="*/ 21657 h 43379"/>
                <a:gd name="connsiteX27" fmla="*/ 7277 w 38985"/>
                <a:gd name="connsiteY27" fmla="*/ 15137 h 43379"/>
                <a:gd name="connsiteX28" fmla="*/ 10782 w 38985"/>
                <a:gd name="connsiteY28" fmla="*/ 9960 h 43379"/>
                <a:gd name="connsiteX29" fmla="*/ 10782 w 38985"/>
                <a:gd name="connsiteY29" fmla="*/ 10026 h 4337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  <a:cxn ang="0">
                  <a:pos x="connsiteX26" y="connsiteY26"/>
                </a:cxn>
                <a:cxn ang="0">
                  <a:pos x="connsiteX27" y="connsiteY27"/>
                </a:cxn>
                <a:cxn ang="0">
                  <a:pos x="connsiteX28" y="connsiteY28"/>
                </a:cxn>
                <a:cxn ang="0">
                  <a:pos x="connsiteX29" y="connsiteY29"/>
                </a:cxn>
              </a:cxnLst>
              <a:rect l="l" t="t" r="r" b="b"/>
              <a:pathLst>
                <a:path w="38985" h="43379">
                  <a:moveTo>
                    <a:pt x="10782" y="10026"/>
                  </a:moveTo>
                  <a:cubicBezTo>
                    <a:pt x="12287" y="8585"/>
                    <a:pt x="14088" y="7438"/>
                    <a:pt x="16183" y="6619"/>
                  </a:cubicBezTo>
                  <a:cubicBezTo>
                    <a:pt x="18250" y="5800"/>
                    <a:pt x="20507" y="5406"/>
                    <a:pt x="22936" y="5406"/>
                  </a:cubicBezTo>
                  <a:cubicBezTo>
                    <a:pt x="25356" y="5406"/>
                    <a:pt x="27518" y="5800"/>
                    <a:pt x="29556" y="6586"/>
                  </a:cubicBezTo>
                  <a:cubicBezTo>
                    <a:pt x="31585" y="7372"/>
                    <a:pt x="33480" y="8617"/>
                    <a:pt x="35223" y="10321"/>
                  </a:cubicBezTo>
                  <a:lnTo>
                    <a:pt x="38986" y="6553"/>
                  </a:lnTo>
                  <a:cubicBezTo>
                    <a:pt x="37052" y="4358"/>
                    <a:pt x="34700" y="2719"/>
                    <a:pt x="31909" y="1638"/>
                  </a:cubicBezTo>
                  <a:cubicBezTo>
                    <a:pt x="29127" y="557"/>
                    <a:pt x="26051" y="0"/>
                    <a:pt x="22708" y="0"/>
                  </a:cubicBezTo>
                  <a:cubicBezTo>
                    <a:pt x="19364" y="0"/>
                    <a:pt x="16345" y="525"/>
                    <a:pt x="13630" y="1606"/>
                  </a:cubicBezTo>
                  <a:cubicBezTo>
                    <a:pt x="10878" y="2687"/>
                    <a:pt x="8487" y="4194"/>
                    <a:pt x="6458" y="6160"/>
                  </a:cubicBezTo>
                  <a:cubicBezTo>
                    <a:pt x="4420" y="8126"/>
                    <a:pt x="2819" y="10419"/>
                    <a:pt x="1705" y="13041"/>
                  </a:cubicBezTo>
                  <a:cubicBezTo>
                    <a:pt x="591" y="15662"/>
                    <a:pt x="0" y="18545"/>
                    <a:pt x="0" y="21690"/>
                  </a:cubicBezTo>
                  <a:cubicBezTo>
                    <a:pt x="0" y="24835"/>
                    <a:pt x="552" y="27719"/>
                    <a:pt x="1705" y="30340"/>
                  </a:cubicBezTo>
                  <a:cubicBezTo>
                    <a:pt x="2848" y="32961"/>
                    <a:pt x="4420" y="35255"/>
                    <a:pt x="6420" y="37221"/>
                  </a:cubicBezTo>
                  <a:cubicBezTo>
                    <a:pt x="8420" y="39186"/>
                    <a:pt x="10811" y="40694"/>
                    <a:pt x="13564" y="41775"/>
                  </a:cubicBezTo>
                  <a:cubicBezTo>
                    <a:pt x="16316" y="42856"/>
                    <a:pt x="19326" y="43380"/>
                    <a:pt x="22603" y="43380"/>
                  </a:cubicBezTo>
                  <a:cubicBezTo>
                    <a:pt x="25584" y="43380"/>
                    <a:pt x="28508" y="42922"/>
                    <a:pt x="31290" y="42004"/>
                  </a:cubicBezTo>
                  <a:cubicBezTo>
                    <a:pt x="34109" y="41087"/>
                    <a:pt x="36567" y="39743"/>
                    <a:pt x="38662" y="37974"/>
                  </a:cubicBezTo>
                  <a:lnTo>
                    <a:pt x="38662" y="21428"/>
                  </a:lnTo>
                  <a:lnTo>
                    <a:pt x="32833" y="21428"/>
                  </a:lnTo>
                  <a:lnTo>
                    <a:pt x="32833" y="35189"/>
                  </a:lnTo>
                  <a:cubicBezTo>
                    <a:pt x="31747" y="35910"/>
                    <a:pt x="30604" y="36532"/>
                    <a:pt x="29385" y="36926"/>
                  </a:cubicBezTo>
                  <a:cubicBezTo>
                    <a:pt x="27327" y="37647"/>
                    <a:pt x="25127" y="37974"/>
                    <a:pt x="22870" y="37974"/>
                  </a:cubicBezTo>
                  <a:cubicBezTo>
                    <a:pt x="20441" y="37974"/>
                    <a:pt x="18212" y="37581"/>
                    <a:pt x="16154" y="36762"/>
                  </a:cubicBezTo>
                  <a:cubicBezTo>
                    <a:pt x="14088" y="35943"/>
                    <a:pt x="12287" y="34829"/>
                    <a:pt x="10782" y="33321"/>
                  </a:cubicBezTo>
                  <a:cubicBezTo>
                    <a:pt x="9268" y="31847"/>
                    <a:pt x="8096" y="30110"/>
                    <a:pt x="7277" y="28112"/>
                  </a:cubicBezTo>
                  <a:cubicBezTo>
                    <a:pt x="6458" y="26114"/>
                    <a:pt x="6029" y="23951"/>
                    <a:pt x="6029" y="21657"/>
                  </a:cubicBezTo>
                  <a:cubicBezTo>
                    <a:pt x="6029" y="19364"/>
                    <a:pt x="6458" y="17135"/>
                    <a:pt x="7277" y="15137"/>
                  </a:cubicBezTo>
                  <a:cubicBezTo>
                    <a:pt x="8096" y="13139"/>
                    <a:pt x="9268" y="11402"/>
                    <a:pt x="10782" y="9960"/>
                  </a:cubicBezTo>
                  <a:lnTo>
                    <a:pt x="10782" y="10026"/>
                  </a:lnTo>
                  <a:close/>
                </a:path>
              </a:pathLst>
            </a:custGeom>
            <a:solidFill>
              <a:srgbClr val="7CC061"/>
            </a:solidFill>
            <a:ln w="9525" cap="flat">
              <a:noFill/>
              <a:prstDash val="solid"/>
              <a:miter/>
            </a:ln>
          </xdr:spPr>
          <xdr:txBody>
            <a:bodyPr wrap="square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US"/>
            </a:p>
          </xdr:txBody>
        </xdr:sp>
        <xdr:sp macro="" textlink="">
          <xdr:nvSpPr>
            <xdr:cNvPr id="27" name="Freeform: Shape 26">
              <a:extLst>
                <a:ext uri="{FF2B5EF4-FFF2-40B4-BE49-F238E27FC236}">
                  <a16:creationId xmlns:a16="http://schemas.microsoft.com/office/drawing/2014/main" id="{7D781731-9A31-D39A-23DF-FF7FCD905D8C}"/>
                </a:ext>
              </a:extLst>
            </xdr:cNvPr>
            <xdr:cNvSpPr/>
          </xdr:nvSpPr>
          <xdr:spPr>
            <a:xfrm>
              <a:off x="1160260" y="283866"/>
              <a:ext cx="31913" cy="34100"/>
            </a:xfrm>
            <a:custGeom>
              <a:avLst/>
              <a:gdLst>
                <a:gd name="connsiteX0" fmla="*/ 33681 w 39709"/>
                <a:gd name="connsiteY0" fmla="*/ 0 h 42430"/>
                <a:gd name="connsiteX1" fmla="*/ 20050 w 39709"/>
                <a:gd name="connsiteY1" fmla="*/ 22378 h 42430"/>
                <a:gd name="connsiteX2" fmla="*/ 6487 w 39709"/>
                <a:gd name="connsiteY2" fmla="*/ 0 h 42430"/>
                <a:gd name="connsiteX3" fmla="*/ 0 w 39709"/>
                <a:gd name="connsiteY3" fmla="*/ 0 h 42430"/>
                <a:gd name="connsiteX4" fmla="*/ 16840 w 39709"/>
                <a:gd name="connsiteY4" fmla="*/ 27653 h 42430"/>
                <a:gd name="connsiteX5" fmla="*/ 16840 w 39709"/>
                <a:gd name="connsiteY5" fmla="*/ 42430 h 42430"/>
                <a:gd name="connsiteX6" fmla="*/ 22831 w 39709"/>
                <a:gd name="connsiteY6" fmla="*/ 42430 h 42430"/>
                <a:gd name="connsiteX7" fmla="*/ 22831 w 39709"/>
                <a:gd name="connsiteY7" fmla="*/ 27751 h 42430"/>
                <a:gd name="connsiteX8" fmla="*/ 39710 w 39709"/>
                <a:gd name="connsiteY8" fmla="*/ 0 h 42430"/>
                <a:gd name="connsiteX9" fmla="*/ 33681 w 39709"/>
                <a:gd name="connsiteY9" fmla="*/ 0 h 4243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</a:cxnLst>
              <a:rect l="l" t="t" r="r" b="b"/>
              <a:pathLst>
                <a:path w="39709" h="42430">
                  <a:moveTo>
                    <a:pt x="33681" y="0"/>
                  </a:moveTo>
                  <a:lnTo>
                    <a:pt x="20050" y="22378"/>
                  </a:lnTo>
                  <a:lnTo>
                    <a:pt x="6487" y="0"/>
                  </a:lnTo>
                  <a:lnTo>
                    <a:pt x="0" y="0"/>
                  </a:lnTo>
                  <a:lnTo>
                    <a:pt x="16840" y="27653"/>
                  </a:lnTo>
                  <a:lnTo>
                    <a:pt x="16840" y="42430"/>
                  </a:lnTo>
                  <a:lnTo>
                    <a:pt x="22831" y="42430"/>
                  </a:lnTo>
                  <a:lnTo>
                    <a:pt x="22831" y="27751"/>
                  </a:lnTo>
                  <a:lnTo>
                    <a:pt x="39710" y="0"/>
                  </a:lnTo>
                  <a:lnTo>
                    <a:pt x="33681" y="0"/>
                  </a:lnTo>
                  <a:close/>
                </a:path>
              </a:pathLst>
            </a:custGeom>
            <a:solidFill>
              <a:srgbClr val="7CC061"/>
            </a:solidFill>
            <a:ln w="9525" cap="flat">
              <a:noFill/>
              <a:prstDash val="solid"/>
              <a:miter/>
            </a:ln>
          </xdr:spPr>
          <xdr:txBody>
            <a:bodyPr wrap="square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US"/>
            </a:p>
          </xdr:txBody>
        </xdr:sp>
      </xdr:grpSp>
      <xdr:grpSp>
        <xdr:nvGrpSpPr>
          <xdr:cNvPr id="5" name="Group 4">
            <a:extLst>
              <a:ext uri="{FF2B5EF4-FFF2-40B4-BE49-F238E27FC236}">
                <a16:creationId xmlns:a16="http://schemas.microsoft.com/office/drawing/2014/main" id="{D4CEF2D6-3B7C-495F-0809-69B5C190CB91}"/>
              </a:ext>
            </a:extLst>
          </xdr:cNvPr>
          <xdr:cNvGrpSpPr/>
        </xdr:nvGrpSpPr>
        <xdr:grpSpPr>
          <a:xfrm>
            <a:off x="13179" y="46006"/>
            <a:ext cx="374171" cy="216878"/>
            <a:chOff x="-11427" y="73449"/>
            <a:chExt cx="422619" cy="244959"/>
          </a:xfrm>
        </xdr:grpSpPr>
        <xdr:sp macro="" textlink="">
          <xdr:nvSpPr>
            <xdr:cNvPr id="6" name="Freeform: Shape 5">
              <a:extLst>
                <a:ext uri="{FF2B5EF4-FFF2-40B4-BE49-F238E27FC236}">
                  <a16:creationId xmlns:a16="http://schemas.microsoft.com/office/drawing/2014/main" id="{3A23C783-3CDD-CBE0-25DC-8ABA30593403}"/>
                </a:ext>
              </a:extLst>
            </xdr:cNvPr>
            <xdr:cNvSpPr/>
          </xdr:nvSpPr>
          <xdr:spPr>
            <a:xfrm>
              <a:off x="-11427" y="73449"/>
              <a:ext cx="334726" cy="244882"/>
            </a:xfrm>
            <a:custGeom>
              <a:avLst/>
              <a:gdLst>
                <a:gd name="connsiteX0" fmla="*/ 198810 w 416495"/>
                <a:gd name="connsiteY0" fmla="*/ 72933 h 304703"/>
                <a:gd name="connsiteX1" fmla="*/ 72897 w 416495"/>
                <a:gd name="connsiteY1" fmla="*/ 105894 h 304703"/>
                <a:gd name="connsiteX2" fmla="*/ 105858 w 416495"/>
                <a:gd name="connsiteY2" fmla="*/ 231807 h 304703"/>
                <a:gd name="connsiteX3" fmla="*/ 217289 w 416495"/>
                <a:gd name="connsiteY3" fmla="*/ 217555 h 304703"/>
                <a:gd name="connsiteX4" fmla="*/ 332194 w 416495"/>
                <a:gd name="connsiteY4" fmla="*/ 102617 h 304703"/>
                <a:gd name="connsiteX5" fmla="*/ 416496 w 416495"/>
                <a:gd name="connsiteY5" fmla="*/ 103666 h 304703"/>
                <a:gd name="connsiteX6" fmla="*/ 259981 w 416495"/>
                <a:gd name="connsiteY6" fmla="*/ 260214 h 304703"/>
                <a:gd name="connsiteX7" fmla="*/ 44490 w 416495"/>
                <a:gd name="connsiteY7" fmla="*/ 259919 h 304703"/>
                <a:gd name="connsiteX8" fmla="*/ 44785 w 416495"/>
                <a:gd name="connsiteY8" fmla="*/ 44428 h 304703"/>
                <a:gd name="connsiteX9" fmla="*/ 242354 w 416495"/>
                <a:gd name="connsiteY9" fmla="*/ 29389 h 304703"/>
                <a:gd name="connsiteX10" fmla="*/ 198810 w 416495"/>
                <a:gd name="connsiteY10" fmla="*/ 72933 h 304703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</a:cxnLst>
              <a:rect l="l" t="t" r="r" b="b"/>
              <a:pathLst>
                <a:path w="416495" h="304703">
                  <a:moveTo>
                    <a:pt x="198810" y="72933"/>
                  </a:moveTo>
                  <a:cubicBezTo>
                    <a:pt x="154938" y="47279"/>
                    <a:pt x="98551" y="62022"/>
                    <a:pt x="72897" y="105894"/>
                  </a:cubicBezTo>
                  <a:cubicBezTo>
                    <a:pt x="47242" y="149765"/>
                    <a:pt x="61986" y="206153"/>
                    <a:pt x="105858" y="231807"/>
                  </a:cubicBezTo>
                  <a:cubicBezTo>
                    <a:pt x="141931" y="252908"/>
                    <a:pt x="187702" y="247043"/>
                    <a:pt x="217289" y="217555"/>
                  </a:cubicBezTo>
                  <a:lnTo>
                    <a:pt x="332194" y="102617"/>
                  </a:lnTo>
                  <a:cubicBezTo>
                    <a:pt x="356800" y="82435"/>
                    <a:pt x="392381" y="82893"/>
                    <a:pt x="416496" y="103666"/>
                  </a:cubicBezTo>
                  <a:lnTo>
                    <a:pt x="259981" y="260214"/>
                  </a:lnTo>
                  <a:cubicBezTo>
                    <a:pt x="200383" y="319648"/>
                    <a:pt x="103924" y="319517"/>
                    <a:pt x="44490" y="259919"/>
                  </a:cubicBezTo>
                  <a:cubicBezTo>
                    <a:pt x="-14944" y="200353"/>
                    <a:pt x="-14813" y="103862"/>
                    <a:pt x="44785" y="44428"/>
                  </a:cubicBezTo>
                  <a:cubicBezTo>
                    <a:pt x="97928" y="-8519"/>
                    <a:pt x="181772" y="-14908"/>
                    <a:pt x="242354" y="29389"/>
                  </a:cubicBezTo>
                  <a:lnTo>
                    <a:pt x="198810" y="72933"/>
                  </a:lnTo>
                  <a:close/>
                </a:path>
              </a:pathLst>
            </a:custGeom>
            <a:solidFill>
              <a:srgbClr val="044D73"/>
            </a:solidFill>
            <a:ln w="9525" cap="flat">
              <a:noFill/>
              <a:prstDash val="solid"/>
              <a:miter/>
            </a:ln>
          </xdr:spPr>
          <xdr:txBody>
            <a:bodyPr wrap="square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US"/>
            </a:p>
          </xdr:txBody>
        </xdr:sp>
        <xdr:sp macro="" textlink="">
          <xdr:nvSpPr>
            <xdr:cNvPr id="7" name="Freeform: Shape 6">
              <a:extLst>
                <a:ext uri="{FF2B5EF4-FFF2-40B4-BE49-F238E27FC236}">
                  <a16:creationId xmlns:a16="http://schemas.microsoft.com/office/drawing/2014/main" id="{674A6A02-A401-6F53-8C18-3A9AE93FC14C}"/>
                </a:ext>
              </a:extLst>
            </xdr:cNvPr>
            <xdr:cNvSpPr/>
          </xdr:nvSpPr>
          <xdr:spPr>
            <a:xfrm>
              <a:off x="76439" y="73478"/>
              <a:ext cx="334753" cy="244930"/>
            </a:xfrm>
            <a:custGeom>
              <a:avLst/>
              <a:gdLst>
                <a:gd name="connsiteX0" fmla="*/ 217752 w 416528"/>
                <a:gd name="connsiteY0" fmla="*/ 231804 h 304763"/>
                <a:gd name="connsiteX1" fmla="*/ 343665 w 416528"/>
                <a:gd name="connsiteY1" fmla="*/ 198810 h 304763"/>
                <a:gd name="connsiteX2" fmla="*/ 310671 w 416528"/>
                <a:gd name="connsiteY2" fmla="*/ 72897 h 304763"/>
                <a:gd name="connsiteX3" fmla="*/ 199240 w 416528"/>
                <a:gd name="connsiteY3" fmla="*/ 87149 h 304763"/>
                <a:gd name="connsiteX4" fmla="*/ 84303 w 416528"/>
                <a:gd name="connsiteY4" fmla="*/ 202087 h 304763"/>
                <a:gd name="connsiteX5" fmla="*/ 0 w 416528"/>
                <a:gd name="connsiteY5" fmla="*/ 201038 h 304763"/>
                <a:gd name="connsiteX6" fmla="*/ 156548 w 416528"/>
                <a:gd name="connsiteY6" fmla="*/ 44490 h 304763"/>
                <a:gd name="connsiteX7" fmla="*/ 372039 w 416528"/>
                <a:gd name="connsiteY7" fmla="*/ 44785 h 304763"/>
                <a:gd name="connsiteX8" fmla="*/ 371744 w 416528"/>
                <a:gd name="connsiteY8" fmla="*/ 260276 h 304763"/>
                <a:gd name="connsiteX9" fmla="*/ 174208 w 416528"/>
                <a:gd name="connsiteY9" fmla="*/ 275380 h 304763"/>
                <a:gd name="connsiteX10" fmla="*/ 217752 w 416528"/>
                <a:gd name="connsiteY10" fmla="*/ 231836 h 304763"/>
                <a:gd name="connsiteX11" fmla="*/ 217752 w 416528"/>
                <a:gd name="connsiteY11" fmla="*/ 231804 h 304763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</a:cxnLst>
              <a:rect l="l" t="t" r="r" b="b"/>
              <a:pathLst>
                <a:path w="416528" h="304763">
                  <a:moveTo>
                    <a:pt x="217752" y="231804"/>
                  </a:moveTo>
                  <a:cubicBezTo>
                    <a:pt x="261623" y="257458"/>
                    <a:pt x="318010" y="242714"/>
                    <a:pt x="343665" y="198810"/>
                  </a:cubicBezTo>
                  <a:cubicBezTo>
                    <a:pt x="369319" y="154939"/>
                    <a:pt x="354576" y="98551"/>
                    <a:pt x="310671" y="72897"/>
                  </a:cubicBezTo>
                  <a:cubicBezTo>
                    <a:pt x="274597" y="51796"/>
                    <a:pt x="228826" y="57661"/>
                    <a:pt x="199240" y="87149"/>
                  </a:cubicBezTo>
                  <a:lnTo>
                    <a:pt x="84303" y="202087"/>
                  </a:lnTo>
                  <a:cubicBezTo>
                    <a:pt x="59664" y="222269"/>
                    <a:pt x="24114" y="221810"/>
                    <a:pt x="0" y="201038"/>
                  </a:cubicBezTo>
                  <a:lnTo>
                    <a:pt x="156548" y="44490"/>
                  </a:lnTo>
                  <a:cubicBezTo>
                    <a:pt x="216146" y="-14944"/>
                    <a:pt x="312604" y="-14813"/>
                    <a:pt x="372039" y="44785"/>
                  </a:cubicBezTo>
                  <a:cubicBezTo>
                    <a:pt x="431473" y="104383"/>
                    <a:pt x="431342" y="200841"/>
                    <a:pt x="371744" y="260276"/>
                  </a:cubicBezTo>
                  <a:cubicBezTo>
                    <a:pt x="318600" y="313288"/>
                    <a:pt x="234789" y="319678"/>
                    <a:pt x="174208" y="275380"/>
                  </a:cubicBezTo>
                  <a:lnTo>
                    <a:pt x="217752" y="231836"/>
                  </a:lnTo>
                  <a:lnTo>
                    <a:pt x="217752" y="231804"/>
                  </a:lnTo>
                  <a:close/>
                </a:path>
              </a:pathLst>
            </a:custGeom>
            <a:solidFill>
              <a:srgbClr val="7CC061"/>
            </a:solidFill>
            <a:ln w="9525" cap="flat">
              <a:noFill/>
              <a:prstDash val="solid"/>
              <a:miter/>
            </a:ln>
          </xdr:spPr>
          <xdr:txBody>
            <a:bodyPr wrap="square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US"/>
            </a:p>
          </xdr:txBody>
        </xdr:sp>
      </xdr:grpSp>
    </xdr:grpSp>
    <xdr:clientData/>
  </xdr:twoCellAnchor>
  <xdr:twoCellAnchor>
    <xdr:from>
      <xdr:col>0</xdr:col>
      <xdr:colOff>341312</xdr:colOff>
      <xdr:row>1</xdr:row>
      <xdr:rowOff>158749</xdr:rowOff>
    </xdr:from>
    <xdr:to>
      <xdr:col>6</xdr:col>
      <xdr:colOff>269875</xdr:colOff>
      <xdr:row>13</xdr:row>
      <xdr:rowOff>71436</xdr:rowOff>
    </xdr:to>
    <xdr:sp macro="" textlink="">
      <xdr:nvSpPr>
        <xdr:cNvPr id="28" name="TextBox 27">
          <a:extLst>
            <a:ext uri="{FF2B5EF4-FFF2-40B4-BE49-F238E27FC236}">
              <a16:creationId xmlns:a16="http://schemas.microsoft.com/office/drawing/2014/main" id="{55FC25A6-E304-7338-7985-47B04B51C373}"/>
            </a:ext>
          </a:extLst>
        </xdr:cNvPr>
        <xdr:cNvSpPr txBox="1"/>
      </xdr:nvSpPr>
      <xdr:spPr>
        <a:xfrm>
          <a:off x="341312" y="341312"/>
          <a:ext cx="3595688" cy="21034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GB" sz="1600" b="1">
              <a:solidFill>
                <a:schemeClr val="accent5">
                  <a:lumMod val="75000"/>
                </a:schemeClr>
              </a:solidFill>
              <a:latin typeface="+mj-lt"/>
            </a:rPr>
            <a:t>PPA Calculator - 2024 version 0.1</a:t>
          </a:r>
        </a:p>
        <a:p>
          <a:pPr algn="l"/>
          <a:endParaRPr lang="en-GB" sz="1100">
            <a:latin typeface="+mj-lt"/>
          </a:endParaRPr>
        </a:p>
        <a:p>
          <a:pPr algn="l"/>
          <a:r>
            <a:rPr lang="en-GB" sz="1100">
              <a:latin typeface="+mj-lt"/>
            </a:rPr>
            <a:t>This</a:t>
          </a:r>
          <a:r>
            <a:rPr lang="en-GB" sz="1100" baseline="0">
              <a:latin typeface="+mj-lt"/>
            </a:rPr>
            <a:t> calculator assists with providing an initial quote for a PPA price for a solar PV project.  </a:t>
          </a:r>
        </a:p>
        <a:p>
          <a:pPr algn="l"/>
          <a:endParaRPr lang="en-GB" sz="1100" baseline="0">
            <a:latin typeface="+mj-lt"/>
          </a:endParaRPr>
        </a:p>
        <a:p>
          <a:pPr algn="l"/>
          <a:r>
            <a:rPr lang="en-GB" sz="1100" baseline="0">
              <a:latin typeface="+mj-lt"/>
            </a:rPr>
            <a:t>Please note that the PPA price calculated is indicative, is pre design/survey and subject to change and negotiation with the customer - it does not constitute a final or binding offer.</a:t>
          </a:r>
        </a:p>
        <a:p>
          <a:pPr algn="l"/>
          <a:endParaRPr lang="en-GB" sz="1100" baseline="0">
            <a:latin typeface="+mj-lt"/>
          </a:endParaRPr>
        </a:p>
        <a:p>
          <a:pPr algn="l"/>
          <a:r>
            <a:rPr lang="en-GB" sz="1100" b="1" baseline="0">
              <a:solidFill>
                <a:schemeClr val="accent5">
                  <a:lumMod val="75000"/>
                </a:schemeClr>
              </a:solidFill>
              <a:latin typeface="+mj-lt"/>
            </a:rPr>
            <a:t>PRIVATE &amp; CONFIDENTIAL </a:t>
          </a:r>
        </a:p>
        <a:p>
          <a:pPr algn="l"/>
          <a:endParaRPr lang="en-GB" sz="1100" baseline="0">
            <a:latin typeface="+mj-lt"/>
          </a:endParaRPr>
        </a:p>
        <a:p>
          <a:pPr algn="l"/>
          <a:r>
            <a:rPr lang="en-GB" sz="1100" i="1" baseline="0">
              <a:solidFill>
                <a:schemeClr val="accent5">
                  <a:lumMod val="75000"/>
                </a:schemeClr>
              </a:solidFill>
              <a:latin typeface="+mj-lt"/>
            </a:rPr>
            <a:t>Not to be shared outside of Saber.</a:t>
          </a:r>
        </a:p>
        <a:p>
          <a:pPr algn="l"/>
          <a:endParaRPr lang="en-GB" sz="1100" baseline="0">
            <a:latin typeface="+mj-lt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263525</xdr:colOff>
      <xdr:row>0</xdr:row>
      <xdr:rowOff>112714</xdr:rowOff>
    </xdr:from>
    <xdr:to>
      <xdr:col>8</xdr:col>
      <xdr:colOff>504825</xdr:colOff>
      <xdr:row>4</xdr:row>
      <xdr:rowOff>176214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D2C127E7-08E4-3484-E1FE-E8EC60DCF763}"/>
            </a:ext>
          </a:extLst>
        </xdr:cNvPr>
        <xdr:cNvGrpSpPr/>
      </xdr:nvGrpSpPr>
      <xdr:grpSpPr>
        <a:xfrm>
          <a:off x="6378575" y="112714"/>
          <a:ext cx="898525" cy="796925"/>
          <a:chOff x="13179" y="46006"/>
          <a:chExt cx="374171" cy="391298"/>
        </a:xfrm>
      </xdr:grpSpPr>
      <xdr:grpSp>
        <xdr:nvGrpSpPr>
          <xdr:cNvPr id="5" name="Group 4">
            <a:extLst>
              <a:ext uri="{FF2B5EF4-FFF2-40B4-BE49-F238E27FC236}">
                <a16:creationId xmlns:a16="http://schemas.microsoft.com/office/drawing/2014/main" id="{77FF5F4B-92C3-940B-9D0B-3F53FA2D3EEF}"/>
              </a:ext>
            </a:extLst>
          </xdr:cNvPr>
          <xdr:cNvGrpSpPr/>
        </xdr:nvGrpSpPr>
        <xdr:grpSpPr>
          <a:xfrm>
            <a:off x="25008" y="313011"/>
            <a:ext cx="350521" cy="124293"/>
            <a:chOff x="501725" y="73501"/>
            <a:chExt cx="690448" cy="244833"/>
          </a:xfrm>
        </xdr:grpSpPr>
        <xdr:sp macro="" textlink="">
          <xdr:nvSpPr>
            <xdr:cNvPr id="9" name="Freeform: Shape 8">
              <a:extLst>
                <a:ext uri="{FF2B5EF4-FFF2-40B4-BE49-F238E27FC236}">
                  <a16:creationId xmlns:a16="http://schemas.microsoft.com/office/drawing/2014/main" id="{2774071E-485F-3294-10AD-04648AF98AEE}"/>
                </a:ext>
              </a:extLst>
            </xdr:cNvPr>
            <xdr:cNvSpPr/>
          </xdr:nvSpPr>
          <xdr:spPr>
            <a:xfrm>
              <a:off x="501725" y="73501"/>
              <a:ext cx="106380" cy="156911"/>
            </a:xfrm>
            <a:custGeom>
              <a:avLst/>
              <a:gdLst>
                <a:gd name="connsiteX0" fmla="*/ 11926 w 132367"/>
                <a:gd name="connsiteY0" fmla="*/ 149176 h 195242"/>
                <a:gd name="connsiteX1" fmla="*/ 58321 w 132367"/>
                <a:gd name="connsiteY1" fmla="*/ 160840 h 195242"/>
                <a:gd name="connsiteX2" fmla="*/ 92232 w 132367"/>
                <a:gd name="connsiteY2" fmla="*/ 139969 h 195242"/>
                <a:gd name="connsiteX3" fmla="*/ 57239 w 132367"/>
                <a:gd name="connsiteY3" fmla="*/ 112840 h 195242"/>
                <a:gd name="connsiteX4" fmla="*/ 4620 w 132367"/>
                <a:gd name="connsiteY4" fmla="*/ 55601 h 195242"/>
                <a:gd name="connsiteX5" fmla="*/ 67527 w 132367"/>
                <a:gd name="connsiteY5" fmla="*/ 0 h 195242"/>
                <a:gd name="connsiteX6" fmla="*/ 128305 w 132367"/>
                <a:gd name="connsiteY6" fmla="*/ 10583 h 195242"/>
                <a:gd name="connsiteX7" fmla="*/ 119065 w 132367"/>
                <a:gd name="connsiteY7" fmla="*/ 43937 h 195242"/>
                <a:gd name="connsiteX8" fmla="*/ 71328 w 132367"/>
                <a:gd name="connsiteY8" fmla="*/ 34435 h 195242"/>
                <a:gd name="connsiteX9" fmla="*/ 44756 w 132367"/>
                <a:gd name="connsiteY9" fmla="*/ 52325 h 195242"/>
                <a:gd name="connsiteX10" fmla="*/ 79191 w 132367"/>
                <a:gd name="connsiteY10" fmla="*/ 79716 h 195242"/>
                <a:gd name="connsiteX11" fmla="*/ 132368 w 132367"/>
                <a:gd name="connsiteY11" fmla="*/ 135579 h 195242"/>
                <a:gd name="connsiteX12" fmla="*/ 60483 w 132367"/>
                <a:gd name="connsiteY12" fmla="*/ 195243 h 195242"/>
                <a:gd name="connsiteX13" fmla="*/ 0 w 132367"/>
                <a:gd name="connsiteY13" fmla="*/ 180040 h 195242"/>
                <a:gd name="connsiteX14" fmla="*/ 11926 w 132367"/>
                <a:gd name="connsiteY14" fmla="*/ 149110 h 195242"/>
                <a:gd name="connsiteX15" fmla="*/ 11926 w 132367"/>
                <a:gd name="connsiteY15" fmla="*/ 149176 h 195242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</a:cxnLst>
              <a:rect l="l" t="t" r="r" b="b"/>
              <a:pathLst>
                <a:path w="132367" h="195242">
                  <a:moveTo>
                    <a:pt x="11926" y="149176"/>
                  </a:moveTo>
                  <a:cubicBezTo>
                    <a:pt x="25753" y="155696"/>
                    <a:pt x="41218" y="160840"/>
                    <a:pt x="58321" y="160840"/>
                  </a:cubicBezTo>
                  <a:cubicBezTo>
                    <a:pt x="78110" y="160840"/>
                    <a:pt x="92232" y="154320"/>
                    <a:pt x="92232" y="139969"/>
                  </a:cubicBezTo>
                  <a:cubicBezTo>
                    <a:pt x="92232" y="125618"/>
                    <a:pt x="77324" y="120704"/>
                    <a:pt x="57239" y="112840"/>
                  </a:cubicBezTo>
                  <a:cubicBezTo>
                    <a:pt x="32568" y="103077"/>
                    <a:pt x="4620" y="90856"/>
                    <a:pt x="4620" y="55601"/>
                  </a:cubicBezTo>
                  <a:cubicBezTo>
                    <a:pt x="4620" y="20347"/>
                    <a:pt x="33616" y="0"/>
                    <a:pt x="67527" y="0"/>
                  </a:cubicBezTo>
                  <a:cubicBezTo>
                    <a:pt x="90036" y="0"/>
                    <a:pt x="108745" y="2719"/>
                    <a:pt x="128305" y="10583"/>
                  </a:cubicBezTo>
                  <a:lnTo>
                    <a:pt x="119065" y="43937"/>
                  </a:lnTo>
                  <a:cubicBezTo>
                    <a:pt x="103862" y="38236"/>
                    <a:pt x="89512" y="34435"/>
                    <a:pt x="71328" y="34435"/>
                  </a:cubicBezTo>
                  <a:cubicBezTo>
                    <a:pt x="55338" y="34435"/>
                    <a:pt x="44756" y="41775"/>
                    <a:pt x="44756" y="52325"/>
                  </a:cubicBezTo>
                  <a:cubicBezTo>
                    <a:pt x="44756" y="67527"/>
                    <a:pt x="60221" y="72933"/>
                    <a:pt x="79191" y="79716"/>
                  </a:cubicBezTo>
                  <a:cubicBezTo>
                    <a:pt x="105239" y="89217"/>
                    <a:pt x="132368" y="101963"/>
                    <a:pt x="132368" y="135579"/>
                  </a:cubicBezTo>
                  <a:cubicBezTo>
                    <a:pt x="132368" y="176010"/>
                    <a:pt x="101995" y="195243"/>
                    <a:pt x="60483" y="195243"/>
                  </a:cubicBezTo>
                  <a:cubicBezTo>
                    <a:pt x="33911" y="195243"/>
                    <a:pt x="15169" y="188198"/>
                    <a:pt x="0" y="180040"/>
                  </a:cubicBezTo>
                  <a:lnTo>
                    <a:pt x="11926" y="149110"/>
                  </a:lnTo>
                  <a:lnTo>
                    <a:pt x="11926" y="149176"/>
                  </a:lnTo>
                  <a:close/>
                </a:path>
              </a:pathLst>
            </a:custGeom>
            <a:solidFill>
              <a:schemeClr val="tx1">
                <a:lumMod val="95000"/>
                <a:lumOff val="5000"/>
              </a:schemeClr>
            </a:solidFill>
            <a:ln w="9525" cap="flat">
              <a:noFill/>
              <a:prstDash val="solid"/>
              <a:miter/>
            </a:ln>
          </xdr:spPr>
          <xdr:txBody>
            <a:bodyPr wrap="square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US">
                <a:solidFill>
                  <a:schemeClr val="tx1"/>
                </a:solidFill>
              </a:endParaRPr>
            </a:p>
          </xdr:txBody>
        </xdr:sp>
        <xdr:sp macro="" textlink="">
          <xdr:nvSpPr>
            <xdr:cNvPr id="10" name="Freeform: Shape 9">
              <a:extLst>
                <a:ext uri="{FF2B5EF4-FFF2-40B4-BE49-F238E27FC236}">
                  <a16:creationId xmlns:a16="http://schemas.microsoft.com/office/drawing/2014/main" id="{52505288-D062-6D8C-A51D-733CF38A721E}"/>
                </a:ext>
              </a:extLst>
            </xdr:cNvPr>
            <xdr:cNvSpPr/>
          </xdr:nvSpPr>
          <xdr:spPr>
            <a:xfrm>
              <a:off x="624220" y="74343"/>
              <a:ext cx="147380" cy="155436"/>
            </a:xfrm>
            <a:custGeom>
              <a:avLst/>
              <a:gdLst>
                <a:gd name="connsiteX0" fmla="*/ 70542 w 183383"/>
                <a:gd name="connsiteY0" fmla="*/ 1638 h 193407"/>
                <a:gd name="connsiteX1" fmla="*/ 110679 w 183383"/>
                <a:gd name="connsiteY1" fmla="*/ 0 h 193407"/>
                <a:gd name="connsiteX2" fmla="*/ 183384 w 183383"/>
                <a:gd name="connsiteY2" fmla="*/ 191245 h 193407"/>
                <a:gd name="connsiteX3" fmla="*/ 142426 w 183383"/>
                <a:gd name="connsiteY3" fmla="*/ 193408 h 193407"/>
                <a:gd name="connsiteX4" fmla="*/ 124242 w 183383"/>
                <a:gd name="connsiteY4" fmla="*/ 142427 h 193407"/>
                <a:gd name="connsiteX5" fmla="*/ 58321 w 183383"/>
                <a:gd name="connsiteY5" fmla="*/ 142427 h 193407"/>
                <a:gd name="connsiteX6" fmla="*/ 41218 w 183383"/>
                <a:gd name="connsiteY6" fmla="*/ 191540 h 193407"/>
                <a:gd name="connsiteX7" fmla="*/ 0 w 183383"/>
                <a:gd name="connsiteY7" fmla="*/ 191540 h 193407"/>
                <a:gd name="connsiteX8" fmla="*/ 70542 w 183383"/>
                <a:gd name="connsiteY8" fmla="*/ 1638 h 193407"/>
                <a:gd name="connsiteX9" fmla="*/ 112841 w 183383"/>
                <a:gd name="connsiteY9" fmla="*/ 109597 h 193407"/>
                <a:gd name="connsiteX10" fmla="*/ 100915 w 183383"/>
                <a:gd name="connsiteY10" fmla="*/ 75686 h 193407"/>
                <a:gd name="connsiteX11" fmla="*/ 90594 w 183383"/>
                <a:gd name="connsiteY11" fmla="*/ 42331 h 193407"/>
                <a:gd name="connsiteX12" fmla="*/ 80568 w 183383"/>
                <a:gd name="connsiteY12" fmla="*/ 75423 h 193407"/>
                <a:gd name="connsiteX13" fmla="*/ 69166 w 183383"/>
                <a:gd name="connsiteY13" fmla="*/ 109597 h 193407"/>
                <a:gd name="connsiteX14" fmla="*/ 112841 w 183383"/>
                <a:gd name="connsiteY14" fmla="*/ 109597 h 193407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</a:cxnLst>
              <a:rect l="l" t="t" r="r" b="b"/>
              <a:pathLst>
                <a:path w="183383" h="193407">
                  <a:moveTo>
                    <a:pt x="70542" y="1638"/>
                  </a:moveTo>
                  <a:lnTo>
                    <a:pt x="110679" y="0"/>
                  </a:lnTo>
                  <a:lnTo>
                    <a:pt x="183384" y="191245"/>
                  </a:lnTo>
                  <a:lnTo>
                    <a:pt x="142426" y="193408"/>
                  </a:lnTo>
                  <a:lnTo>
                    <a:pt x="124242" y="142427"/>
                  </a:lnTo>
                  <a:lnTo>
                    <a:pt x="58321" y="142427"/>
                  </a:lnTo>
                  <a:lnTo>
                    <a:pt x="41218" y="191540"/>
                  </a:lnTo>
                  <a:lnTo>
                    <a:pt x="0" y="191540"/>
                  </a:lnTo>
                  <a:lnTo>
                    <a:pt x="70542" y="1638"/>
                  </a:lnTo>
                  <a:close/>
                  <a:moveTo>
                    <a:pt x="112841" y="109597"/>
                  </a:moveTo>
                  <a:lnTo>
                    <a:pt x="100915" y="75686"/>
                  </a:lnTo>
                  <a:lnTo>
                    <a:pt x="90594" y="42331"/>
                  </a:lnTo>
                  <a:lnTo>
                    <a:pt x="80568" y="75423"/>
                  </a:lnTo>
                  <a:lnTo>
                    <a:pt x="69166" y="109597"/>
                  </a:lnTo>
                  <a:lnTo>
                    <a:pt x="112841" y="109597"/>
                  </a:lnTo>
                  <a:close/>
                </a:path>
              </a:pathLst>
            </a:custGeom>
            <a:solidFill>
              <a:schemeClr val="tx1">
                <a:lumMod val="95000"/>
                <a:lumOff val="5000"/>
              </a:schemeClr>
            </a:solidFill>
            <a:ln w="9525" cap="flat">
              <a:noFill/>
              <a:prstDash val="solid"/>
              <a:miter/>
            </a:ln>
          </xdr:spPr>
          <xdr:txBody>
            <a:bodyPr wrap="square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US">
                <a:solidFill>
                  <a:schemeClr val="tx1"/>
                </a:solidFill>
              </a:endParaRPr>
            </a:p>
          </xdr:txBody>
        </xdr:sp>
        <xdr:sp macro="" textlink="">
          <xdr:nvSpPr>
            <xdr:cNvPr id="11" name="Freeform: Shape 10">
              <a:extLst>
                <a:ext uri="{FF2B5EF4-FFF2-40B4-BE49-F238E27FC236}">
                  <a16:creationId xmlns:a16="http://schemas.microsoft.com/office/drawing/2014/main" id="{16F63D45-DE29-FDD2-4188-3C039F4AA90D}"/>
                </a:ext>
              </a:extLst>
            </xdr:cNvPr>
            <xdr:cNvSpPr/>
          </xdr:nvSpPr>
          <xdr:spPr>
            <a:xfrm>
              <a:off x="794956" y="75661"/>
              <a:ext cx="110300" cy="152618"/>
            </a:xfrm>
            <a:custGeom>
              <a:avLst/>
              <a:gdLst>
                <a:gd name="connsiteX0" fmla="*/ 0 w 137245"/>
                <a:gd name="connsiteY0" fmla="*/ 0 h 189901"/>
                <a:gd name="connsiteX1" fmla="*/ 64541 w 137245"/>
                <a:gd name="connsiteY1" fmla="*/ 0 h 189901"/>
                <a:gd name="connsiteX2" fmla="*/ 128302 w 137245"/>
                <a:gd name="connsiteY2" fmla="*/ 47475 h 189901"/>
                <a:gd name="connsiteX3" fmla="*/ 104156 w 137245"/>
                <a:gd name="connsiteY3" fmla="*/ 86531 h 189901"/>
                <a:gd name="connsiteX4" fmla="*/ 104156 w 137245"/>
                <a:gd name="connsiteY4" fmla="*/ 87350 h 189901"/>
                <a:gd name="connsiteX5" fmla="*/ 137246 w 137245"/>
                <a:gd name="connsiteY5" fmla="*/ 131844 h 189901"/>
                <a:gd name="connsiteX6" fmla="*/ 68085 w 137245"/>
                <a:gd name="connsiteY6" fmla="*/ 189902 h 189901"/>
                <a:gd name="connsiteX7" fmla="*/ 0 w 137245"/>
                <a:gd name="connsiteY7" fmla="*/ 189902 h 189901"/>
                <a:gd name="connsiteX8" fmla="*/ 0 w 137245"/>
                <a:gd name="connsiteY8" fmla="*/ 0 h 189901"/>
                <a:gd name="connsiteX9" fmla="*/ 72142 w 137245"/>
                <a:gd name="connsiteY9" fmla="*/ 77291 h 189901"/>
                <a:gd name="connsiteX10" fmla="*/ 89516 w 137245"/>
                <a:gd name="connsiteY10" fmla="*/ 53701 h 189901"/>
                <a:gd name="connsiteX11" fmla="*/ 61560 w 137245"/>
                <a:gd name="connsiteY11" fmla="*/ 34173 h 189901"/>
                <a:gd name="connsiteX12" fmla="*/ 37976 w 137245"/>
                <a:gd name="connsiteY12" fmla="*/ 34173 h 189901"/>
                <a:gd name="connsiteX13" fmla="*/ 37976 w 137245"/>
                <a:gd name="connsiteY13" fmla="*/ 77291 h 189901"/>
                <a:gd name="connsiteX14" fmla="*/ 72142 w 137245"/>
                <a:gd name="connsiteY14" fmla="*/ 77291 h 189901"/>
                <a:gd name="connsiteX15" fmla="*/ 66999 w 137245"/>
                <a:gd name="connsiteY15" fmla="*/ 155401 h 189901"/>
                <a:gd name="connsiteX16" fmla="*/ 97117 w 137245"/>
                <a:gd name="connsiteY16" fmla="*/ 131254 h 189901"/>
                <a:gd name="connsiteX17" fmla="*/ 70799 w 137245"/>
                <a:gd name="connsiteY17" fmla="*/ 109564 h 189901"/>
                <a:gd name="connsiteX18" fmla="*/ 37976 w 137245"/>
                <a:gd name="connsiteY18" fmla="*/ 109564 h 189901"/>
                <a:gd name="connsiteX19" fmla="*/ 37976 w 137245"/>
                <a:gd name="connsiteY19" fmla="*/ 155401 h 189901"/>
                <a:gd name="connsiteX20" fmla="*/ 66999 w 137245"/>
                <a:gd name="connsiteY20" fmla="*/ 155401 h 189901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</a:cxnLst>
              <a:rect l="l" t="t" r="r" b="b"/>
              <a:pathLst>
                <a:path w="137245" h="189901">
                  <a:moveTo>
                    <a:pt x="0" y="0"/>
                  </a:moveTo>
                  <a:lnTo>
                    <a:pt x="64541" y="0"/>
                  </a:lnTo>
                  <a:cubicBezTo>
                    <a:pt x="106061" y="0"/>
                    <a:pt x="128302" y="16808"/>
                    <a:pt x="128302" y="47475"/>
                  </a:cubicBezTo>
                  <a:cubicBezTo>
                    <a:pt x="128302" y="67003"/>
                    <a:pt x="118539" y="79748"/>
                    <a:pt x="104156" y="86531"/>
                  </a:cubicBezTo>
                  <a:lnTo>
                    <a:pt x="104156" y="87350"/>
                  </a:lnTo>
                  <a:cubicBezTo>
                    <a:pt x="123682" y="93575"/>
                    <a:pt x="137246" y="106353"/>
                    <a:pt x="137246" y="131844"/>
                  </a:cubicBezTo>
                  <a:cubicBezTo>
                    <a:pt x="137246" y="167917"/>
                    <a:pt x="109861" y="189902"/>
                    <a:pt x="68085" y="189902"/>
                  </a:cubicBezTo>
                  <a:lnTo>
                    <a:pt x="0" y="189902"/>
                  </a:lnTo>
                  <a:lnTo>
                    <a:pt x="0" y="0"/>
                  </a:lnTo>
                  <a:close/>
                  <a:moveTo>
                    <a:pt x="72142" y="77291"/>
                  </a:moveTo>
                  <a:cubicBezTo>
                    <a:pt x="84077" y="73228"/>
                    <a:pt x="89516" y="65070"/>
                    <a:pt x="89516" y="53701"/>
                  </a:cubicBezTo>
                  <a:cubicBezTo>
                    <a:pt x="89516" y="40398"/>
                    <a:pt x="78400" y="34173"/>
                    <a:pt x="61560" y="34173"/>
                  </a:cubicBezTo>
                  <a:lnTo>
                    <a:pt x="37976" y="34173"/>
                  </a:lnTo>
                  <a:lnTo>
                    <a:pt x="37976" y="77291"/>
                  </a:lnTo>
                  <a:lnTo>
                    <a:pt x="72142" y="77291"/>
                  </a:lnTo>
                  <a:close/>
                  <a:moveTo>
                    <a:pt x="66999" y="155401"/>
                  </a:moveTo>
                  <a:cubicBezTo>
                    <a:pt x="87087" y="155401"/>
                    <a:pt x="97117" y="146194"/>
                    <a:pt x="97117" y="131254"/>
                  </a:cubicBezTo>
                  <a:cubicBezTo>
                    <a:pt x="97117" y="117165"/>
                    <a:pt x="85449" y="110907"/>
                    <a:pt x="70799" y="109564"/>
                  </a:cubicBezTo>
                  <a:lnTo>
                    <a:pt x="37976" y="109564"/>
                  </a:lnTo>
                  <a:lnTo>
                    <a:pt x="37976" y="155401"/>
                  </a:lnTo>
                  <a:lnTo>
                    <a:pt x="66999" y="155401"/>
                  </a:lnTo>
                  <a:close/>
                </a:path>
              </a:pathLst>
            </a:custGeom>
            <a:solidFill>
              <a:schemeClr val="tx1">
                <a:lumMod val="95000"/>
                <a:lumOff val="5000"/>
              </a:schemeClr>
            </a:solidFill>
            <a:ln w="9525" cap="flat">
              <a:noFill/>
              <a:prstDash val="solid"/>
              <a:miter/>
            </a:ln>
          </xdr:spPr>
          <xdr:txBody>
            <a:bodyPr wrap="square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US">
                <a:solidFill>
                  <a:schemeClr val="tx1"/>
                </a:solidFill>
              </a:endParaRPr>
            </a:p>
          </xdr:txBody>
        </xdr:sp>
        <xdr:sp macro="" textlink="">
          <xdr:nvSpPr>
            <xdr:cNvPr id="12" name="Freeform: Shape 11">
              <a:extLst>
                <a:ext uri="{FF2B5EF4-FFF2-40B4-BE49-F238E27FC236}">
                  <a16:creationId xmlns:a16="http://schemas.microsoft.com/office/drawing/2014/main" id="{87184767-78AA-8046-64F6-296E8A7A8574}"/>
                </a:ext>
              </a:extLst>
            </xdr:cNvPr>
            <xdr:cNvSpPr/>
          </xdr:nvSpPr>
          <xdr:spPr>
            <a:xfrm>
              <a:off x="937309" y="75661"/>
              <a:ext cx="98527" cy="152618"/>
            </a:xfrm>
            <a:custGeom>
              <a:avLst/>
              <a:gdLst>
                <a:gd name="connsiteX0" fmla="*/ 0 w 122596"/>
                <a:gd name="connsiteY0" fmla="*/ 0 h 189901"/>
                <a:gd name="connsiteX1" fmla="*/ 118539 w 122596"/>
                <a:gd name="connsiteY1" fmla="*/ 0 h 189901"/>
                <a:gd name="connsiteX2" fmla="*/ 116634 w 122596"/>
                <a:gd name="connsiteY2" fmla="*/ 34435 h 189901"/>
                <a:gd name="connsiteX3" fmla="*/ 37967 w 122596"/>
                <a:gd name="connsiteY3" fmla="*/ 34435 h 189901"/>
                <a:gd name="connsiteX4" fmla="*/ 37967 w 122596"/>
                <a:gd name="connsiteY4" fmla="*/ 77029 h 189901"/>
                <a:gd name="connsiteX5" fmla="*/ 111490 w 122596"/>
                <a:gd name="connsiteY5" fmla="*/ 77029 h 189901"/>
                <a:gd name="connsiteX6" fmla="*/ 111490 w 122596"/>
                <a:gd name="connsiteY6" fmla="*/ 109859 h 189901"/>
                <a:gd name="connsiteX7" fmla="*/ 37967 w 122596"/>
                <a:gd name="connsiteY7" fmla="*/ 109859 h 189901"/>
                <a:gd name="connsiteX8" fmla="*/ 37967 w 122596"/>
                <a:gd name="connsiteY8" fmla="*/ 155171 h 189901"/>
                <a:gd name="connsiteX9" fmla="*/ 122596 w 122596"/>
                <a:gd name="connsiteY9" fmla="*/ 155171 h 189901"/>
                <a:gd name="connsiteX10" fmla="*/ 120701 w 122596"/>
                <a:gd name="connsiteY10" fmla="*/ 189902 h 189901"/>
                <a:gd name="connsiteX11" fmla="*/ 0 w 122596"/>
                <a:gd name="connsiteY11" fmla="*/ 189902 h 189901"/>
                <a:gd name="connsiteX12" fmla="*/ 0 w 122596"/>
                <a:gd name="connsiteY12" fmla="*/ 0 h 189901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</a:cxnLst>
              <a:rect l="l" t="t" r="r" b="b"/>
              <a:pathLst>
                <a:path w="122596" h="189901">
                  <a:moveTo>
                    <a:pt x="0" y="0"/>
                  </a:moveTo>
                  <a:lnTo>
                    <a:pt x="118539" y="0"/>
                  </a:lnTo>
                  <a:lnTo>
                    <a:pt x="116634" y="34435"/>
                  </a:lnTo>
                  <a:lnTo>
                    <a:pt x="37967" y="34435"/>
                  </a:lnTo>
                  <a:lnTo>
                    <a:pt x="37967" y="77029"/>
                  </a:lnTo>
                  <a:lnTo>
                    <a:pt x="111490" y="77029"/>
                  </a:lnTo>
                  <a:lnTo>
                    <a:pt x="111490" y="109859"/>
                  </a:lnTo>
                  <a:lnTo>
                    <a:pt x="37967" y="109859"/>
                  </a:lnTo>
                  <a:lnTo>
                    <a:pt x="37967" y="155171"/>
                  </a:lnTo>
                  <a:lnTo>
                    <a:pt x="122596" y="155171"/>
                  </a:lnTo>
                  <a:lnTo>
                    <a:pt x="120701" y="189902"/>
                  </a:lnTo>
                  <a:lnTo>
                    <a:pt x="0" y="189902"/>
                  </a:lnTo>
                  <a:lnTo>
                    <a:pt x="0" y="0"/>
                  </a:lnTo>
                  <a:close/>
                </a:path>
              </a:pathLst>
            </a:custGeom>
            <a:solidFill>
              <a:schemeClr val="tx1">
                <a:lumMod val="95000"/>
                <a:lumOff val="5000"/>
              </a:schemeClr>
            </a:solidFill>
            <a:ln w="9525" cap="flat">
              <a:noFill/>
              <a:prstDash val="solid"/>
              <a:miter/>
            </a:ln>
          </xdr:spPr>
          <xdr:txBody>
            <a:bodyPr wrap="square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US">
                <a:solidFill>
                  <a:schemeClr val="tx1"/>
                </a:solidFill>
              </a:endParaRPr>
            </a:p>
          </xdr:txBody>
        </xdr:sp>
        <xdr:sp macro="" textlink="">
          <xdr:nvSpPr>
            <xdr:cNvPr id="13" name="Freeform: Shape 12">
              <a:extLst>
                <a:ext uri="{FF2B5EF4-FFF2-40B4-BE49-F238E27FC236}">
                  <a16:creationId xmlns:a16="http://schemas.microsoft.com/office/drawing/2014/main" id="{1EDF4B12-A45E-7339-E257-57EC348E9C6C}"/>
                </a:ext>
              </a:extLst>
            </xdr:cNvPr>
            <xdr:cNvSpPr/>
          </xdr:nvSpPr>
          <xdr:spPr>
            <a:xfrm>
              <a:off x="1067466" y="75661"/>
              <a:ext cx="124676" cy="154542"/>
            </a:xfrm>
            <a:custGeom>
              <a:avLst/>
              <a:gdLst>
                <a:gd name="connsiteX0" fmla="*/ 0 w 155133"/>
                <a:gd name="connsiteY0" fmla="*/ 0 h 192294"/>
                <a:gd name="connsiteX1" fmla="*/ 62646 w 155133"/>
                <a:gd name="connsiteY1" fmla="*/ 0 h 192294"/>
                <a:gd name="connsiteX2" fmla="*/ 135055 w 155133"/>
                <a:gd name="connsiteY2" fmla="*/ 57239 h 192294"/>
                <a:gd name="connsiteX3" fmla="*/ 102775 w 155133"/>
                <a:gd name="connsiteY3" fmla="*/ 107959 h 192294"/>
                <a:gd name="connsiteX4" fmla="*/ 155134 w 155133"/>
                <a:gd name="connsiteY4" fmla="*/ 189869 h 192294"/>
                <a:gd name="connsiteX5" fmla="*/ 112014 w 155133"/>
                <a:gd name="connsiteY5" fmla="*/ 192294 h 192294"/>
                <a:gd name="connsiteX6" fmla="*/ 67523 w 155133"/>
                <a:gd name="connsiteY6" fmla="*/ 120147 h 192294"/>
                <a:gd name="connsiteX7" fmla="*/ 37967 w 155133"/>
                <a:gd name="connsiteY7" fmla="*/ 120147 h 192294"/>
                <a:gd name="connsiteX8" fmla="*/ 37967 w 155133"/>
                <a:gd name="connsiteY8" fmla="*/ 189869 h 192294"/>
                <a:gd name="connsiteX9" fmla="*/ 0 w 155133"/>
                <a:gd name="connsiteY9" fmla="*/ 189869 h 192294"/>
                <a:gd name="connsiteX10" fmla="*/ 0 w 155133"/>
                <a:gd name="connsiteY10" fmla="*/ 0 h 192294"/>
                <a:gd name="connsiteX11" fmla="*/ 73781 w 155133"/>
                <a:gd name="connsiteY11" fmla="*/ 86531 h 192294"/>
                <a:gd name="connsiteX12" fmla="*/ 94945 w 155133"/>
                <a:gd name="connsiteY12" fmla="*/ 59402 h 192294"/>
                <a:gd name="connsiteX13" fmla="*/ 58617 w 155133"/>
                <a:gd name="connsiteY13" fmla="*/ 34435 h 192294"/>
                <a:gd name="connsiteX14" fmla="*/ 38005 w 155133"/>
                <a:gd name="connsiteY14" fmla="*/ 34435 h 192294"/>
                <a:gd name="connsiteX15" fmla="*/ 38005 w 155133"/>
                <a:gd name="connsiteY15" fmla="*/ 86531 h 192294"/>
                <a:gd name="connsiteX16" fmla="*/ 73819 w 155133"/>
                <a:gd name="connsiteY16" fmla="*/ 86531 h 192294"/>
                <a:gd name="connsiteX17" fmla="*/ 73781 w 155133"/>
                <a:gd name="connsiteY17" fmla="*/ 86531 h 192294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</a:cxnLst>
              <a:rect l="l" t="t" r="r" b="b"/>
              <a:pathLst>
                <a:path w="155133" h="192294">
                  <a:moveTo>
                    <a:pt x="0" y="0"/>
                  </a:moveTo>
                  <a:lnTo>
                    <a:pt x="62646" y="0"/>
                  </a:lnTo>
                  <a:cubicBezTo>
                    <a:pt x="110119" y="0"/>
                    <a:pt x="135055" y="20085"/>
                    <a:pt x="135055" y="57239"/>
                  </a:cubicBezTo>
                  <a:cubicBezTo>
                    <a:pt x="135055" y="82468"/>
                    <a:pt x="121491" y="98195"/>
                    <a:pt x="102775" y="107959"/>
                  </a:cubicBezTo>
                  <a:lnTo>
                    <a:pt x="155134" y="189869"/>
                  </a:lnTo>
                  <a:lnTo>
                    <a:pt x="112014" y="192294"/>
                  </a:lnTo>
                  <a:lnTo>
                    <a:pt x="67523" y="120147"/>
                  </a:lnTo>
                  <a:lnTo>
                    <a:pt x="37967" y="120147"/>
                  </a:lnTo>
                  <a:lnTo>
                    <a:pt x="37967" y="189869"/>
                  </a:lnTo>
                  <a:lnTo>
                    <a:pt x="0" y="189869"/>
                  </a:lnTo>
                  <a:lnTo>
                    <a:pt x="0" y="0"/>
                  </a:lnTo>
                  <a:close/>
                  <a:moveTo>
                    <a:pt x="73781" y="86531"/>
                  </a:moveTo>
                  <a:cubicBezTo>
                    <a:pt x="86001" y="82468"/>
                    <a:pt x="94945" y="74309"/>
                    <a:pt x="94945" y="59402"/>
                  </a:cubicBezTo>
                  <a:cubicBezTo>
                    <a:pt x="94945" y="41775"/>
                    <a:pt x="81124" y="34435"/>
                    <a:pt x="58617" y="34435"/>
                  </a:cubicBezTo>
                  <a:lnTo>
                    <a:pt x="38005" y="34435"/>
                  </a:lnTo>
                  <a:lnTo>
                    <a:pt x="38005" y="86531"/>
                  </a:lnTo>
                  <a:lnTo>
                    <a:pt x="73819" y="86531"/>
                  </a:lnTo>
                  <a:lnTo>
                    <a:pt x="73781" y="86531"/>
                  </a:lnTo>
                  <a:close/>
                </a:path>
              </a:pathLst>
            </a:custGeom>
            <a:solidFill>
              <a:schemeClr val="tx1">
                <a:lumMod val="95000"/>
                <a:lumOff val="5000"/>
              </a:schemeClr>
            </a:solidFill>
            <a:ln w="9525" cap="flat">
              <a:noFill/>
              <a:prstDash val="solid"/>
              <a:miter/>
            </a:ln>
          </xdr:spPr>
          <xdr:txBody>
            <a:bodyPr wrap="square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US">
                <a:solidFill>
                  <a:schemeClr val="tx1"/>
                </a:solidFill>
              </a:endParaRPr>
            </a:p>
          </xdr:txBody>
        </xdr:sp>
        <xdr:sp macro="" textlink="">
          <xdr:nvSpPr>
            <xdr:cNvPr id="14" name="Freeform: Shape 13">
              <a:extLst>
                <a:ext uri="{FF2B5EF4-FFF2-40B4-BE49-F238E27FC236}">
                  <a16:creationId xmlns:a16="http://schemas.microsoft.com/office/drawing/2014/main" id="{CF9BF1BF-D23F-9A4D-558F-DFCAC0A1DEE9}"/>
                </a:ext>
              </a:extLst>
            </xdr:cNvPr>
            <xdr:cNvSpPr/>
          </xdr:nvSpPr>
          <xdr:spPr>
            <a:xfrm>
              <a:off x="501725" y="283893"/>
              <a:ext cx="28096" cy="34099"/>
            </a:xfrm>
            <a:custGeom>
              <a:avLst/>
              <a:gdLst>
                <a:gd name="connsiteX0" fmla="*/ 26047 w 34959"/>
                <a:gd name="connsiteY0" fmla="*/ 27718 h 42429"/>
                <a:gd name="connsiteX1" fmla="*/ 32109 w 34959"/>
                <a:gd name="connsiteY1" fmla="*/ 22672 h 42429"/>
                <a:gd name="connsiteX2" fmla="*/ 34239 w 34959"/>
                <a:gd name="connsiteY2" fmla="*/ 14776 h 42429"/>
                <a:gd name="connsiteX3" fmla="*/ 32109 w 34959"/>
                <a:gd name="connsiteY3" fmla="*/ 6848 h 42429"/>
                <a:gd name="connsiteX4" fmla="*/ 26047 w 34959"/>
                <a:gd name="connsiteY4" fmla="*/ 1769 h 42429"/>
                <a:gd name="connsiteX5" fmla="*/ 16546 w 34959"/>
                <a:gd name="connsiteY5" fmla="*/ 0 h 42429"/>
                <a:gd name="connsiteX6" fmla="*/ 0 w 34959"/>
                <a:gd name="connsiteY6" fmla="*/ 0 h 42429"/>
                <a:gd name="connsiteX7" fmla="*/ 0 w 34959"/>
                <a:gd name="connsiteY7" fmla="*/ 42429 h 42429"/>
                <a:gd name="connsiteX8" fmla="*/ 6061 w 34959"/>
                <a:gd name="connsiteY8" fmla="*/ 42429 h 42429"/>
                <a:gd name="connsiteX9" fmla="*/ 6061 w 34959"/>
                <a:gd name="connsiteY9" fmla="*/ 29520 h 42429"/>
                <a:gd name="connsiteX10" fmla="*/ 16546 w 34959"/>
                <a:gd name="connsiteY10" fmla="*/ 29520 h 42429"/>
                <a:gd name="connsiteX11" fmla="*/ 19233 w 34959"/>
                <a:gd name="connsiteY11" fmla="*/ 29422 h 42429"/>
                <a:gd name="connsiteX12" fmla="*/ 28341 w 34959"/>
                <a:gd name="connsiteY12" fmla="*/ 42429 h 42429"/>
                <a:gd name="connsiteX13" fmla="*/ 34960 w 34959"/>
                <a:gd name="connsiteY13" fmla="*/ 42429 h 42429"/>
                <a:gd name="connsiteX14" fmla="*/ 24868 w 34959"/>
                <a:gd name="connsiteY14" fmla="*/ 28209 h 42429"/>
                <a:gd name="connsiteX15" fmla="*/ 26047 w 34959"/>
                <a:gd name="connsiteY15" fmla="*/ 27783 h 42429"/>
                <a:gd name="connsiteX16" fmla="*/ 26047 w 34959"/>
                <a:gd name="connsiteY16" fmla="*/ 27718 h 42429"/>
                <a:gd name="connsiteX17" fmla="*/ 16350 w 34959"/>
                <a:gd name="connsiteY17" fmla="*/ 24311 h 42429"/>
                <a:gd name="connsiteX18" fmla="*/ 6061 w 34959"/>
                <a:gd name="connsiteY18" fmla="*/ 24311 h 42429"/>
                <a:gd name="connsiteX19" fmla="*/ 6061 w 34959"/>
                <a:gd name="connsiteY19" fmla="*/ 5209 h 42429"/>
                <a:gd name="connsiteX20" fmla="*/ 16350 w 34959"/>
                <a:gd name="connsiteY20" fmla="*/ 5209 h 42429"/>
                <a:gd name="connsiteX21" fmla="*/ 25163 w 34959"/>
                <a:gd name="connsiteY21" fmla="*/ 7699 h 42429"/>
                <a:gd name="connsiteX22" fmla="*/ 28177 w 34959"/>
                <a:gd name="connsiteY22" fmla="*/ 14744 h 42429"/>
                <a:gd name="connsiteX23" fmla="*/ 25163 w 34959"/>
                <a:gd name="connsiteY23" fmla="*/ 21787 h 42429"/>
                <a:gd name="connsiteX24" fmla="*/ 16350 w 34959"/>
                <a:gd name="connsiteY24" fmla="*/ 24311 h 4242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</a:cxnLst>
              <a:rect l="l" t="t" r="r" b="b"/>
              <a:pathLst>
                <a:path w="34959" h="42429">
                  <a:moveTo>
                    <a:pt x="26047" y="27718"/>
                  </a:moveTo>
                  <a:cubicBezTo>
                    <a:pt x="28668" y="26539"/>
                    <a:pt x="30700" y="24868"/>
                    <a:pt x="32109" y="22672"/>
                  </a:cubicBezTo>
                  <a:cubicBezTo>
                    <a:pt x="33518" y="20477"/>
                    <a:pt x="34239" y="17823"/>
                    <a:pt x="34239" y="14776"/>
                  </a:cubicBezTo>
                  <a:cubicBezTo>
                    <a:pt x="34239" y="11729"/>
                    <a:pt x="33518" y="9075"/>
                    <a:pt x="32109" y="6848"/>
                  </a:cubicBezTo>
                  <a:cubicBezTo>
                    <a:pt x="30700" y="4620"/>
                    <a:pt x="28668" y="2916"/>
                    <a:pt x="26047" y="1769"/>
                  </a:cubicBezTo>
                  <a:cubicBezTo>
                    <a:pt x="23427" y="590"/>
                    <a:pt x="20248" y="0"/>
                    <a:pt x="16546" y="0"/>
                  </a:cubicBezTo>
                  <a:lnTo>
                    <a:pt x="0" y="0"/>
                  </a:lnTo>
                  <a:lnTo>
                    <a:pt x="0" y="42429"/>
                  </a:lnTo>
                  <a:lnTo>
                    <a:pt x="6061" y="42429"/>
                  </a:lnTo>
                  <a:lnTo>
                    <a:pt x="6061" y="29520"/>
                  </a:lnTo>
                  <a:lnTo>
                    <a:pt x="16546" y="29520"/>
                  </a:lnTo>
                  <a:cubicBezTo>
                    <a:pt x="17463" y="29520"/>
                    <a:pt x="18380" y="29487"/>
                    <a:pt x="19233" y="29422"/>
                  </a:cubicBezTo>
                  <a:lnTo>
                    <a:pt x="28341" y="42429"/>
                  </a:lnTo>
                  <a:lnTo>
                    <a:pt x="34960" y="42429"/>
                  </a:lnTo>
                  <a:lnTo>
                    <a:pt x="24868" y="28209"/>
                  </a:lnTo>
                  <a:cubicBezTo>
                    <a:pt x="25261" y="28079"/>
                    <a:pt x="25687" y="27947"/>
                    <a:pt x="26047" y="27783"/>
                  </a:cubicBezTo>
                  <a:lnTo>
                    <a:pt x="26047" y="27718"/>
                  </a:lnTo>
                  <a:close/>
                  <a:moveTo>
                    <a:pt x="16350" y="24311"/>
                  </a:moveTo>
                  <a:lnTo>
                    <a:pt x="6061" y="24311"/>
                  </a:lnTo>
                  <a:lnTo>
                    <a:pt x="6061" y="5209"/>
                  </a:lnTo>
                  <a:lnTo>
                    <a:pt x="16350" y="5209"/>
                  </a:lnTo>
                  <a:cubicBezTo>
                    <a:pt x="20216" y="5209"/>
                    <a:pt x="23164" y="6028"/>
                    <a:pt x="25163" y="7699"/>
                  </a:cubicBezTo>
                  <a:cubicBezTo>
                    <a:pt x="27161" y="9370"/>
                    <a:pt x="28177" y="11697"/>
                    <a:pt x="28177" y="14744"/>
                  </a:cubicBezTo>
                  <a:cubicBezTo>
                    <a:pt x="28177" y="17791"/>
                    <a:pt x="27194" y="20117"/>
                    <a:pt x="25163" y="21787"/>
                  </a:cubicBezTo>
                  <a:cubicBezTo>
                    <a:pt x="23164" y="23459"/>
                    <a:pt x="20216" y="24311"/>
                    <a:pt x="16350" y="24311"/>
                  </a:cubicBezTo>
                  <a:close/>
                </a:path>
              </a:pathLst>
            </a:custGeom>
            <a:solidFill>
              <a:srgbClr val="7CC061"/>
            </a:solidFill>
            <a:ln w="9525" cap="flat">
              <a:noFill/>
              <a:prstDash val="solid"/>
              <a:miter/>
            </a:ln>
          </xdr:spPr>
          <xdr:txBody>
            <a:bodyPr wrap="square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US"/>
            </a:p>
          </xdr:txBody>
        </xdr:sp>
        <xdr:sp macro="" textlink="">
          <xdr:nvSpPr>
            <xdr:cNvPr id="15" name="Freeform: Shape 14">
              <a:extLst>
                <a:ext uri="{FF2B5EF4-FFF2-40B4-BE49-F238E27FC236}">
                  <a16:creationId xmlns:a16="http://schemas.microsoft.com/office/drawing/2014/main" id="{1FEBF677-67DF-87DF-6E1F-21B120600061}"/>
                </a:ext>
              </a:extLst>
            </xdr:cNvPr>
            <xdr:cNvSpPr/>
          </xdr:nvSpPr>
          <xdr:spPr>
            <a:xfrm>
              <a:off x="546857" y="283866"/>
              <a:ext cx="24752" cy="34100"/>
            </a:xfrm>
            <a:custGeom>
              <a:avLst/>
              <a:gdLst>
                <a:gd name="connsiteX0" fmla="*/ 6062 w 30799"/>
                <a:gd name="connsiteY0" fmla="*/ 23459 h 42430"/>
                <a:gd name="connsiteX1" fmla="*/ 27325 w 30799"/>
                <a:gd name="connsiteY1" fmla="*/ 23459 h 42430"/>
                <a:gd name="connsiteX2" fmla="*/ 27325 w 30799"/>
                <a:gd name="connsiteY2" fmla="*/ 18316 h 42430"/>
                <a:gd name="connsiteX3" fmla="*/ 6062 w 30799"/>
                <a:gd name="connsiteY3" fmla="*/ 18316 h 42430"/>
                <a:gd name="connsiteX4" fmla="*/ 6062 w 30799"/>
                <a:gd name="connsiteY4" fmla="*/ 5275 h 42430"/>
                <a:gd name="connsiteX5" fmla="*/ 29947 w 30799"/>
                <a:gd name="connsiteY5" fmla="*/ 5275 h 42430"/>
                <a:gd name="connsiteX6" fmla="*/ 29947 w 30799"/>
                <a:gd name="connsiteY6" fmla="*/ 0 h 42430"/>
                <a:gd name="connsiteX7" fmla="*/ 0 w 30799"/>
                <a:gd name="connsiteY7" fmla="*/ 0 h 42430"/>
                <a:gd name="connsiteX8" fmla="*/ 0 w 30799"/>
                <a:gd name="connsiteY8" fmla="*/ 42430 h 42430"/>
                <a:gd name="connsiteX9" fmla="*/ 30799 w 30799"/>
                <a:gd name="connsiteY9" fmla="*/ 42430 h 42430"/>
                <a:gd name="connsiteX10" fmla="*/ 30799 w 30799"/>
                <a:gd name="connsiteY10" fmla="*/ 37155 h 42430"/>
                <a:gd name="connsiteX11" fmla="*/ 6062 w 30799"/>
                <a:gd name="connsiteY11" fmla="*/ 37155 h 42430"/>
                <a:gd name="connsiteX12" fmla="*/ 6062 w 30799"/>
                <a:gd name="connsiteY12" fmla="*/ 23459 h 4243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</a:cxnLst>
              <a:rect l="l" t="t" r="r" b="b"/>
              <a:pathLst>
                <a:path w="30799" h="42430">
                  <a:moveTo>
                    <a:pt x="6062" y="23459"/>
                  </a:moveTo>
                  <a:lnTo>
                    <a:pt x="27325" y="23459"/>
                  </a:lnTo>
                  <a:lnTo>
                    <a:pt x="27325" y="18316"/>
                  </a:lnTo>
                  <a:lnTo>
                    <a:pt x="6062" y="18316"/>
                  </a:lnTo>
                  <a:lnTo>
                    <a:pt x="6062" y="5275"/>
                  </a:lnTo>
                  <a:lnTo>
                    <a:pt x="29947" y="5275"/>
                  </a:lnTo>
                  <a:lnTo>
                    <a:pt x="29947" y="0"/>
                  </a:lnTo>
                  <a:lnTo>
                    <a:pt x="0" y="0"/>
                  </a:lnTo>
                  <a:lnTo>
                    <a:pt x="0" y="42430"/>
                  </a:lnTo>
                  <a:lnTo>
                    <a:pt x="30799" y="42430"/>
                  </a:lnTo>
                  <a:lnTo>
                    <a:pt x="30799" y="37155"/>
                  </a:lnTo>
                  <a:lnTo>
                    <a:pt x="6062" y="37155"/>
                  </a:lnTo>
                  <a:lnTo>
                    <a:pt x="6062" y="23459"/>
                  </a:lnTo>
                  <a:close/>
                </a:path>
              </a:pathLst>
            </a:custGeom>
            <a:solidFill>
              <a:srgbClr val="7CC061"/>
            </a:solidFill>
            <a:ln w="9525" cap="flat">
              <a:noFill/>
              <a:prstDash val="solid"/>
              <a:miter/>
            </a:ln>
          </xdr:spPr>
          <xdr:txBody>
            <a:bodyPr wrap="square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US"/>
            </a:p>
          </xdr:txBody>
        </xdr:sp>
        <xdr:sp macro="" textlink="">
          <xdr:nvSpPr>
            <xdr:cNvPr id="16" name="Freeform: Shape 15">
              <a:extLst>
                <a:ext uri="{FF2B5EF4-FFF2-40B4-BE49-F238E27FC236}">
                  <a16:creationId xmlns:a16="http://schemas.microsoft.com/office/drawing/2014/main" id="{1F20AB52-93B9-B5E2-BE72-DCB68BD65980}"/>
                </a:ext>
              </a:extLst>
            </xdr:cNvPr>
            <xdr:cNvSpPr/>
          </xdr:nvSpPr>
          <xdr:spPr>
            <a:xfrm>
              <a:off x="589225" y="283866"/>
              <a:ext cx="29333" cy="34100"/>
            </a:xfrm>
            <a:custGeom>
              <a:avLst/>
              <a:gdLst>
                <a:gd name="connsiteX0" fmla="*/ 30438 w 36499"/>
                <a:gd name="connsiteY0" fmla="*/ 31617 h 42430"/>
                <a:gd name="connsiteX1" fmla="*/ 4981 w 36499"/>
                <a:gd name="connsiteY1" fmla="*/ 0 h 42430"/>
                <a:gd name="connsiteX2" fmla="*/ 0 w 36499"/>
                <a:gd name="connsiteY2" fmla="*/ 0 h 42430"/>
                <a:gd name="connsiteX3" fmla="*/ 0 w 36499"/>
                <a:gd name="connsiteY3" fmla="*/ 42430 h 42430"/>
                <a:gd name="connsiteX4" fmla="*/ 6062 w 36499"/>
                <a:gd name="connsiteY4" fmla="*/ 42430 h 42430"/>
                <a:gd name="connsiteX5" fmla="*/ 6062 w 36499"/>
                <a:gd name="connsiteY5" fmla="*/ 10813 h 42430"/>
                <a:gd name="connsiteX6" fmla="*/ 31519 w 36499"/>
                <a:gd name="connsiteY6" fmla="*/ 42430 h 42430"/>
                <a:gd name="connsiteX7" fmla="*/ 36500 w 36499"/>
                <a:gd name="connsiteY7" fmla="*/ 42430 h 42430"/>
                <a:gd name="connsiteX8" fmla="*/ 36500 w 36499"/>
                <a:gd name="connsiteY8" fmla="*/ 0 h 42430"/>
                <a:gd name="connsiteX9" fmla="*/ 30438 w 36499"/>
                <a:gd name="connsiteY9" fmla="*/ 0 h 42430"/>
                <a:gd name="connsiteX10" fmla="*/ 30438 w 36499"/>
                <a:gd name="connsiteY10" fmla="*/ 31617 h 4243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</a:cxnLst>
              <a:rect l="l" t="t" r="r" b="b"/>
              <a:pathLst>
                <a:path w="36499" h="42430">
                  <a:moveTo>
                    <a:pt x="30438" y="31617"/>
                  </a:moveTo>
                  <a:lnTo>
                    <a:pt x="4981" y="0"/>
                  </a:lnTo>
                  <a:lnTo>
                    <a:pt x="0" y="0"/>
                  </a:lnTo>
                  <a:lnTo>
                    <a:pt x="0" y="42430"/>
                  </a:lnTo>
                  <a:lnTo>
                    <a:pt x="6062" y="42430"/>
                  </a:lnTo>
                  <a:lnTo>
                    <a:pt x="6062" y="10813"/>
                  </a:lnTo>
                  <a:lnTo>
                    <a:pt x="31519" y="42430"/>
                  </a:lnTo>
                  <a:lnTo>
                    <a:pt x="36500" y="42430"/>
                  </a:lnTo>
                  <a:lnTo>
                    <a:pt x="36500" y="0"/>
                  </a:lnTo>
                  <a:lnTo>
                    <a:pt x="30438" y="0"/>
                  </a:lnTo>
                  <a:lnTo>
                    <a:pt x="30438" y="31617"/>
                  </a:lnTo>
                  <a:close/>
                </a:path>
              </a:pathLst>
            </a:custGeom>
            <a:solidFill>
              <a:srgbClr val="7CC061"/>
            </a:solidFill>
            <a:ln w="9525" cap="flat">
              <a:noFill/>
              <a:prstDash val="solid"/>
              <a:miter/>
            </a:ln>
          </xdr:spPr>
          <xdr:txBody>
            <a:bodyPr wrap="square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US"/>
            </a:p>
          </xdr:txBody>
        </xdr:sp>
        <xdr:sp macro="" textlink="">
          <xdr:nvSpPr>
            <xdr:cNvPr id="17" name="Freeform: Shape 16">
              <a:extLst>
                <a:ext uri="{FF2B5EF4-FFF2-40B4-BE49-F238E27FC236}">
                  <a16:creationId xmlns:a16="http://schemas.microsoft.com/office/drawing/2014/main" id="{81B3CBA8-7792-1833-247B-6D097ECCD9B8}"/>
                </a:ext>
              </a:extLst>
            </xdr:cNvPr>
            <xdr:cNvSpPr/>
          </xdr:nvSpPr>
          <xdr:spPr>
            <a:xfrm>
              <a:off x="638519" y="283866"/>
              <a:ext cx="24725" cy="34100"/>
            </a:xfrm>
            <a:custGeom>
              <a:avLst/>
              <a:gdLst>
                <a:gd name="connsiteX0" fmla="*/ 6061 w 30765"/>
                <a:gd name="connsiteY0" fmla="*/ 23459 h 42430"/>
                <a:gd name="connsiteX1" fmla="*/ 27325 w 30765"/>
                <a:gd name="connsiteY1" fmla="*/ 23459 h 42430"/>
                <a:gd name="connsiteX2" fmla="*/ 27325 w 30765"/>
                <a:gd name="connsiteY2" fmla="*/ 18316 h 42430"/>
                <a:gd name="connsiteX3" fmla="*/ 6061 w 30765"/>
                <a:gd name="connsiteY3" fmla="*/ 18316 h 42430"/>
                <a:gd name="connsiteX4" fmla="*/ 6061 w 30765"/>
                <a:gd name="connsiteY4" fmla="*/ 5275 h 42430"/>
                <a:gd name="connsiteX5" fmla="*/ 29947 w 30765"/>
                <a:gd name="connsiteY5" fmla="*/ 5275 h 42430"/>
                <a:gd name="connsiteX6" fmla="*/ 29947 w 30765"/>
                <a:gd name="connsiteY6" fmla="*/ 0 h 42430"/>
                <a:gd name="connsiteX7" fmla="*/ 0 w 30765"/>
                <a:gd name="connsiteY7" fmla="*/ 0 h 42430"/>
                <a:gd name="connsiteX8" fmla="*/ 0 w 30765"/>
                <a:gd name="connsiteY8" fmla="*/ 42430 h 42430"/>
                <a:gd name="connsiteX9" fmla="*/ 30766 w 30765"/>
                <a:gd name="connsiteY9" fmla="*/ 42430 h 42430"/>
                <a:gd name="connsiteX10" fmla="*/ 30766 w 30765"/>
                <a:gd name="connsiteY10" fmla="*/ 37155 h 42430"/>
                <a:gd name="connsiteX11" fmla="*/ 6061 w 30765"/>
                <a:gd name="connsiteY11" fmla="*/ 37155 h 42430"/>
                <a:gd name="connsiteX12" fmla="*/ 6061 w 30765"/>
                <a:gd name="connsiteY12" fmla="*/ 23459 h 4243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</a:cxnLst>
              <a:rect l="l" t="t" r="r" b="b"/>
              <a:pathLst>
                <a:path w="30765" h="42430">
                  <a:moveTo>
                    <a:pt x="6061" y="23459"/>
                  </a:moveTo>
                  <a:lnTo>
                    <a:pt x="27325" y="23459"/>
                  </a:lnTo>
                  <a:lnTo>
                    <a:pt x="27325" y="18316"/>
                  </a:lnTo>
                  <a:lnTo>
                    <a:pt x="6061" y="18316"/>
                  </a:lnTo>
                  <a:lnTo>
                    <a:pt x="6061" y="5275"/>
                  </a:lnTo>
                  <a:lnTo>
                    <a:pt x="29947" y="5275"/>
                  </a:lnTo>
                  <a:lnTo>
                    <a:pt x="29947" y="0"/>
                  </a:lnTo>
                  <a:lnTo>
                    <a:pt x="0" y="0"/>
                  </a:lnTo>
                  <a:lnTo>
                    <a:pt x="0" y="42430"/>
                  </a:lnTo>
                  <a:lnTo>
                    <a:pt x="30766" y="42430"/>
                  </a:lnTo>
                  <a:lnTo>
                    <a:pt x="30766" y="37155"/>
                  </a:lnTo>
                  <a:lnTo>
                    <a:pt x="6061" y="37155"/>
                  </a:lnTo>
                  <a:lnTo>
                    <a:pt x="6061" y="23459"/>
                  </a:lnTo>
                  <a:close/>
                </a:path>
              </a:pathLst>
            </a:custGeom>
            <a:solidFill>
              <a:srgbClr val="7CC061"/>
            </a:solidFill>
            <a:ln w="9525" cap="flat">
              <a:noFill/>
              <a:prstDash val="solid"/>
              <a:miter/>
            </a:ln>
          </xdr:spPr>
          <xdr:txBody>
            <a:bodyPr wrap="square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US"/>
            </a:p>
          </xdr:txBody>
        </xdr:sp>
        <xdr:sp macro="" textlink="">
          <xdr:nvSpPr>
            <xdr:cNvPr id="18" name="Freeform: Shape 17">
              <a:extLst>
                <a:ext uri="{FF2B5EF4-FFF2-40B4-BE49-F238E27FC236}">
                  <a16:creationId xmlns:a16="http://schemas.microsoft.com/office/drawing/2014/main" id="{53D6CF82-5EB5-5045-F7E8-2929C6F4D6DB}"/>
                </a:ext>
              </a:extLst>
            </xdr:cNvPr>
            <xdr:cNvSpPr/>
          </xdr:nvSpPr>
          <xdr:spPr>
            <a:xfrm>
              <a:off x="676831" y="283866"/>
              <a:ext cx="51742" cy="34100"/>
            </a:xfrm>
            <a:custGeom>
              <a:avLst/>
              <a:gdLst>
                <a:gd name="connsiteX0" fmla="*/ 46918 w 64382"/>
                <a:gd name="connsiteY0" fmla="*/ 34664 h 42430"/>
                <a:gd name="connsiteX1" fmla="*/ 35222 w 64382"/>
                <a:gd name="connsiteY1" fmla="*/ 0 h 42430"/>
                <a:gd name="connsiteX2" fmla="*/ 29652 w 64382"/>
                <a:gd name="connsiteY2" fmla="*/ 0 h 42430"/>
                <a:gd name="connsiteX3" fmla="*/ 17725 w 64382"/>
                <a:gd name="connsiteY3" fmla="*/ 34501 h 42430"/>
                <a:gd name="connsiteX4" fmla="*/ 6258 w 64382"/>
                <a:gd name="connsiteY4" fmla="*/ 0 h 42430"/>
                <a:gd name="connsiteX5" fmla="*/ 0 w 64382"/>
                <a:gd name="connsiteY5" fmla="*/ 0 h 42430"/>
                <a:gd name="connsiteX6" fmla="*/ 14188 w 64382"/>
                <a:gd name="connsiteY6" fmla="*/ 42430 h 42430"/>
                <a:gd name="connsiteX7" fmla="*/ 20674 w 64382"/>
                <a:gd name="connsiteY7" fmla="*/ 42430 h 42430"/>
                <a:gd name="connsiteX8" fmla="*/ 32273 w 64382"/>
                <a:gd name="connsiteY8" fmla="*/ 8519 h 42430"/>
                <a:gd name="connsiteX9" fmla="*/ 43839 w 64382"/>
                <a:gd name="connsiteY9" fmla="*/ 42430 h 42430"/>
                <a:gd name="connsiteX10" fmla="*/ 50195 w 64382"/>
                <a:gd name="connsiteY10" fmla="*/ 42430 h 42430"/>
                <a:gd name="connsiteX11" fmla="*/ 64382 w 64382"/>
                <a:gd name="connsiteY11" fmla="*/ 0 h 42430"/>
                <a:gd name="connsiteX12" fmla="*/ 58616 w 64382"/>
                <a:gd name="connsiteY12" fmla="*/ 0 h 42430"/>
                <a:gd name="connsiteX13" fmla="*/ 46918 w 64382"/>
                <a:gd name="connsiteY13" fmla="*/ 34664 h 4243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</a:cxnLst>
              <a:rect l="l" t="t" r="r" b="b"/>
              <a:pathLst>
                <a:path w="64382" h="42430">
                  <a:moveTo>
                    <a:pt x="46918" y="34664"/>
                  </a:moveTo>
                  <a:lnTo>
                    <a:pt x="35222" y="0"/>
                  </a:lnTo>
                  <a:lnTo>
                    <a:pt x="29652" y="0"/>
                  </a:lnTo>
                  <a:lnTo>
                    <a:pt x="17725" y="34501"/>
                  </a:lnTo>
                  <a:lnTo>
                    <a:pt x="6258" y="0"/>
                  </a:lnTo>
                  <a:lnTo>
                    <a:pt x="0" y="0"/>
                  </a:lnTo>
                  <a:lnTo>
                    <a:pt x="14188" y="42430"/>
                  </a:lnTo>
                  <a:lnTo>
                    <a:pt x="20674" y="42430"/>
                  </a:lnTo>
                  <a:lnTo>
                    <a:pt x="32273" y="8519"/>
                  </a:lnTo>
                  <a:lnTo>
                    <a:pt x="43839" y="42430"/>
                  </a:lnTo>
                  <a:lnTo>
                    <a:pt x="50195" y="42430"/>
                  </a:lnTo>
                  <a:lnTo>
                    <a:pt x="64382" y="0"/>
                  </a:lnTo>
                  <a:lnTo>
                    <a:pt x="58616" y="0"/>
                  </a:lnTo>
                  <a:lnTo>
                    <a:pt x="46918" y="34664"/>
                  </a:lnTo>
                  <a:close/>
                </a:path>
              </a:pathLst>
            </a:custGeom>
            <a:solidFill>
              <a:srgbClr val="7CC061"/>
            </a:solidFill>
            <a:ln w="9525" cap="flat">
              <a:noFill/>
              <a:prstDash val="solid"/>
              <a:miter/>
            </a:ln>
          </xdr:spPr>
          <xdr:txBody>
            <a:bodyPr wrap="square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US"/>
            </a:p>
          </xdr:txBody>
        </xdr:sp>
        <xdr:sp macro="" textlink="">
          <xdr:nvSpPr>
            <xdr:cNvPr id="19" name="Freeform: Shape 18">
              <a:extLst>
                <a:ext uri="{FF2B5EF4-FFF2-40B4-BE49-F238E27FC236}">
                  <a16:creationId xmlns:a16="http://schemas.microsoft.com/office/drawing/2014/main" id="{62CD93FE-EE01-6E5B-0857-BB068999F52C}"/>
                </a:ext>
              </a:extLst>
            </xdr:cNvPr>
            <xdr:cNvSpPr/>
          </xdr:nvSpPr>
          <xdr:spPr>
            <a:xfrm>
              <a:off x="738026" y="283866"/>
              <a:ext cx="35732" cy="34100"/>
            </a:xfrm>
            <a:custGeom>
              <a:avLst/>
              <a:gdLst>
                <a:gd name="connsiteX0" fmla="*/ 19201 w 44461"/>
                <a:gd name="connsiteY0" fmla="*/ 0 h 42430"/>
                <a:gd name="connsiteX1" fmla="*/ 0 w 44461"/>
                <a:gd name="connsiteY1" fmla="*/ 42430 h 42430"/>
                <a:gd name="connsiteX2" fmla="*/ 6258 w 44461"/>
                <a:gd name="connsiteY2" fmla="*/ 42430 h 42430"/>
                <a:gd name="connsiteX3" fmla="*/ 10915 w 44461"/>
                <a:gd name="connsiteY3" fmla="*/ 31814 h 42430"/>
                <a:gd name="connsiteX4" fmla="*/ 33451 w 44461"/>
                <a:gd name="connsiteY4" fmla="*/ 31814 h 42430"/>
                <a:gd name="connsiteX5" fmla="*/ 38109 w 44461"/>
                <a:gd name="connsiteY5" fmla="*/ 42430 h 42430"/>
                <a:gd name="connsiteX6" fmla="*/ 44462 w 44461"/>
                <a:gd name="connsiteY6" fmla="*/ 42430 h 42430"/>
                <a:gd name="connsiteX7" fmla="*/ 25193 w 44461"/>
                <a:gd name="connsiteY7" fmla="*/ 0 h 42430"/>
                <a:gd name="connsiteX8" fmla="*/ 19201 w 44461"/>
                <a:gd name="connsiteY8" fmla="*/ 0 h 42430"/>
                <a:gd name="connsiteX9" fmla="*/ 13010 w 44461"/>
                <a:gd name="connsiteY9" fmla="*/ 26965 h 42430"/>
                <a:gd name="connsiteX10" fmla="*/ 22145 w 44461"/>
                <a:gd name="connsiteY10" fmla="*/ 6160 h 42430"/>
                <a:gd name="connsiteX11" fmla="*/ 31289 w 44461"/>
                <a:gd name="connsiteY11" fmla="*/ 26965 h 42430"/>
                <a:gd name="connsiteX12" fmla="*/ 13010 w 44461"/>
                <a:gd name="connsiteY12" fmla="*/ 26965 h 4243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</a:cxnLst>
              <a:rect l="l" t="t" r="r" b="b"/>
              <a:pathLst>
                <a:path w="44461" h="42430">
                  <a:moveTo>
                    <a:pt x="19201" y="0"/>
                  </a:moveTo>
                  <a:lnTo>
                    <a:pt x="0" y="42430"/>
                  </a:lnTo>
                  <a:lnTo>
                    <a:pt x="6258" y="42430"/>
                  </a:lnTo>
                  <a:lnTo>
                    <a:pt x="10915" y="31814"/>
                  </a:lnTo>
                  <a:lnTo>
                    <a:pt x="33451" y="31814"/>
                  </a:lnTo>
                  <a:lnTo>
                    <a:pt x="38109" y="42430"/>
                  </a:lnTo>
                  <a:lnTo>
                    <a:pt x="44462" y="42430"/>
                  </a:lnTo>
                  <a:lnTo>
                    <a:pt x="25193" y="0"/>
                  </a:lnTo>
                  <a:lnTo>
                    <a:pt x="19201" y="0"/>
                  </a:lnTo>
                  <a:close/>
                  <a:moveTo>
                    <a:pt x="13010" y="26965"/>
                  </a:moveTo>
                  <a:lnTo>
                    <a:pt x="22145" y="6160"/>
                  </a:lnTo>
                  <a:lnTo>
                    <a:pt x="31289" y="26965"/>
                  </a:lnTo>
                  <a:lnTo>
                    <a:pt x="13010" y="26965"/>
                  </a:lnTo>
                  <a:close/>
                </a:path>
              </a:pathLst>
            </a:custGeom>
            <a:solidFill>
              <a:srgbClr val="7CC061"/>
            </a:solidFill>
            <a:ln w="9525" cap="flat">
              <a:noFill/>
              <a:prstDash val="solid"/>
              <a:miter/>
            </a:ln>
          </xdr:spPr>
          <xdr:txBody>
            <a:bodyPr wrap="square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US"/>
            </a:p>
          </xdr:txBody>
        </xdr:sp>
        <xdr:sp macro="" textlink="">
          <xdr:nvSpPr>
            <xdr:cNvPr id="20" name="Freeform: Shape 19">
              <a:extLst>
                <a:ext uri="{FF2B5EF4-FFF2-40B4-BE49-F238E27FC236}">
                  <a16:creationId xmlns:a16="http://schemas.microsoft.com/office/drawing/2014/main" id="{346C7E6C-074E-B261-9697-C6A840512887}"/>
                </a:ext>
              </a:extLst>
            </xdr:cNvPr>
            <xdr:cNvSpPr/>
          </xdr:nvSpPr>
          <xdr:spPr>
            <a:xfrm>
              <a:off x="788587" y="283866"/>
              <a:ext cx="29326" cy="34100"/>
            </a:xfrm>
            <a:custGeom>
              <a:avLst/>
              <a:gdLst>
                <a:gd name="connsiteX0" fmla="*/ 30404 w 36490"/>
                <a:gd name="connsiteY0" fmla="*/ 21166 h 42430"/>
                <a:gd name="connsiteX1" fmla="*/ 28337 w 36490"/>
                <a:gd name="connsiteY1" fmla="*/ 20510 h 42430"/>
                <a:gd name="connsiteX2" fmla="*/ 28537 w 36490"/>
                <a:gd name="connsiteY2" fmla="*/ 20445 h 42430"/>
                <a:gd name="connsiteX3" fmla="*/ 32690 w 36490"/>
                <a:gd name="connsiteY3" fmla="*/ 16808 h 42430"/>
                <a:gd name="connsiteX4" fmla="*/ 34233 w 36490"/>
                <a:gd name="connsiteY4" fmla="*/ 10977 h 42430"/>
                <a:gd name="connsiteX5" fmla="*/ 30299 w 36490"/>
                <a:gd name="connsiteY5" fmla="*/ 2949 h 42430"/>
                <a:gd name="connsiteX6" fmla="*/ 19031 w 36490"/>
                <a:gd name="connsiteY6" fmla="*/ 0 h 42430"/>
                <a:gd name="connsiteX7" fmla="*/ 0 w 36490"/>
                <a:gd name="connsiteY7" fmla="*/ 0 h 42430"/>
                <a:gd name="connsiteX8" fmla="*/ 0 w 36490"/>
                <a:gd name="connsiteY8" fmla="*/ 42430 h 42430"/>
                <a:gd name="connsiteX9" fmla="*/ 20241 w 36490"/>
                <a:gd name="connsiteY9" fmla="*/ 42430 h 42430"/>
                <a:gd name="connsiteX10" fmla="*/ 32404 w 36490"/>
                <a:gd name="connsiteY10" fmla="*/ 39415 h 42430"/>
                <a:gd name="connsiteX11" fmla="*/ 36490 w 36490"/>
                <a:gd name="connsiteY11" fmla="*/ 30962 h 42430"/>
                <a:gd name="connsiteX12" fmla="*/ 34852 w 36490"/>
                <a:gd name="connsiteY12" fmla="*/ 24868 h 42430"/>
                <a:gd name="connsiteX13" fmla="*/ 30432 w 36490"/>
                <a:gd name="connsiteY13" fmla="*/ 21133 h 42430"/>
                <a:gd name="connsiteX14" fmla="*/ 30404 w 36490"/>
                <a:gd name="connsiteY14" fmla="*/ 21166 h 42430"/>
                <a:gd name="connsiteX15" fmla="*/ 6020 w 36490"/>
                <a:gd name="connsiteY15" fmla="*/ 4915 h 42430"/>
                <a:gd name="connsiteX16" fmla="*/ 18440 w 36490"/>
                <a:gd name="connsiteY16" fmla="*/ 4915 h 42430"/>
                <a:gd name="connsiteX17" fmla="*/ 25584 w 36490"/>
                <a:gd name="connsiteY17" fmla="*/ 6619 h 42430"/>
                <a:gd name="connsiteX18" fmla="*/ 28137 w 36490"/>
                <a:gd name="connsiteY18" fmla="*/ 11697 h 42430"/>
                <a:gd name="connsiteX19" fmla="*/ 25584 w 36490"/>
                <a:gd name="connsiteY19" fmla="*/ 16775 h 42430"/>
                <a:gd name="connsiteX20" fmla="*/ 18440 w 36490"/>
                <a:gd name="connsiteY20" fmla="*/ 18479 h 42430"/>
                <a:gd name="connsiteX21" fmla="*/ 6020 w 36490"/>
                <a:gd name="connsiteY21" fmla="*/ 18479 h 42430"/>
                <a:gd name="connsiteX22" fmla="*/ 6020 w 36490"/>
                <a:gd name="connsiteY22" fmla="*/ 4915 h 42430"/>
                <a:gd name="connsiteX23" fmla="*/ 27651 w 36490"/>
                <a:gd name="connsiteY23" fmla="*/ 35811 h 42430"/>
                <a:gd name="connsiteX24" fmla="*/ 19945 w 36490"/>
                <a:gd name="connsiteY24" fmla="*/ 37515 h 42430"/>
                <a:gd name="connsiteX25" fmla="*/ 6020 w 36490"/>
                <a:gd name="connsiteY25" fmla="*/ 37515 h 42430"/>
                <a:gd name="connsiteX26" fmla="*/ 6020 w 36490"/>
                <a:gd name="connsiteY26" fmla="*/ 23394 h 42430"/>
                <a:gd name="connsiteX27" fmla="*/ 19945 w 36490"/>
                <a:gd name="connsiteY27" fmla="*/ 23394 h 42430"/>
                <a:gd name="connsiteX28" fmla="*/ 27651 w 36490"/>
                <a:gd name="connsiteY28" fmla="*/ 25097 h 42430"/>
                <a:gd name="connsiteX29" fmla="*/ 30299 w 36490"/>
                <a:gd name="connsiteY29" fmla="*/ 30504 h 42430"/>
                <a:gd name="connsiteX30" fmla="*/ 27651 w 36490"/>
                <a:gd name="connsiteY30" fmla="*/ 35844 h 42430"/>
                <a:gd name="connsiteX31" fmla="*/ 27651 w 36490"/>
                <a:gd name="connsiteY31" fmla="*/ 35811 h 4243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  <a:cxn ang="0">
                  <a:pos x="connsiteX26" y="connsiteY26"/>
                </a:cxn>
                <a:cxn ang="0">
                  <a:pos x="connsiteX27" y="connsiteY27"/>
                </a:cxn>
                <a:cxn ang="0">
                  <a:pos x="connsiteX28" y="connsiteY28"/>
                </a:cxn>
                <a:cxn ang="0">
                  <a:pos x="connsiteX29" y="connsiteY29"/>
                </a:cxn>
                <a:cxn ang="0">
                  <a:pos x="connsiteX30" y="connsiteY30"/>
                </a:cxn>
                <a:cxn ang="0">
                  <a:pos x="connsiteX31" y="connsiteY31"/>
                </a:cxn>
              </a:cxnLst>
              <a:rect l="l" t="t" r="r" b="b"/>
              <a:pathLst>
                <a:path w="36490" h="42430">
                  <a:moveTo>
                    <a:pt x="30404" y="21166"/>
                  </a:moveTo>
                  <a:cubicBezTo>
                    <a:pt x="29747" y="20871"/>
                    <a:pt x="29023" y="20707"/>
                    <a:pt x="28337" y="20510"/>
                  </a:cubicBezTo>
                  <a:cubicBezTo>
                    <a:pt x="28404" y="20510"/>
                    <a:pt x="28470" y="20478"/>
                    <a:pt x="28537" y="20445"/>
                  </a:cubicBezTo>
                  <a:cubicBezTo>
                    <a:pt x="30270" y="19593"/>
                    <a:pt x="31642" y="18381"/>
                    <a:pt x="32690" y="16808"/>
                  </a:cubicBezTo>
                  <a:cubicBezTo>
                    <a:pt x="33709" y="15235"/>
                    <a:pt x="34233" y="13303"/>
                    <a:pt x="34233" y="10977"/>
                  </a:cubicBezTo>
                  <a:cubicBezTo>
                    <a:pt x="34233" y="7569"/>
                    <a:pt x="32928" y="4915"/>
                    <a:pt x="30299" y="2949"/>
                  </a:cubicBezTo>
                  <a:cubicBezTo>
                    <a:pt x="27680" y="983"/>
                    <a:pt x="23917" y="0"/>
                    <a:pt x="19031" y="0"/>
                  </a:cubicBezTo>
                  <a:lnTo>
                    <a:pt x="0" y="0"/>
                  </a:lnTo>
                  <a:lnTo>
                    <a:pt x="0" y="42430"/>
                  </a:lnTo>
                  <a:lnTo>
                    <a:pt x="20241" y="42430"/>
                  </a:lnTo>
                  <a:cubicBezTo>
                    <a:pt x="25613" y="42430"/>
                    <a:pt x="29680" y="41415"/>
                    <a:pt x="32404" y="39415"/>
                  </a:cubicBezTo>
                  <a:cubicBezTo>
                    <a:pt x="35119" y="37417"/>
                    <a:pt x="36490" y="34600"/>
                    <a:pt x="36490" y="30962"/>
                  </a:cubicBezTo>
                  <a:cubicBezTo>
                    <a:pt x="36490" y="28538"/>
                    <a:pt x="35938" y="26506"/>
                    <a:pt x="34852" y="24868"/>
                  </a:cubicBezTo>
                  <a:cubicBezTo>
                    <a:pt x="33776" y="23231"/>
                    <a:pt x="32299" y="21985"/>
                    <a:pt x="30432" y="21133"/>
                  </a:cubicBezTo>
                  <a:lnTo>
                    <a:pt x="30404" y="21166"/>
                  </a:lnTo>
                  <a:close/>
                  <a:moveTo>
                    <a:pt x="6020" y="4915"/>
                  </a:moveTo>
                  <a:lnTo>
                    <a:pt x="18440" y="4915"/>
                  </a:lnTo>
                  <a:cubicBezTo>
                    <a:pt x="21517" y="4915"/>
                    <a:pt x="23879" y="5472"/>
                    <a:pt x="25584" y="6619"/>
                  </a:cubicBezTo>
                  <a:cubicBezTo>
                    <a:pt x="27289" y="7766"/>
                    <a:pt x="28137" y="9436"/>
                    <a:pt x="28137" y="11697"/>
                  </a:cubicBezTo>
                  <a:cubicBezTo>
                    <a:pt x="28137" y="13958"/>
                    <a:pt x="27289" y="15662"/>
                    <a:pt x="25584" y="16775"/>
                  </a:cubicBezTo>
                  <a:cubicBezTo>
                    <a:pt x="23879" y="17922"/>
                    <a:pt x="21488" y="18479"/>
                    <a:pt x="18440" y="18479"/>
                  </a:cubicBezTo>
                  <a:lnTo>
                    <a:pt x="6020" y="18479"/>
                  </a:lnTo>
                  <a:lnTo>
                    <a:pt x="6020" y="4915"/>
                  </a:lnTo>
                  <a:close/>
                  <a:moveTo>
                    <a:pt x="27651" y="35811"/>
                  </a:moveTo>
                  <a:cubicBezTo>
                    <a:pt x="25879" y="36958"/>
                    <a:pt x="23289" y="37515"/>
                    <a:pt x="19945" y="37515"/>
                  </a:cubicBezTo>
                  <a:lnTo>
                    <a:pt x="6020" y="37515"/>
                  </a:lnTo>
                  <a:lnTo>
                    <a:pt x="6020" y="23394"/>
                  </a:lnTo>
                  <a:lnTo>
                    <a:pt x="19945" y="23394"/>
                  </a:lnTo>
                  <a:cubicBezTo>
                    <a:pt x="23289" y="23394"/>
                    <a:pt x="25879" y="23951"/>
                    <a:pt x="27651" y="25097"/>
                  </a:cubicBezTo>
                  <a:cubicBezTo>
                    <a:pt x="29413" y="26244"/>
                    <a:pt x="30299" y="28014"/>
                    <a:pt x="30299" y="30504"/>
                  </a:cubicBezTo>
                  <a:cubicBezTo>
                    <a:pt x="30299" y="32994"/>
                    <a:pt x="29413" y="34698"/>
                    <a:pt x="27651" y="35844"/>
                  </a:cubicBezTo>
                  <a:lnTo>
                    <a:pt x="27651" y="35811"/>
                  </a:lnTo>
                  <a:close/>
                </a:path>
              </a:pathLst>
            </a:custGeom>
            <a:solidFill>
              <a:srgbClr val="7CC061"/>
            </a:solidFill>
            <a:ln w="9525" cap="flat">
              <a:noFill/>
              <a:prstDash val="solid"/>
              <a:miter/>
            </a:ln>
          </xdr:spPr>
          <xdr:txBody>
            <a:bodyPr wrap="square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US"/>
            </a:p>
          </xdr:txBody>
        </xdr:sp>
        <xdr:sp macro="" textlink="">
          <xdr:nvSpPr>
            <xdr:cNvPr id="21" name="Freeform: Shape 20">
              <a:extLst>
                <a:ext uri="{FF2B5EF4-FFF2-40B4-BE49-F238E27FC236}">
                  <a16:creationId xmlns:a16="http://schemas.microsoft.com/office/drawing/2014/main" id="{45218715-1174-ED52-404F-EF7558557A97}"/>
                </a:ext>
              </a:extLst>
            </xdr:cNvPr>
            <xdr:cNvSpPr/>
          </xdr:nvSpPr>
          <xdr:spPr>
            <a:xfrm>
              <a:off x="835168" y="283866"/>
              <a:ext cx="23324" cy="34100"/>
            </a:xfrm>
            <a:custGeom>
              <a:avLst/>
              <a:gdLst>
                <a:gd name="connsiteX0" fmla="*/ 6058 w 29022"/>
                <a:gd name="connsiteY0" fmla="*/ 0 h 42430"/>
                <a:gd name="connsiteX1" fmla="*/ 0 w 29022"/>
                <a:gd name="connsiteY1" fmla="*/ 0 h 42430"/>
                <a:gd name="connsiteX2" fmla="*/ 0 w 29022"/>
                <a:gd name="connsiteY2" fmla="*/ 42430 h 42430"/>
                <a:gd name="connsiteX3" fmla="*/ 29023 w 29022"/>
                <a:gd name="connsiteY3" fmla="*/ 42430 h 42430"/>
                <a:gd name="connsiteX4" fmla="*/ 29023 w 29022"/>
                <a:gd name="connsiteY4" fmla="*/ 37155 h 42430"/>
                <a:gd name="connsiteX5" fmla="*/ 6058 w 29022"/>
                <a:gd name="connsiteY5" fmla="*/ 37155 h 42430"/>
                <a:gd name="connsiteX6" fmla="*/ 6058 w 29022"/>
                <a:gd name="connsiteY6" fmla="*/ 0 h 4243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</a:cxnLst>
              <a:rect l="l" t="t" r="r" b="b"/>
              <a:pathLst>
                <a:path w="29022" h="42430">
                  <a:moveTo>
                    <a:pt x="6058" y="0"/>
                  </a:moveTo>
                  <a:lnTo>
                    <a:pt x="0" y="0"/>
                  </a:lnTo>
                  <a:lnTo>
                    <a:pt x="0" y="42430"/>
                  </a:lnTo>
                  <a:lnTo>
                    <a:pt x="29023" y="42430"/>
                  </a:lnTo>
                  <a:lnTo>
                    <a:pt x="29023" y="37155"/>
                  </a:lnTo>
                  <a:lnTo>
                    <a:pt x="6058" y="37155"/>
                  </a:lnTo>
                  <a:lnTo>
                    <a:pt x="6058" y="0"/>
                  </a:lnTo>
                  <a:close/>
                </a:path>
              </a:pathLst>
            </a:custGeom>
            <a:solidFill>
              <a:srgbClr val="7CC061"/>
            </a:solidFill>
            <a:ln w="9525" cap="flat">
              <a:noFill/>
              <a:prstDash val="solid"/>
              <a:miter/>
            </a:ln>
          </xdr:spPr>
          <xdr:txBody>
            <a:bodyPr wrap="square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US"/>
            </a:p>
          </xdr:txBody>
        </xdr:sp>
        <xdr:sp macro="" textlink="">
          <xdr:nvSpPr>
            <xdr:cNvPr id="22" name="Freeform: Shape 21">
              <a:extLst>
                <a:ext uri="{FF2B5EF4-FFF2-40B4-BE49-F238E27FC236}">
                  <a16:creationId xmlns:a16="http://schemas.microsoft.com/office/drawing/2014/main" id="{5305C98B-92FC-1869-28FC-ACA4FBE20D39}"/>
                </a:ext>
              </a:extLst>
            </xdr:cNvPr>
            <xdr:cNvSpPr/>
          </xdr:nvSpPr>
          <xdr:spPr>
            <a:xfrm>
              <a:off x="873848" y="283866"/>
              <a:ext cx="24725" cy="34100"/>
            </a:xfrm>
            <a:custGeom>
              <a:avLst/>
              <a:gdLst>
                <a:gd name="connsiteX0" fmla="*/ 6058 w 30765"/>
                <a:gd name="connsiteY0" fmla="*/ 23459 h 42430"/>
                <a:gd name="connsiteX1" fmla="*/ 27318 w 30765"/>
                <a:gd name="connsiteY1" fmla="*/ 23459 h 42430"/>
                <a:gd name="connsiteX2" fmla="*/ 27318 w 30765"/>
                <a:gd name="connsiteY2" fmla="*/ 18316 h 42430"/>
                <a:gd name="connsiteX3" fmla="*/ 6058 w 30765"/>
                <a:gd name="connsiteY3" fmla="*/ 18316 h 42430"/>
                <a:gd name="connsiteX4" fmla="*/ 6058 w 30765"/>
                <a:gd name="connsiteY4" fmla="*/ 5275 h 42430"/>
                <a:gd name="connsiteX5" fmla="*/ 29947 w 30765"/>
                <a:gd name="connsiteY5" fmla="*/ 5275 h 42430"/>
                <a:gd name="connsiteX6" fmla="*/ 29947 w 30765"/>
                <a:gd name="connsiteY6" fmla="*/ 0 h 42430"/>
                <a:gd name="connsiteX7" fmla="*/ 0 w 30765"/>
                <a:gd name="connsiteY7" fmla="*/ 0 h 42430"/>
                <a:gd name="connsiteX8" fmla="*/ 0 w 30765"/>
                <a:gd name="connsiteY8" fmla="*/ 42430 h 42430"/>
                <a:gd name="connsiteX9" fmla="*/ 30766 w 30765"/>
                <a:gd name="connsiteY9" fmla="*/ 42430 h 42430"/>
                <a:gd name="connsiteX10" fmla="*/ 30766 w 30765"/>
                <a:gd name="connsiteY10" fmla="*/ 37155 h 42430"/>
                <a:gd name="connsiteX11" fmla="*/ 6058 w 30765"/>
                <a:gd name="connsiteY11" fmla="*/ 37155 h 42430"/>
                <a:gd name="connsiteX12" fmla="*/ 6058 w 30765"/>
                <a:gd name="connsiteY12" fmla="*/ 23459 h 4243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</a:cxnLst>
              <a:rect l="l" t="t" r="r" b="b"/>
              <a:pathLst>
                <a:path w="30765" h="42430">
                  <a:moveTo>
                    <a:pt x="6058" y="23459"/>
                  </a:moveTo>
                  <a:lnTo>
                    <a:pt x="27318" y="23459"/>
                  </a:lnTo>
                  <a:lnTo>
                    <a:pt x="27318" y="18316"/>
                  </a:lnTo>
                  <a:lnTo>
                    <a:pt x="6058" y="18316"/>
                  </a:lnTo>
                  <a:lnTo>
                    <a:pt x="6058" y="5275"/>
                  </a:lnTo>
                  <a:lnTo>
                    <a:pt x="29947" y="5275"/>
                  </a:lnTo>
                  <a:lnTo>
                    <a:pt x="29947" y="0"/>
                  </a:lnTo>
                  <a:lnTo>
                    <a:pt x="0" y="0"/>
                  </a:lnTo>
                  <a:lnTo>
                    <a:pt x="0" y="42430"/>
                  </a:lnTo>
                  <a:lnTo>
                    <a:pt x="30766" y="42430"/>
                  </a:lnTo>
                  <a:lnTo>
                    <a:pt x="30766" y="37155"/>
                  </a:lnTo>
                  <a:lnTo>
                    <a:pt x="6058" y="37155"/>
                  </a:lnTo>
                  <a:lnTo>
                    <a:pt x="6058" y="23459"/>
                  </a:lnTo>
                  <a:close/>
                </a:path>
              </a:pathLst>
            </a:custGeom>
            <a:solidFill>
              <a:srgbClr val="7CC061"/>
            </a:solidFill>
            <a:ln w="9525" cap="flat">
              <a:noFill/>
              <a:prstDash val="solid"/>
              <a:miter/>
            </a:ln>
          </xdr:spPr>
          <xdr:txBody>
            <a:bodyPr wrap="square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US"/>
            </a:p>
          </xdr:txBody>
        </xdr:sp>
        <xdr:sp macro="" textlink="">
          <xdr:nvSpPr>
            <xdr:cNvPr id="23" name="Freeform: Shape 22">
              <a:extLst>
                <a:ext uri="{FF2B5EF4-FFF2-40B4-BE49-F238E27FC236}">
                  <a16:creationId xmlns:a16="http://schemas.microsoft.com/office/drawing/2014/main" id="{6BF3A0A7-D126-0DAF-3567-D9E3871D079A}"/>
                </a:ext>
              </a:extLst>
            </xdr:cNvPr>
            <xdr:cNvSpPr/>
          </xdr:nvSpPr>
          <xdr:spPr>
            <a:xfrm>
              <a:off x="939046" y="283866"/>
              <a:ext cx="24748" cy="34100"/>
            </a:xfrm>
            <a:custGeom>
              <a:avLst/>
              <a:gdLst>
                <a:gd name="connsiteX0" fmla="*/ 6058 w 30794"/>
                <a:gd name="connsiteY0" fmla="*/ 23459 h 42430"/>
                <a:gd name="connsiteX1" fmla="*/ 27356 w 30794"/>
                <a:gd name="connsiteY1" fmla="*/ 23459 h 42430"/>
                <a:gd name="connsiteX2" fmla="*/ 27356 w 30794"/>
                <a:gd name="connsiteY2" fmla="*/ 18316 h 42430"/>
                <a:gd name="connsiteX3" fmla="*/ 6058 w 30794"/>
                <a:gd name="connsiteY3" fmla="*/ 18316 h 42430"/>
                <a:gd name="connsiteX4" fmla="*/ 6058 w 30794"/>
                <a:gd name="connsiteY4" fmla="*/ 5275 h 42430"/>
                <a:gd name="connsiteX5" fmla="*/ 29947 w 30794"/>
                <a:gd name="connsiteY5" fmla="*/ 5275 h 42430"/>
                <a:gd name="connsiteX6" fmla="*/ 29947 w 30794"/>
                <a:gd name="connsiteY6" fmla="*/ 0 h 42430"/>
                <a:gd name="connsiteX7" fmla="*/ 0 w 30794"/>
                <a:gd name="connsiteY7" fmla="*/ 0 h 42430"/>
                <a:gd name="connsiteX8" fmla="*/ 0 w 30794"/>
                <a:gd name="connsiteY8" fmla="*/ 42430 h 42430"/>
                <a:gd name="connsiteX9" fmla="*/ 30794 w 30794"/>
                <a:gd name="connsiteY9" fmla="*/ 42430 h 42430"/>
                <a:gd name="connsiteX10" fmla="*/ 30794 w 30794"/>
                <a:gd name="connsiteY10" fmla="*/ 37155 h 42430"/>
                <a:gd name="connsiteX11" fmla="*/ 6058 w 30794"/>
                <a:gd name="connsiteY11" fmla="*/ 37155 h 42430"/>
                <a:gd name="connsiteX12" fmla="*/ 6058 w 30794"/>
                <a:gd name="connsiteY12" fmla="*/ 23459 h 4243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</a:cxnLst>
              <a:rect l="l" t="t" r="r" b="b"/>
              <a:pathLst>
                <a:path w="30794" h="42430">
                  <a:moveTo>
                    <a:pt x="6058" y="23459"/>
                  </a:moveTo>
                  <a:lnTo>
                    <a:pt x="27356" y="23459"/>
                  </a:lnTo>
                  <a:lnTo>
                    <a:pt x="27356" y="18316"/>
                  </a:lnTo>
                  <a:lnTo>
                    <a:pt x="6058" y="18316"/>
                  </a:lnTo>
                  <a:lnTo>
                    <a:pt x="6058" y="5275"/>
                  </a:lnTo>
                  <a:lnTo>
                    <a:pt x="29947" y="5275"/>
                  </a:lnTo>
                  <a:lnTo>
                    <a:pt x="29947" y="0"/>
                  </a:lnTo>
                  <a:lnTo>
                    <a:pt x="0" y="0"/>
                  </a:lnTo>
                  <a:lnTo>
                    <a:pt x="0" y="42430"/>
                  </a:lnTo>
                  <a:lnTo>
                    <a:pt x="30794" y="42430"/>
                  </a:lnTo>
                  <a:lnTo>
                    <a:pt x="30794" y="37155"/>
                  </a:lnTo>
                  <a:lnTo>
                    <a:pt x="6058" y="37155"/>
                  </a:lnTo>
                  <a:lnTo>
                    <a:pt x="6058" y="23459"/>
                  </a:lnTo>
                  <a:close/>
                </a:path>
              </a:pathLst>
            </a:custGeom>
            <a:solidFill>
              <a:srgbClr val="7CC061"/>
            </a:solidFill>
            <a:ln w="9525" cap="flat">
              <a:noFill/>
              <a:prstDash val="solid"/>
              <a:miter/>
            </a:ln>
          </xdr:spPr>
          <xdr:txBody>
            <a:bodyPr wrap="square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US"/>
            </a:p>
          </xdr:txBody>
        </xdr:sp>
        <xdr:sp macro="" textlink="">
          <xdr:nvSpPr>
            <xdr:cNvPr id="24" name="Freeform: Shape 23">
              <a:extLst>
                <a:ext uri="{FF2B5EF4-FFF2-40B4-BE49-F238E27FC236}">
                  <a16:creationId xmlns:a16="http://schemas.microsoft.com/office/drawing/2014/main" id="{CEEF66CD-DC36-39AB-9FC0-382697888D3D}"/>
                </a:ext>
              </a:extLst>
            </xdr:cNvPr>
            <xdr:cNvSpPr/>
          </xdr:nvSpPr>
          <xdr:spPr>
            <a:xfrm>
              <a:off x="981439" y="283866"/>
              <a:ext cx="29303" cy="34100"/>
            </a:xfrm>
            <a:custGeom>
              <a:avLst/>
              <a:gdLst>
                <a:gd name="connsiteX0" fmla="*/ 30404 w 36461"/>
                <a:gd name="connsiteY0" fmla="*/ 31617 h 42430"/>
                <a:gd name="connsiteX1" fmla="*/ 4944 w 36461"/>
                <a:gd name="connsiteY1" fmla="*/ 0 h 42430"/>
                <a:gd name="connsiteX2" fmla="*/ 0 w 36461"/>
                <a:gd name="connsiteY2" fmla="*/ 0 h 42430"/>
                <a:gd name="connsiteX3" fmla="*/ 0 w 36461"/>
                <a:gd name="connsiteY3" fmla="*/ 42430 h 42430"/>
                <a:gd name="connsiteX4" fmla="*/ 6029 w 36461"/>
                <a:gd name="connsiteY4" fmla="*/ 42430 h 42430"/>
                <a:gd name="connsiteX5" fmla="*/ 6029 w 36461"/>
                <a:gd name="connsiteY5" fmla="*/ 10813 h 42430"/>
                <a:gd name="connsiteX6" fmla="*/ 31480 w 36461"/>
                <a:gd name="connsiteY6" fmla="*/ 42430 h 42430"/>
                <a:gd name="connsiteX7" fmla="*/ 36462 w 36461"/>
                <a:gd name="connsiteY7" fmla="*/ 42430 h 42430"/>
                <a:gd name="connsiteX8" fmla="*/ 36462 w 36461"/>
                <a:gd name="connsiteY8" fmla="*/ 0 h 42430"/>
                <a:gd name="connsiteX9" fmla="*/ 30404 w 36461"/>
                <a:gd name="connsiteY9" fmla="*/ 0 h 42430"/>
                <a:gd name="connsiteX10" fmla="*/ 30404 w 36461"/>
                <a:gd name="connsiteY10" fmla="*/ 31617 h 4243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</a:cxnLst>
              <a:rect l="l" t="t" r="r" b="b"/>
              <a:pathLst>
                <a:path w="36461" h="42430">
                  <a:moveTo>
                    <a:pt x="30404" y="31617"/>
                  </a:moveTo>
                  <a:lnTo>
                    <a:pt x="4944" y="0"/>
                  </a:lnTo>
                  <a:lnTo>
                    <a:pt x="0" y="0"/>
                  </a:lnTo>
                  <a:lnTo>
                    <a:pt x="0" y="42430"/>
                  </a:lnTo>
                  <a:lnTo>
                    <a:pt x="6029" y="42430"/>
                  </a:lnTo>
                  <a:lnTo>
                    <a:pt x="6029" y="10813"/>
                  </a:lnTo>
                  <a:lnTo>
                    <a:pt x="31480" y="42430"/>
                  </a:lnTo>
                  <a:lnTo>
                    <a:pt x="36462" y="42430"/>
                  </a:lnTo>
                  <a:lnTo>
                    <a:pt x="36462" y="0"/>
                  </a:lnTo>
                  <a:lnTo>
                    <a:pt x="30404" y="0"/>
                  </a:lnTo>
                  <a:lnTo>
                    <a:pt x="30404" y="31617"/>
                  </a:lnTo>
                  <a:close/>
                </a:path>
              </a:pathLst>
            </a:custGeom>
            <a:solidFill>
              <a:srgbClr val="7CC061"/>
            </a:solidFill>
            <a:ln w="9525" cap="flat">
              <a:noFill/>
              <a:prstDash val="solid"/>
              <a:miter/>
            </a:ln>
          </xdr:spPr>
          <xdr:txBody>
            <a:bodyPr wrap="square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US"/>
            </a:p>
          </xdr:txBody>
        </xdr:sp>
        <xdr:sp macro="" textlink="">
          <xdr:nvSpPr>
            <xdr:cNvPr id="25" name="Freeform: Shape 24">
              <a:extLst>
                <a:ext uri="{FF2B5EF4-FFF2-40B4-BE49-F238E27FC236}">
                  <a16:creationId xmlns:a16="http://schemas.microsoft.com/office/drawing/2014/main" id="{63E97542-A88F-4FEE-D310-1E3BED83FBAD}"/>
                </a:ext>
              </a:extLst>
            </xdr:cNvPr>
            <xdr:cNvSpPr/>
          </xdr:nvSpPr>
          <xdr:spPr>
            <a:xfrm>
              <a:off x="1030707" y="283866"/>
              <a:ext cx="24748" cy="34100"/>
            </a:xfrm>
            <a:custGeom>
              <a:avLst/>
              <a:gdLst>
                <a:gd name="connsiteX0" fmla="*/ 6058 w 30794"/>
                <a:gd name="connsiteY0" fmla="*/ 23459 h 42430"/>
                <a:gd name="connsiteX1" fmla="*/ 27327 w 30794"/>
                <a:gd name="connsiteY1" fmla="*/ 23459 h 42430"/>
                <a:gd name="connsiteX2" fmla="*/ 27327 w 30794"/>
                <a:gd name="connsiteY2" fmla="*/ 18316 h 42430"/>
                <a:gd name="connsiteX3" fmla="*/ 6058 w 30794"/>
                <a:gd name="connsiteY3" fmla="*/ 18316 h 42430"/>
                <a:gd name="connsiteX4" fmla="*/ 6058 w 30794"/>
                <a:gd name="connsiteY4" fmla="*/ 5275 h 42430"/>
                <a:gd name="connsiteX5" fmla="*/ 29947 w 30794"/>
                <a:gd name="connsiteY5" fmla="*/ 5275 h 42430"/>
                <a:gd name="connsiteX6" fmla="*/ 29947 w 30794"/>
                <a:gd name="connsiteY6" fmla="*/ 0 h 42430"/>
                <a:gd name="connsiteX7" fmla="*/ 0 w 30794"/>
                <a:gd name="connsiteY7" fmla="*/ 0 h 42430"/>
                <a:gd name="connsiteX8" fmla="*/ 0 w 30794"/>
                <a:gd name="connsiteY8" fmla="*/ 42430 h 42430"/>
                <a:gd name="connsiteX9" fmla="*/ 30794 w 30794"/>
                <a:gd name="connsiteY9" fmla="*/ 42430 h 42430"/>
                <a:gd name="connsiteX10" fmla="*/ 30794 w 30794"/>
                <a:gd name="connsiteY10" fmla="*/ 37155 h 42430"/>
                <a:gd name="connsiteX11" fmla="*/ 6058 w 30794"/>
                <a:gd name="connsiteY11" fmla="*/ 37155 h 42430"/>
                <a:gd name="connsiteX12" fmla="*/ 6058 w 30794"/>
                <a:gd name="connsiteY12" fmla="*/ 23459 h 4243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</a:cxnLst>
              <a:rect l="l" t="t" r="r" b="b"/>
              <a:pathLst>
                <a:path w="30794" h="42430">
                  <a:moveTo>
                    <a:pt x="6058" y="23459"/>
                  </a:moveTo>
                  <a:lnTo>
                    <a:pt x="27327" y="23459"/>
                  </a:lnTo>
                  <a:lnTo>
                    <a:pt x="27327" y="18316"/>
                  </a:lnTo>
                  <a:lnTo>
                    <a:pt x="6058" y="18316"/>
                  </a:lnTo>
                  <a:lnTo>
                    <a:pt x="6058" y="5275"/>
                  </a:lnTo>
                  <a:lnTo>
                    <a:pt x="29947" y="5275"/>
                  </a:lnTo>
                  <a:lnTo>
                    <a:pt x="29947" y="0"/>
                  </a:lnTo>
                  <a:lnTo>
                    <a:pt x="0" y="0"/>
                  </a:lnTo>
                  <a:lnTo>
                    <a:pt x="0" y="42430"/>
                  </a:lnTo>
                  <a:lnTo>
                    <a:pt x="30794" y="42430"/>
                  </a:lnTo>
                  <a:lnTo>
                    <a:pt x="30794" y="37155"/>
                  </a:lnTo>
                  <a:lnTo>
                    <a:pt x="6058" y="37155"/>
                  </a:lnTo>
                  <a:lnTo>
                    <a:pt x="6058" y="23459"/>
                  </a:lnTo>
                  <a:close/>
                </a:path>
              </a:pathLst>
            </a:custGeom>
            <a:solidFill>
              <a:srgbClr val="7CC061"/>
            </a:solidFill>
            <a:ln w="9525" cap="flat">
              <a:noFill/>
              <a:prstDash val="solid"/>
              <a:miter/>
            </a:ln>
          </xdr:spPr>
          <xdr:txBody>
            <a:bodyPr wrap="square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US"/>
            </a:p>
          </xdr:txBody>
        </xdr:sp>
        <xdr:sp macro="" textlink="">
          <xdr:nvSpPr>
            <xdr:cNvPr id="26" name="Freeform: Shape 25">
              <a:extLst>
                <a:ext uri="{FF2B5EF4-FFF2-40B4-BE49-F238E27FC236}">
                  <a16:creationId xmlns:a16="http://schemas.microsoft.com/office/drawing/2014/main" id="{AF19FDAD-79C6-7D9C-480B-A6DAD866C296}"/>
                </a:ext>
              </a:extLst>
            </xdr:cNvPr>
            <xdr:cNvSpPr/>
          </xdr:nvSpPr>
          <xdr:spPr>
            <a:xfrm>
              <a:off x="1073101" y="283893"/>
              <a:ext cx="28093" cy="34099"/>
            </a:xfrm>
            <a:custGeom>
              <a:avLst/>
              <a:gdLst>
                <a:gd name="connsiteX0" fmla="*/ 26041 w 34956"/>
                <a:gd name="connsiteY0" fmla="*/ 27718 h 42429"/>
                <a:gd name="connsiteX1" fmla="*/ 32109 w 34956"/>
                <a:gd name="connsiteY1" fmla="*/ 22672 h 42429"/>
                <a:gd name="connsiteX2" fmla="*/ 34233 w 34956"/>
                <a:gd name="connsiteY2" fmla="*/ 14776 h 42429"/>
                <a:gd name="connsiteX3" fmla="*/ 32109 w 34956"/>
                <a:gd name="connsiteY3" fmla="*/ 6848 h 42429"/>
                <a:gd name="connsiteX4" fmla="*/ 26041 w 34956"/>
                <a:gd name="connsiteY4" fmla="*/ 1769 h 42429"/>
                <a:gd name="connsiteX5" fmla="*/ 16545 w 34956"/>
                <a:gd name="connsiteY5" fmla="*/ 0 h 42429"/>
                <a:gd name="connsiteX6" fmla="*/ 0 w 34956"/>
                <a:gd name="connsiteY6" fmla="*/ 0 h 42429"/>
                <a:gd name="connsiteX7" fmla="*/ 0 w 34956"/>
                <a:gd name="connsiteY7" fmla="*/ 42429 h 42429"/>
                <a:gd name="connsiteX8" fmla="*/ 6058 w 34956"/>
                <a:gd name="connsiteY8" fmla="*/ 42429 h 42429"/>
                <a:gd name="connsiteX9" fmla="*/ 6058 w 34956"/>
                <a:gd name="connsiteY9" fmla="*/ 29520 h 42429"/>
                <a:gd name="connsiteX10" fmla="*/ 16545 w 34956"/>
                <a:gd name="connsiteY10" fmla="*/ 29520 h 42429"/>
                <a:gd name="connsiteX11" fmla="*/ 19231 w 34956"/>
                <a:gd name="connsiteY11" fmla="*/ 29422 h 42429"/>
                <a:gd name="connsiteX12" fmla="*/ 28337 w 34956"/>
                <a:gd name="connsiteY12" fmla="*/ 42429 h 42429"/>
                <a:gd name="connsiteX13" fmla="*/ 34957 w 34956"/>
                <a:gd name="connsiteY13" fmla="*/ 42429 h 42429"/>
                <a:gd name="connsiteX14" fmla="*/ 24870 w 34956"/>
                <a:gd name="connsiteY14" fmla="*/ 28209 h 42429"/>
                <a:gd name="connsiteX15" fmla="*/ 26041 w 34956"/>
                <a:gd name="connsiteY15" fmla="*/ 27783 h 42429"/>
                <a:gd name="connsiteX16" fmla="*/ 26041 w 34956"/>
                <a:gd name="connsiteY16" fmla="*/ 27718 h 42429"/>
                <a:gd name="connsiteX17" fmla="*/ 16345 w 34956"/>
                <a:gd name="connsiteY17" fmla="*/ 24311 h 42429"/>
                <a:gd name="connsiteX18" fmla="*/ 6058 w 34956"/>
                <a:gd name="connsiteY18" fmla="*/ 24311 h 42429"/>
                <a:gd name="connsiteX19" fmla="*/ 6058 w 34956"/>
                <a:gd name="connsiteY19" fmla="*/ 5209 h 42429"/>
                <a:gd name="connsiteX20" fmla="*/ 16345 w 34956"/>
                <a:gd name="connsiteY20" fmla="*/ 5209 h 42429"/>
                <a:gd name="connsiteX21" fmla="*/ 25165 w 34956"/>
                <a:gd name="connsiteY21" fmla="*/ 7699 h 42429"/>
                <a:gd name="connsiteX22" fmla="*/ 28175 w 34956"/>
                <a:gd name="connsiteY22" fmla="*/ 14744 h 42429"/>
                <a:gd name="connsiteX23" fmla="*/ 25165 w 34956"/>
                <a:gd name="connsiteY23" fmla="*/ 21787 h 42429"/>
                <a:gd name="connsiteX24" fmla="*/ 16345 w 34956"/>
                <a:gd name="connsiteY24" fmla="*/ 24311 h 4242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</a:cxnLst>
              <a:rect l="l" t="t" r="r" b="b"/>
              <a:pathLst>
                <a:path w="34956" h="42429">
                  <a:moveTo>
                    <a:pt x="26041" y="27718"/>
                  </a:moveTo>
                  <a:cubicBezTo>
                    <a:pt x="28670" y="26539"/>
                    <a:pt x="30699" y="24868"/>
                    <a:pt x="32109" y="22672"/>
                  </a:cubicBezTo>
                  <a:cubicBezTo>
                    <a:pt x="33518" y="20477"/>
                    <a:pt x="34233" y="17823"/>
                    <a:pt x="34233" y="14776"/>
                  </a:cubicBezTo>
                  <a:cubicBezTo>
                    <a:pt x="34233" y="11729"/>
                    <a:pt x="33518" y="9075"/>
                    <a:pt x="32109" y="6848"/>
                  </a:cubicBezTo>
                  <a:cubicBezTo>
                    <a:pt x="30699" y="4620"/>
                    <a:pt x="28670" y="2916"/>
                    <a:pt x="26041" y="1769"/>
                  </a:cubicBezTo>
                  <a:cubicBezTo>
                    <a:pt x="23422" y="590"/>
                    <a:pt x="20250" y="0"/>
                    <a:pt x="16545" y="0"/>
                  </a:cubicBezTo>
                  <a:lnTo>
                    <a:pt x="0" y="0"/>
                  </a:lnTo>
                  <a:lnTo>
                    <a:pt x="0" y="42429"/>
                  </a:lnTo>
                  <a:lnTo>
                    <a:pt x="6058" y="42429"/>
                  </a:lnTo>
                  <a:lnTo>
                    <a:pt x="6058" y="29520"/>
                  </a:lnTo>
                  <a:lnTo>
                    <a:pt x="16545" y="29520"/>
                  </a:lnTo>
                  <a:cubicBezTo>
                    <a:pt x="17459" y="29520"/>
                    <a:pt x="18383" y="29487"/>
                    <a:pt x="19231" y="29422"/>
                  </a:cubicBezTo>
                  <a:lnTo>
                    <a:pt x="28337" y="42429"/>
                  </a:lnTo>
                  <a:lnTo>
                    <a:pt x="34957" y="42429"/>
                  </a:lnTo>
                  <a:lnTo>
                    <a:pt x="24870" y="28209"/>
                  </a:lnTo>
                  <a:cubicBezTo>
                    <a:pt x="25260" y="28079"/>
                    <a:pt x="25689" y="27947"/>
                    <a:pt x="26041" y="27783"/>
                  </a:cubicBezTo>
                  <a:lnTo>
                    <a:pt x="26041" y="27718"/>
                  </a:lnTo>
                  <a:close/>
                  <a:moveTo>
                    <a:pt x="16345" y="24311"/>
                  </a:moveTo>
                  <a:lnTo>
                    <a:pt x="6058" y="24311"/>
                  </a:lnTo>
                  <a:lnTo>
                    <a:pt x="6058" y="5209"/>
                  </a:lnTo>
                  <a:lnTo>
                    <a:pt x="16345" y="5209"/>
                  </a:lnTo>
                  <a:cubicBezTo>
                    <a:pt x="20212" y="5209"/>
                    <a:pt x="23165" y="6028"/>
                    <a:pt x="25165" y="7699"/>
                  </a:cubicBezTo>
                  <a:cubicBezTo>
                    <a:pt x="27156" y="9370"/>
                    <a:pt x="28175" y="11697"/>
                    <a:pt x="28175" y="14744"/>
                  </a:cubicBezTo>
                  <a:cubicBezTo>
                    <a:pt x="28175" y="17791"/>
                    <a:pt x="27194" y="20117"/>
                    <a:pt x="25165" y="21787"/>
                  </a:cubicBezTo>
                  <a:cubicBezTo>
                    <a:pt x="23165" y="23459"/>
                    <a:pt x="20212" y="24311"/>
                    <a:pt x="16345" y="24311"/>
                  </a:cubicBezTo>
                  <a:close/>
                </a:path>
              </a:pathLst>
            </a:custGeom>
            <a:solidFill>
              <a:srgbClr val="7CC061"/>
            </a:solidFill>
            <a:ln w="9525" cap="flat">
              <a:noFill/>
              <a:prstDash val="solid"/>
              <a:miter/>
            </a:ln>
          </xdr:spPr>
          <xdr:txBody>
            <a:bodyPr wrap="square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US"/>
            </a:p>
          </xdr:txBody>
        </xdr:sp>
        <xdr:sp macro="" textlink="">
          <xdr:nvSpPr>
            <xdr:cNvPr id="27" name="Freeform: Shape 26">
              <a:extLst>
                <a:ext uri="{FF2B5EF4-FFF2-40B4-BE49-F238E27FC236}">
                  <a16:creationId xmlns:a16="http://schemas.microsoft.com/office/drawing/2014/main" id="{59AD2754-8B65-DD01-B9FF-521F958E77BA}"/>
                </a:ext>
              </a:extLst>
            </xdr:cNvPr>
            <xdr:cNvSpPr/>
          </xdr:nvSpPr>
          <xdr:spPr>
            <a:xfrm>
              <a:off x="1115494" y="283471"/>
              <a:ext cx="31331" cy="34863"/>
            </a:xfrm>
            <a:custGeom>
              <a:avLst/>
              <a:gdLst>
                <a:gd name="connsiteX0" fmla="*/ 10782 w 38985"/>
                <a:gd name="connsiteY0" fmla="*/ 10026 h 43379"/>
                <a:gd name="connsiteX1" fmla="*/ 16183 w 38985"/>
                <a:gd name="connsiteY1" fmla="*/ 6619 h 43379"/>
                <a:gd name="connsiteX2" fmla="*/ 22936 w 38985"/>
                <a:gd name="connsiteY2" fmla="*/ 5406 h 43379"/>
                <a:gd name="connsiteX3" fmla="*/ 29556 w 38985"/>
                <a:gd name="connsiteY3" fmla="*/ 6586 h 43379"/>
                <a:gd name="connsiteX4" fmla="*/ 35223 w 38985"/>
                <a:gd name="connsiteY4" fmla="*/ 10321 h 43379"/>
                <a:gd name="connsiteX5" fmla="*/ 38986 w 38985"/>
                <a:gd name="connsiteY5" fmla="*/ 6553 h 43379"/>
                <a:gd name="connsiteX6" fmla="*/ 31909 w 38985"/>
                <a:gd name="connsiteY6" fmla="*/ 1638 h 43379"/>
                <a:gd name="connsiteX7" fmla="*/ 22708 w 38985"/>
                <a:gd name="connsiteY7" fmla="*/ 0 h 43379"/>
                <a:gd name="connsiteX8" fmla="*/ 13630 w 38985"/>
                <a:gd name="connsiteY8" fmla="*/ 1606 h 43379"/>
                <a:gd name="connsiteX9" fmla="*/ 6458 w 38985"/>
                <a:gd name="connsiteY9" fmla="*/ 6160 h 43379"/>
                <a:gd name="connsiteX10" fmla="*/ 1705 w 38985"/>
                <a:gd name="connsiteY10" fmla="*/ 13041 h 43379"/>
                <a:gd name="connsiteX11" fmla="*/ 0 w 38985"/>
                <a:gd name="connsiteY11" fmla="*/ 21690 h 43379"/>
                <a:gd name="connsiteX12" fmla="*/ 1705 w 38985"/>
                <a:gd name="connsiteY12" fmla="*/ 30340 h 43379"/>
                <a:gd name="connsiteX13" fmla="*/ 6420 w 38985"/>
                <a:gd name="connsiteY13" fmla="*/ 37221 h 43379"/>
                <a:gd name="connsiteX14" fmla="*/ 13564 w 38985"/>
                <a:gd name="connsiteY14" fmla="*/ 41775 h 43379"/>
                <a:gd name="connsiteX15" fmla="*/ 22603 w 38985"/>
                <a:gd name="connsiteY15" fmla="*/ 43380 h 43379"/>
                <a:gd name="connsiteX16" fmla="*/ 31290 w 38985"/>
                <a:gd name="connsiteY16" fmla="*/ 42004 h 43379"/>
                <a:gd name="connsiteX17" fmla="*/ 38662 w 38985"/>
                <a:gd name="connsiteY17" fmla="*/ 37974 h 43379"/>
                <a:gd name="connsiteX18" fmla="*/ 38662 w 38985"/>
                <a:gd name="connsiteY18" fmla="*/ 21428 h 43379"/>
                <a:gd name="connsiteX19" fmla="*/ 32833 w 38985"/>
                <a:gd name="connsiteY19" fmla="*/ 21428 h 43379"/>
                <a:gd name="connsiteX20" fmla="*/ 32833 w 38985"/>
                <a:gd name="connsiteY20" fmla="*/ 35189 h 43379"/>
                <a:gd name="connsiteX21" fmla="*/ 29385 w 38985"/>
                <a:gd name="connsiteY21" fmla="*/ 36926 h 43379"/>
                <a:gd name="connsiteX22" fmla="*/ 22870 w 38985"/>
                <a:gd name="connsiteY22" fmla="*/ 37974 h 43379"/>
                <a:gd name="connsiteX23" fmla="*/ 16154 w 38985"/>
                <a:gd name="connsiteY23" fmla="*/ 36762 h 43379"/>
                <a:gd name="connsiteX24" fmla="*/ 10782 w 38985"/>
                <a:gd name="connsiteY24" fmla="*/ 33321 h 43379"/>
                <a:gd name="connsiteX25" fmla="*/ 7277 w 38985"/>
                <a:gd name="connsiteY25" fmla="*/ 28112 h 43379"/>
                <a:gd name="connsiteX26" fmla="*/ 6029 w 38985"/>
                <a:gd name="connsiteY26" fmla="*/ 21657 h 43379"/>
                <a:gd name="connsiteX27" fmla="*/ 7277 w 38985"/>
                <a:gd name="connsiteY27" fmla="*/ 15137 h 43379"/>
                <a:gd name="connsiteX28" fmla="*/ 10782 w 38985"/>
                <a:gd name="connsiteY28" fmla="*/ 9960 h 43379"/>
                <a:gd name="connsiteX29" fmla="*/ 10782 w 38985"/>
                <a:gd name="connsiteY29" fmla="*/ 10026 h 4337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  <a:cxn ang="0">
                  <a:pos x="connsiteX26" y="connsiteY26"/>
                </a:cxn>
                <a:cxn ang="0">
                  <a:pos x="connsiteX27" y="connsiteY27"/>
                </a:cxn>
                <a:cxn ang="0">
                  <a:pos x="connsiteX28" y="connsiteY28"/>
                </a:cxn>
                <a:cxn ang="0">
                  <a:pos x="connsiteX29" y="connsiteY29"/>
                </a:cxn>
              </a:cxnLst>
              <a:rect l="l" t="t" r="r" b="b"/>
              <a:pathLst>
                <a:path w="38985" h="43379">
                  <a:moveTo>
                    <a:pt x="10782" y="10026"/>
                  </a:moveTo>
                  <a:cubicBezTo>
                    <a:pt x="12287" y="8585"/>
                    <a:pt x="14088" y="7438"/>
                    <a:pt x="16183" y="6619"/>
                  </a:cubicBezTo>
                  <a:cubicBezTo>
                    <a:pt x="18250" y="5800"/>
                    <a:pt x="20507" y="5406"/>
                    <a:pt x="22936" y="5406"/>
                  </a:cubicBezTo>
                  <a:cubicBezTo>
                    <a:pt x="25356" y="5406"/>
                    <a:pt x="27518" y="5800"/>
                    <a:pt x="29556" y="6586"/>
                  </a:cubicBezTo>
                  <a:cubicBezTo>
                    <a:pt x="31585" y="7372"/>
                    <a:pt x="33480" y="8617"/>
                    <a:pt x="35223" y="10321"/>
                  </a:cubicBezTo>
                  <a:lnTo>
                    <a:pt x="38986" y="6553"/>
                  </a:lnTo>
                  <a:cubicBezTo>
                    <a:pt x="37052" y="4358"/>
                    <a:pt x="34700" y="2719"/>
                    <a:pt x="31909" y="1638"/>
                  </a:cubicBezTo>
                  <a:cubicBezTo>
                    <a:pt x="29127" y="557"/>
                    <a:pt x="26051" y="0"/>
                    <a:pt x="22708" y="0"/>
                  </a:cubicBezTo>
                  <a:cubicBezTo>
                    <a:pt x="19364" y="0"/>
                    <a:pt x="16345" y="525"/>
                    <a:pt x="13630" y="1606"/>
                  </a:cubicBezTo>
                  <a:cubicBezTo>
                    <a:pt x="10878" y="2687"/>
                    <a:pt x="8487" y="4194"/>
                    <a:pt x="6458" y="6160"/>
                  </a:cubicBezTo>
                  <a:cubicBezTo>
                    <a:pt x="4420" y="8126"/>
                    <a:pt x="2819" y="10419"/>
                    <a:pt x="1705" y="13041"/>
                  </a:cubicBezTo>
                  <a:cubicBezTo>
                    <a:pt x="591" y="15662"/>
                    <a:pt x="0" y="18545"/>
                    <a:pt x="0" y="21690"/>
                  </a:cubicBezTo>
                  <a:cubicBezTo>
                    <a:pt x="0" y="24835"/>
                    <a:pt x="552" y="27719"/>
                    <a:pt x="1705" y="30340"/>
                  </a:cubicBezTo>
                  <a:cubicBezTo>
                    <a:pt x="2848" y="32961"/>
                    <a:pt x="4420" y="35255"/>
                    <a:pt x="6420" y="37221"/>
                  </a:cubicBezTo>
                  <a:cubicBezTo>
                    <a:pt x="8420" y="39186"/>
                    <a:pt x="10811" y="40694"/>
                    <a:pt x="13564" y="41775"/>
                  </a:cubicBezTo>
                  <a:cubicBezTo>
                    <a:pt x="16316" y="42856"/>
                    <a:pt x="19326" y="43380"/>
                    <a:pt x="22603" y="43380"/>
                  </a:cubicBezTo>
                  <a:cubicBezTo>
                    <a:pt x="25584" y="43380"/>
                    <a:pt x="28508" y="42922"/>
                    <a:pt x="31290" y="42004"/>
                  </a:cubicBezTo>
                  <a:cubicBezTo>
                    <a:pt x="34109" y="41087"/>
                    <a:pt x="36567" y="39743"/>
                    <a:pt x="38662" y="37974"/>
                  </a:cubicBezTo>
                  <a:lnTo>
                    <a:pt x="38662" y="21428"/>
                  </a:lnTo>
                  <a:lnTo>
                    <a:pt x="32833" y="21428"/>
                  </a:lnTo>
                  <a:lnTo>
                    <a:pt x="32833" y="35189"/>
                  </a:lnTo>
                  <a:cubicBezTo>
                    <a:pt x="31747" y="35910"/>
                    <a:pt x="30604" y="36532"/>
                    <a:pt x="29385" y="36926"/>
                  </a:cubicBezTo>
                  <a:cubicBezTo>
                    <a:pt x="27327" y="37647"/>
                    <a:pt x="25127" y="37974"/>
                    <a:pt x="22870" y="37974"/>
                  </a:cubicBezTo>
                  <a:cubicBezTo>
                    <a:pt x="20441" y="37974"/>
                    <a:pt x="18212" y="37581"/>
                    <a:pt x="16154" y="36762"/>
                  </a:cubicBezTo>
                  <a:cubicBezTo>
                    <a:pt x="14088" y="35943"/>
                    <a:pt x="12287" y="34829"/>
                    <a:pt x="10782" y="33321"/>
                  </a:cubicBezTo>
                  <a:cubicBezTo>
                    <a:pt x="9268" y="31847"/>
                    <a:pt x="8096" y="30110"/>
                    <a:pt x="7277" y="28112"/>
                  </a:cubicBezTo>
                  <a:cubicBezTo>
                    <a:pt x="6458" y="26114"/>
                    <a:pt x="6029" y="23951"/>
                    <a:pt x="6029" y="21657"/>
                  </a:cubicBezTo>
                  <a:cubicBezTo>
                    <a:pt x="6029" y="19364"/>
                    <a:pt x="6458" y="17135"/>
                    <a:pt x="7277" y="15137"/>
                  </a:cubicBezTo>
                  <a:cubicBezTo>
                    <a:pt x="8096" y="13139"/>
                    <a:pt x="9268" y="11402"/>
                    <a:pt x="10782" y="9960"/>
                  </a:cubicBezTo>
                  <a:lnTo>
                    <a:pt x="10782" y="10026"/>
                  </a:lnTo>
                  <a:close/>
                </a:path>
              </a:pathLst>
            </a:custGeom>
            <a:solidFill>
              <a:srgbClr val="7CC061"/>
            </a:solidFill>
            <a:ln w="9525" cap="flat">
              <a:noFill/>
              <a:prstDash val="solid"/>
              <a:miter/>
            </a:ln>
          </xdr:spPr>
          <xdr:txBody>
            <a:bodyPr wrap="square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US"/>
            </a:p>
          </xdr:txBody>
        </xdr:sp>
        <xdr:sp macro="" textlink="">
          <xdr:nvSpPr>
            <xdr:cNvPr id="28" name="Freeform: Shape 27">
              <a:extLst>
                <a:ext uri="{FF2B5EF4-FFF2-40B4-BE49-F238E27FC236}">
                  <a16:creationId xmlns:a16="http://schemas.microsoft.com/office/drawing/2014/main" id="{F75C39AB-5844-FBD8-F91F-B11DB118FF66}"/>
                </a:ext>
              </a:extLst>
            </xdr:cNvPr>
            <xdr:cNvSpPr/>
          </xdr:nvSpPr>
          <xdr:spPr>
            <a:xfrm>
              <a:off x="1160260" y="283866"/>
              <a:ext cx="31913" cy="34100"/>
            </a:xfrm>
            <a:custGeom>
              <a:avLst/>
              <a:gdLst>
                <a:gd name="connsiteX0" fmla="*/ 33681 w 39709"/>
                <a:gd name="connsiteY0" fmla="*/ 0 h 42430"/>
                <a:gd name="connsiteX1" fmla="*/ 20050 w 39709"/>
                <a:gd name="connsiteY1" fmla="*/ 22378 h 42430"/>
                <a:gd name="connsiteX2" fmla="*/ 6487 w 39709"/>
                <a:gd name="connsiteY2" fmla="*/ 0 h 42430"/>
                <a:gd name="connsiteX3" fmla="*/ 0 w 39709"/>
                <a:gd name="connsiteY3" fmla="*/ 0 h 42430"/>
                <a:gd name="connsiteX4" fmla="*/ 16840 w 39709"/>
                <a:gd name="connsiteY4" fmla="*/ 27653 h 42430"/>
                <a:gd name="connsiteX5" fmla="*/ 16840 w 39709"/>
                <a:gd name="connsiteY5" fmla="*/ 42430 h 42430"/>
                <a:gd name="connsiteX6" fmla="*/ 22831 w 39709"/>
                <a:gd name="connsiteY6" fmla="*/ 42430 h 42430"/>
                <a:gd name="connsiteX7" fmla="*/ 22831 w 39709"/>
                <a:gd name="connsiteY7" fmla="*/ 27751 h 42430"/>
                <a:gd name="connsiteX8" fmla="*/ 39710 w 39709"/>
                <a:gd name="connsiteY8" fmla="*/ 0 h 42430"/>
                <a:gd name="connsiteX9" fmla="*/ 33681 w 39709"/>
                <a:gd name="connsiteY9" fmla="*/ 0 h 4243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</a:cxnLst>
              <a:rect l="l" t="t" r="r" b="b"/>
              <a:pathLst>
                <a:path w="39709" h="42430">
                  <a:moveTo>
                    <a:pt x="33681" y="0"/>
                  </a:moveTo>
                  <a:lnTo>
                    <a:pt x="20050" y="22378"/>
                  </a:lnTo>
                  <a:lnTo>
                    <a:pt x="6487" y="0"/>
                  </a:lnTo>
                  <a:lnTo>
                    <a:pt x="0" y="0"/>
                  </a:lnTo>
                  <a:lnTo>
                    <a:pt x="16840" y="27653"/>
                  </a:lnTo>
                  <a:lnTo>
                    <a:pt x="16840" y="42430"/>
                  </a:lnTo>
                  <a:lnTo>
                    <a:pt x="22831" y="42430"/>
                  </a:lnTo>
                  <a:lnTo>
                    <a:pt x="22831" y="27751"/>
                  </a:lnTo>
                  <a:lnTo>
                    <a:pt x="39710" y="0"/>
                  </a:lnTo>
                  <a:lnTo>
                    <a:pt x="33681" y="0"/>
                  </a:lnTo>
                  <a:close/>
                </a:path>
              </a:pathLst>
            </a:custGeom>
            <a:solidFill>
              <a:srgbClr val="7CC061"/>
            </a:solidFill>
            <a:ln w="9525" cap="flat">
              <a:noFill/>
              <a:prstDash val="solid"/>
              <a:miter/>
            </a:ln>
          </xdr:spPr>
          <xdr:txBody>
            <a:bodyPr wrap="square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US"/>
            </a:p>
          </xdr:txBody>
        </xdr:sp>
      </xdr:grpSp>
      <xdr:grpSp>
        <xdr:nvGrpSpPr>
          <xdr:cNvPr id="6" name="Group 5">
            <a:extLst>
              <a:ext uri="{FF2B5EF4-FFF2-40B4-BE49-F238E27FC236}">
                <a16:creationId xmlns:a16="http://schemas.microsoft.com/office/drawing/2014/main" id="{D8B1704D-F5DB-583E-0158-9076C637E062}"/>
              </a:ext>
            </a:extLst>
          </xdr:cNvPr>
          <xdr:cNvGrpSpPr/>
        </xdr:nvGrpSpPr>
        <xdr:grpSpPr>
          <a:xfrm>
            <a:off x="13179" y="46006"/>
            <a:ext cx="374171" cy="216878"/>
            <a:chOff x="-11427" y="73449"/>
            <a:chExt cx="422619" cy="244959"/>
          </a:xfrm>
        </xdr:grpSpPr>
        <xdr:sp macro="" textlink="">
          <xdr:nvSpPr>
            <xdr:cNvPr id="7" name="Freeform: Shape 6">
              <a:extLst>
                <a:ext uri="{FF2B5EF4-FFF2-40B4-BE49-F238E27FC236}">
                  <a16:creationId xmlns:a16="http://schemas.microsoft.com/office/drawing/2014/main" id="{894A3BF3-A70D-813D-054E-E6081993F9F1}"/>
                </a:ext>
              </a:extLst>
            </xdr:cNvPr>
            <xdr:cNvSpPr/>
          </xdr:nvSpPr>
          <xdr:spPr>
            <a:xfrm>
              <a:off x="-11427" y="73449"/>
              <a:ext cx="334726" cy="244882"/>
            </a:xfrm>
            <a:custGeom>
              <a:avLst/>
              <a:gdLst>
                <a:gd name="connsiteX0" fmla="*/ 198810 w 416495"/>
                <a:gd name="connsiteY0" fmla="*/ 72933 h 304703"/>
                <a:gd name="connsiteX1" fmla="*/ 72897 w 416495"/>
                <a:gd name="connsiteY1" fmla="*/ 105894 h 304703"/>
                <a:gd name="connsiteX2" fmla="*/ 105858 w 416495"/>
                <a:gd name="connsiteY2" fmla="*/ 231807 h 304703"/>
                <a:gd name="connsiteX3" fmla="*/ 217289 w 416495"/>
                <a:gd name="connsiteY3" fmla="*/ 217555 h 304703"/>
                <a:gd name="connsiteX4" fmla="*/ 332194 w 416495"/>
                <a:gd name="connsiteY4" fmla="*/ 102617 h 304703"/>
                <a:gd name="connsiteX5" fmla="*/ 416496 w 416495"/>
                <a:gd name="connsiteY5" fmla="*/ 103666 h 304703"/>
                <a:gd name="connsiteX6" fmla="*/ 259981 w 416495"/>
                <a:gd name="connsiteY6" fmla="*/ 260214 h 304703"/>
                <a:gd name="connsiteX7" fmla="*/ 44490 w 416495"/>
                <a:gd name="connsiteY7" fmla="*/ 259919 h 304703"/>
                <a:gd name="connsiteX8" fmla="*/ 44785 w 416495"/>
                <a:gd name="connsiteY8" fmla="*/ 44428 h 304703"/>
                <a:gd name="connsiteX9" fmla="*/ 242354 w 416495"/>
                <a:gd name="connsiteY9" fmla="*/ 29389 h 304703"/>
                <a:gd name="connsiteX10" fmla="*/ 198810 w 416495"/>
                <a:gd name="connsiteY10" fmla="*/ 72933 h 304703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</a:cxnLst>
              <a:rect l="l" t="t" r="r" b="b"/>
              <a:pathLst>
                <a:path w="416495" h="304703">
                  <a:moveTo>
                    <a:pt x="198810" y="72933"/>
                  </a:moveTo>
                  <a:cubicBezTo>
                    <a:pt x="154938" y="47279"/>
                    <a:pt x="98551" y="62022"/>
                    <a:pt x="72897" y="105894"/>
                  </a:cubicBezTo>
                  <a:cubicBezTo>
                    <a:pt x="47242" y="149765"/>
                    <a:pt x="61986" y="206153"/>
                    <a:pt x="105858" y="231807"/>
                  </a:cubicBezTo>
                  <a:cubicBezTo>
                    <a:pt x="141931" y="252908"/>
                    <a:pt x="187702" y="247043"/>
                    <a:pt x="217289" y="217555"/>
                  </a:cubicBezTo>
                  <a:lnTo>
                    <a:pt x="332194" y="102617"/>
                  </a:lnTo>
                  <a:cubicBezTo>
                    <a:pt x="356800" y="82435"/>
                    <a:pt x="392381" y="82893"/>
                    <a:pt x="416496" y="103666"/>
                  </a:cubicBezTo>
                  <a:lnTo>
                    <a:pt x="259981" y="260214"/>
                  </a:lnTo>
                  <a:cubicBezTo>
                    <a:pt x="200383" y="319648"/>
                    <a:pt x="103924" y="319517"/>
                    <a:pt x="44490" y="259919"/>
                  </a:cubicBezTo>
                  <a:cubicBezTo>
                    <a:pt x="-14944" y="200353"/>
                    <a:pt x="-14813" y="103862"/>
                    <a:pt x="44785" y="44428"/>
                  </a:cubicBezTo>
                  <a:cubicBezTo>
                    <a:pt x="97928" y="-8519"/>
                    <a:pt x="181772" y="-14908"/>
                    <a:pt x="242354" y="29389"/>
                  </a:cubicBezTo>
                  <a:lnTo>
                    <a:pt x="198810" y="72933"/>
                  </a:lnTo>
                  <a:close/>
                </a:path>
              </a:pathLst>
            </a:custGeom>
            <a:solidFill>
              <a:srgbClr val="044D73"/>
            </a:solidFill>
            <a:ln w="9525" cap="flat">
              <a:noFill/>
              <a:prstDash val="solid"/>
              <a:miter/>
            </a:ln>
          </xdr:spPr>
          <xdr:txBody>
            <a:bodyPr wrap="square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US"/>
            </a:p>
          </xdr:txBody>
        </xdr:sp>
        <xdr:sp macro="" textlink="">
          <xdr:nvSpPr>
            <xdr:cNvPr id="8" name="Freeform: Shape 7">
              <a:extLst>
                <a:ext uri="{FF2B5EF4-FFF2-40B4-BE49-F238E27FC236}">
                  <a16:creationId xmlns:a16="http://schemas.microsoft.com/office/drawing/2014/main" id="{9EF250BC-A202-5969-FEEC-F2A50B938987}"/>
                </a:ext>
              </a:extLst>
            </xdr:cNvPr>
            <xdr:cNvSpPr/>
          </xdr:nvSpPr>
          <xdr:spPr>
            <a:xfrm>
              <a:off x="76439" y="73478"/>
              <a:ext cx="334753" cy="244930"/>
            </a:xfrm>
            <a:custGeom>
              <a:avLst/>
              <a:gdLst>
                <a:gd name="connsiteX0" fmla="*/ 217752 w 416528"/>
                <a:gd name="connsiteY0" fmla="*/ 231804 h 304763"/>
                <a:gd name="connsiteX1" fmla="*/ 343665 w 416528"/>
                <a:gd name="connsiteY1" fmla="*/ 198810 h 304763"/>
                <a:gd name="connsiteX2" fmla="*/ 310671 w 416528"/>
                <a:gd name="connsiteY2" fmla="*/ 72897 h 304763"/>
                <a:gd name="connsiteX3" fmla="*/ 199240 w 416528"/>
                <a:gd name="connsiteY3" fmla="*/ 87149 h 304763"/>
                <a:gd name="connsiteX4" fmla="*/ 84303 w 416528"/>
                <a:gd name="connsiteY4" fmla="*/ 202087 h 304763"/>
                <a:gd name="connsiteX5" fmla="*/ 0 w 416528"/>
                <a:gd name="connsiteY5" fmla="*/ 201038 h 304763"/>
                <a:gd name="connsiteX6" fmla="*/ 156548 w 416528"/>
                <a:gd name="connsiteY6" fmla="*/ 44490 h 304763"/>
                <a:gd name="connsiteX7" fmla="*/ 372039 w 416528"/>
                <a:gd name="connsiteY7" fmla="*/ 44785 h 304763"/>
                <a:gd name="connsiteX8" fmla="*/ 371744 w 416528"/>
                <a:gd name="connsiteY8" fmla="*/ 260276 h 304763"/>
                <a:gd name="connsiteX9" fmla="*/ 174208 w 416528"/>
                <a:gd name="connsiteY9" fmla="*/ 275380 h 304763"/>
                <a:gd name="connsiteX10" fmla="*/ 217752 w 416528"/>
                <a:gd name="connsiteY10" fmla="*/ 231836 h 304763"/>
                <a:gd name="connsiteX11" fmla="*/ 217752 w 416528"/>
                <a:gd name="connsiteY11" fmla="*/ 231804 h 304763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</a:cxnLst>
              <a:rect l="l" t="t" r="r" b="b"/>
              <a:pathLst>
                <a:path w="416528" h="304763">
                  <a:moveTo>
                    <a:pt x="217752" y="231804"/>
                  </a:moveTo>
                  <a:cubicBezTo>
                    <a:pt x="261623" y="257458"/>
                    <a:pt x="318010" y="242714"/>
                    <a:pt x="343665" y="198810"/>
                  </a:cubicBezTo>
                  <a:cubicBezTo>
                    <a:pt x="369319" y="154939"/>
                    <a:pt x="354576" y="98551"/>
                    <a:pt x="310671" y="72897"/>
                  </a:cubicBezTo>
                  <a:cubicBezTo>
                    <a:pt x="274597" y="51796"/>
                    <a:pt x="228826" y="57661"/>
                    <a:pt x="199240" y="87149"/>
                  </a:cubicBezTo>
                  <a:lnTo>
                    <a:pt x="84303" y="202087"/>
                  </a:lnTo>
                  <a:cubicBezTo>
                    <a:pt x="59664" y="222269"/>
                    <a:pt x="24114" y="221810"/>
                    <a:pt x="0" y="201038"/>
                  </a:cubicBezTo>
                  <a:lnTo>
                    <a:pt x="156548" y="44490"/>
                  </a:lnTo>
                  <a:cubicBezTo>
                    <a:pt x="216146" y="-14944"/>
                    <a:pt x="312604" y="-14813"/>
                    <a:pt x="372039" y="44785"/>
                  </a:cubicBezTo>
                  <a:cubicBezTo>
                    <a:pt x="431473" y="104383"/>
                    <a:pt x="431342" y="200841"/>
                    <a:pt x="371744" y="260276"/>
                  </a:cubicBezTo>
                  <a:cubicBezTo>
                    <a:pt x="318600" y="313288"/>
                    <a:pt x="234789" y="319678"/>
                    <a:pt x="174208" y="275380"/>
                  </a:cubicBezTo>
                  <a:lnTo>
                    <a:pt x="217752" y="231836"/>
                  </a:lnTo>
                  <a:lnTo>
                    <a:pt x="217752" y="231804"/>
                  </a:lnTo>
                  <a:close/>
                </a:path>
              </a:pathLst>
            </a:custGeom>
            <a:solidFill>
              <a:srgbClr val="7CC061"/>
            </a:solidFill>
            <a:ln w="9525" cap="flat">
              <a:noFill/>
              <a:prstDash val="solid"/>
              <a:miter/>
            </a:ln>
          </xdr:spPr>
          <xdr:txBody>
            <a:bodyPr wrap="square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US"/>
            </a:p>
          </xdr:txBody>
        </xdr:sp>
      </xdr:grp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1592582</xdr:colOff>
      <xdr:row>0</xdr:row>
      <xdr:rowOff>0</xdr:rowOff>
    </xdr:from>
    <xdr:to>
      <xdr:col>6</xdr:col>
      <xdr:colOff>15240</xdr:colOff>
      <xdr:row>2</xdr:row>
      <xdr:rowOff>135842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296327C0-6FAE-4CD7-572F-60B9AA9AC3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03122" y="0"/>
          <a:ext cx="2209798" cy="146934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72570</xdr:colOff>
      <xdr:row>0</xdr:row>
      <xdr:rowOff>72571</xdr:rowOff>
    </xdr:from>
    <xdr:to>
      <xdr:col>1</xdr:col>
      <xdr:colOff>807357</xdr:colOff>
      <xdr:row>2</xdr:row>
      <xdr:rowOff>117927</xdr:rowOff>
    </xdr:to>
    <xdr:grpSp>
      <xdr:nvGrpSpPr>
        <xdr:cNvPr id="52" name="Group 51">
          <a:extLst>
            <a:ext uri="{FF2B5EF4-FFF2-40B4-BE49-F238E27FC236}">
              <a16:creationId xmlns:a16="http://schemas.microsoft.com/office/drawing/2014/main" id="{1B51CC21-2D22-4303-988D-06FF33B1945B}"/>
            </a:ext>
          </a:extLst>
        </xdr:cNvPr>
        <xdr:cNvGrpSpPr/>
      </xdr:nvGrpSpPr>
      <xdr:grpSpPr>
        <a:xfrm>
          <a:off x="181427" y="72571"/>
          <a:ext cx="734787" cy="524327"/>
          <a:chOff x="13179" y="46006"/>
          <a:chExt cx="374171" cy="391298"/>
        </a:xfrm>
      </xdr:grpSpPr>
      <xdr:grpSp>
        <xdr:nvGrpSpPr>
          <xdr:cNvPr id="53" name="Group 52">
            <a:extLst>
              <a:ext uri="{FF2B5EF4-FFF2-40B4-BE49-F238E27FC236}">
                <a16:creationId xmlns:a16="http://schemas.microsoft.com/office/drawing/2014/main" id="{2769148A-499A-10BD-E1BC-F2120B3C7F44}"/>
              </a:ext>
            </a:extLst>
          </xdr:cNvPr>
          <xdr:cNvGrpSpPr/>
        </xdr:nvGrpSpPr>
        <xdr:grpSpPr>
          <a:xfrm>
            <a:off x="25008" y="313011"/>
            <a:ext cx="350521" cy="124293"/>
            <a:chOff x="501725" y="73501"/>
            <a:chExt cx="690448" cy="244833"/>
          </a:xfrm>
        </xdr:grpSpPr>
        <xdr:sp macro="" textlink="">
          <xdr:nvSpPr>
            <xdr:cNvPr id="57" name="Freeform: Shape 56">
              <a:extLst>
                <a:ext uri="{FF2B5EF4-FFF2-40B4-BE49-F238E27FC236}">
                  <a16:creationId xmlns:a16="http://schemas.microsoft.com/office/drawing/2014/main" id="{E4CA1A79-4041-9B9A-D2F7-CCFE6A9ED36D}"/>
                </a:ext>
              </a:extLst>
            </xdr:cNvPr>
            <xdr:cNvSpPr/>
          </xdr:nvSpPr>
          <xdr:spPr>
            <a:xfrm>
              <a:off x="501725" y="73501"/>
              <a:ext cx="106380" cy="156911"/>
            </a:xfrm>
            <a:custGeom>
              <a:avLst/>
              <a:gdLst>
                <a:gd name="connsiteX0" fmla="*/ 11926 w 132367"/>
                <a:gd name="connsiteY0" fmla="*/ 149176 h 195242"/>
                <a:gd name="connsiteX1" fmla="*/ 58321 w 132367"/>
                <a:gd name="connsiteY1" fmla="*/ 160840 h 195242"/>
                <a:gd name="connsiteX2" fmla="*/ 92232 w 132367"/>
                <a:gd name="connsiteY2" fmla="*/ 139969 h 195242"/>
                <a:gd name="connsiteX3" fmla="*/ 57239 w 132367"/>
                <a:gd name="connsiteY3" fmla="*/ 112840 h 195242"/>
                <a:gd name="connsiteX4" fmla="*/ 4620 w 132367"/>
                <a:gd name="connsiteY4" fmla="*/ 55601 h 195242"/>
                <a:gd name="connsiteX5" fmla="*/ 67527 w 132367"/>
                <a:gd name="connsiteY5" fmla="*/ 0 h 195242"/>
                <a:gd name="connsiteX6" fmla="*/ 128305 w 132367"/>
                <a:gd name="connsiteY6" fmla="*/ 10583 h 195242"/>
                <a:gd name="connsiteX7" fmla="*/ 119065 w 132367"/>
                <a:gd name="connsiteY7" fmla="*/ 43937 h 195242"/>
                <a:gd name="connsiteX8" fmla="*/ 71328 w 132367"/>
                <a:gd name="connsiteY8" fmla="*/ 34435 h 195242"/>
                <a:gd name="connsiteX9" fmla="*/ 44756 w 132367"/>
                <a:gd name="connsiteY9" fmla="*/ 52325 h 195242"/>
                <a:gd name="connsiteX10" fmla="*/ 79191 w 132367"/>
                <a:gd name="connsiteY10" fmla="*/ 79716 h 195242"/>
                <a:gd name="connsiteX11" fmla="*/ 132368 w 132367"/>
                <a:gd name="connsiteY11" fmla="*/ 135579 h 195242"/>
                <a:gd name="connsiteX12" fmla="*/ 60483 w 132367"/>
                <a:gd name="connsiteY12" fmla="*/ 195243 h 195242"/>
                <a:gd name="connsiteX13" fmla="*/ 0 w 132367"/>
                <a:gd name="connsiteY13" fmla="*/ 180040 h 195242"/>
                <a:gd name="connsiteX14" fmla="*/ 11926 w 132367"/>
                <a:gd name="connsiteY14" fmla="*/ 149110 h 195242"/>
                <a:gd name="connsiteX15" fmla="*/ 11926 w 132367"/>
                <a:gd name="connsiteY15" fmla="*/ 149176 h 195242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</a:cxnLst>
              <a:rect l="l" t="t" r="r" b="b"/>
              <a:pathLst>
                <a:path w="132367" h="195242">
                  <a:moveTo>
                    <a:pt x="11926" y="149176"/>
                  </a:moveTo>
                  <a:cubicBezTo>
                    <a:pt x="25753" y="155696"/>
                    <a:pt x="41218" y="160840"/>
                    <a:pt x="58321" y="160840"/>
                  </a:cubicBezTo>
                  <a:cubicBezTo>
                    <a:pt x="78110" y="160840"/>
                    <a:pt x="92232" y="154320"/>
                    <a:pt x="92232" y="139969"/>
                  </a:cubicBezTo>
                  <a:cubicBezTo>
                    <a:pt x="92232" y="125618"/>
                    <a:pt x="77324" y="120704"/>
                    <a:pt x="57239" y="112840"/>
                  </a:cubicBezTo>
                  <a:cubicBezTo>
                    <a:pt x="32568" y="103077"/>
                    <a:pt x="4620" y="90856"/>
                    <a:pt x="4620" y="55601"/>
                  </a:cubicBezTo>
                  <a:cubicBezTo>
                    <a:pt x="4620" y="20347"/>
                    <a:pt x="33616" y="0"/>
                    <a:pt x="67527" y="0"/>
                  </a:cubicBezTo>
                  <a:cubicBezTo>
                    <a:pt x="90036" y="0"/>
                    <a:pt x="108745" y="2719"/>
                    <a:pt x="128305" y="10583"/>
                  </a:cubicBezTo>
                  <a:lnTo>
                    <a:pt x="119065" y="43937"/>
                  </a:lnTo>
                  <a:cubicBezTo>
                    <a:pt x="103862" y="38236"/>
                    <a:pt x="89512" y="34435"/>
                    <a:pt x="71328" y="34435"/>
                  </a:cubicBezTo>
                  <a:cubicBezTo>
                    <a:pt x="55338" y="34435"/>
                    <a:pt x="44756" y="41775"/>
                    <a:pt x="44756" y="52325"/>
                  </a:cubicBezTo>
                  <a:cubicBezTo>
                    <a:pt x="44756" y="67527"/>
                    <a:pt x="60221" y="72933"/>
                    <a:pt x="79191" y="79716"/>
                  </a:cubicBezTo>
                  <a:cubicBezTo>
                    <a:pt x="105239" y="89217"/>
                    <a:pt x="132368" y="101963"/>
                    <a:pt x="132368" y="135579"/>
                  </a:cubicBezTo>
                  <a:cubicBezTo>
                    <a:pt x="132368" y="176010"/>
                    <a:pt x="101995" y="195243"/>
                    <a:pt x="60483" y="195243"/>
                  </a:cubicBezTo>
                  <a:cubicBezTo>
                    <a:pt x="33911" y="195243"/>
                    <a:pt x="15169" y="188198"/>
                    <a:pt x="0" y="180040"/>
                  </a:cubicBezTo>
                  <a:lnTo>
                    <a:pt x="11926" y="149110"/>
                  </a:lnTo>
                  <a:lnTo>
                    <a:pt x="11926" y="149176"/>
                  </a:lnTo>
                  <a:close/>
                </a:path>
              </a:pathLst>
            </a:custGeom>
            <a:solidFill>
              <a:schemeClr val="tx1">
                <a:lumMod val="95000"/>
                <a:lumOff val="5000"/>
              </a:schemeClr>
            </a:solidFill>
            <a:ln w="9525" cap="flat">
              <a:noFill/>
              <a:prstDash val="solid"/>
              <a:miter/>
            </a:ln>
          </xdr:spPr>
          <xdr:txBody>
            <a:bodyPr wrap="square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>
                <a:solidFill>
                  <a:schemeClr val="tx1"/>
                </a:solidFill>
              </a:endParaRPr>
            </a:p>
          </xdr:txBody>
        </xdr:sp>
        <xdr:sp macro="" textlink="">
          <xdr:nvSpPr>
            <xdr:cNvPr id="58" name="Freeform: Shape 57">
              <a:extLst>
                <a:ext uri="{FF2B5EF4-FFF2-40B4-BE49-F238E27FC236}">
                  <a16:creationId xmlns:a16="http://schemas.microsoft.com/office/drawing/2014/main" id="{4086016F-55EA-85AD-FDDD-752533405D9A}"/>
                </a:ext>
              </a:extLst>
            </xdr:cNvPr>
            <xdr:cNvSpPr/>
          </xdr:nvSpPr>
          <xdr:spPr>
            <a:xfrm>
              <a:off x="624220" y="74343"/>
              <a:ext cx="147380" cy="155436"/>
            </a:xfrm>
            <a:custGeom>
              <a:avLst/>
              <a:gdLst>
                <a:gd name="connsiteX0" fmla="*/ 70542 w 183383"/>
                <a:gd name="connsiteY0" fmla="*/ 1638 h 193407"/>
                <a:gd name="connsiteX1" fmla="*/ 110679 w 183383"/>
                <a:gd name="connsiteY1" fmla="*/ 0 h 193407"/>
                <a:gd name="connsiteX2" fmla="*/ 183384 w 183383"/>
                <a:gd name="connsiteY2" fmla="*/ 191245 h 193407"/>
                <a:gd name="connsiteX3" fmla="*/ 142426 w 183383"/>
                <a:gd name="connsiteY3" fmla="*/ 193408 h 193407"/>
                <a:gd name="connsiteX4" fmla="*/ 124242 w 183383"/>
                <a:gd name="connsiteY4" fmla="*/ 142427 h 193407"/>
                <a:gd name="connsiteX5" fmla="*/ 58321 w 183383"/>
                <a:gd name="connsiteY5" fmla="*/ 142427 h 193407"/>
                <a:gd name="connsiteX6" fmla="*/ 41218 w 183383"/>
                <a:gd name="connsiteY6" fmla="*/ 191540 h 193407"/>
                <a:gd name="connsiteX7" fmla="*/ 0 w 183383"/>
                <a:gd name="connsiteY7" fmla="*/ 191540 h 193407"/>
                <a:gd name="connsiteX8" fmla="*/ 70542 w 183383"/>
                <a:gd name="connsiteY8" fmla="*/ 1638 h 193407"/>
                <a:gd name="connsiteX9" fmla="*/ 112841 w 183383"/>
                <a:gd name="connsiteY9" fmla="*/ 109597 h 193407"/>
                <a:gd name="connsiteX10" fmla="*/ 100915 w 183383"/>
                <a:gd name="connsiteY10" fmla="*/ 75686 h 193407"/>
                <a:gd name="connsiteX11" fmla="*/ 90594 w 183383"/>
                <a:gd name="connsiteY11" fmla="*/ 42331 h 193407"/>
                <a:gd name="connsiteX12" fmla="*/ 80568 w 183383"/>
                <a:gd name="connsiteY12" fmla="*/ 75423 h 193407"/>
                <a:gd name="connsiteX13" fmla="*/ 69166 w 183383"/>
                <a:gd name="connsiteY13" fmla="*/ 109597 h 193407"/>
                <a:gd name="connsiteX14" fmla="*/ 112841 w 183383"/>
                <a:gd name="connsiteY14" fmla="*/ 109597 h 193407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</a:cxnLst>
              <a:rect l="l" t="t" r="r" b="b"/>
              <a:pathLst>
                <a:path w="183383" h="193407">
                  <a:moveTo>
                    <a:pt x="70542" y="1638"/>
                  </a:moveTo>
                  <a:lnTo>
                    <a:pt x="110679" y="0"/>
                  </a:lnTo>
                  <a:lnTo>
                    <a:pt x="183384" y="191245"/>
                  </a:lnTo>
                  <a:lnTo>
                    <a:pt x="142426" y="193408"/>
                  </a:lnTo>
                  <a:lnTo>
                    <a:pt x="124242" y="142427"/>
                  </a:lnTo>
                  <a:lnTo>
                    <a:pt x="58321" y="142427"/>
                  </a:lnTo>
                  <a:lnTo>
                    <a:pt x="41218" y="191540"/>
                  </a:lnTo>
                  <a:lnTo>
                    <a:pt x="0" y="191540"/>
                  </a:lnTo>
                  <a:lnTo>
                    <a:pt x="70542" y="1638"/>
                  </a:lnTo>
                  <a:close/>
                  <a:moveTo>
                    <a:pt x="112841" y="109597"/>
                  </a:moveTo>
                  <a:lnTo>
                    <a:pt x="100915" y="75686"/>
                  </a:lnTo>
                  <a:lnTo>
                    <a:pt x="90594" y="42331"/>
                  </a:lnTo>
                  <a:lnTo>
                    <a:pt x="80568" y="75423"/>
                  </a:lnTo>
                  <a:lnTo>
                    <a:pt x="69166" y="109597"/>
                  </a:lnTo>
                  <a:lnTo>
                    <a:pt x="112841" y="109597"/>
                  </a:lnTo>
                  <a:close/>
                </a:path>
              </a:pathLst>
            </a:custGeom>
            <a:solidFill>
              <a:schemeClr val="tx1">
                <a:lumMod val="95000"/>
                <a:lumOff val="5000"/>
              </a:schemeClr>
            </a:solidFill>
            <a:ln w="9525" cap="flat">
              <a:noFill/>
              <a:prstDash val="solid"/>
              <a:miter/>
            </a:ln>
          </xdr:spPr>
          <xdr:txBody>
            <a:bodyPr wrap="square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>
                <a:solidFill>
                  <a:schemeClr val="tx1"/>
                </a:solidFill>
              </a:endParaRPr>
            </a:p>
          </xdr:txBody>
        </xdr:sp>
        <xdr:sp macro="" textlink="">
          <xdr:nvSpPr>
            <xdr:cNvPr id="59" name="Freeform: Shape 58">
              <a:extLst>
                <a:ext uri="{FF2B5EF4-FFF2-40B4-BE49-F238E27FC236}">
                  <a16:creationId xmlns:a16="http://schemas.microsoft.com/office/drawing/2014/main" id="{11939411-C65C-8390-EB1B-81146C640C2C}"/>
                </a:ext>
              </a:extLst>
            </xdr:cNvPr>
            <xdr:cNvSpPr/>
          </xdr:nvSpPr>
          <xdr:spPr>
            <a:xfrm>
              <a:off x="794956" y="75661"/>
              <a:ext cx="110300" cy="152618"/>
            </a:xfrm>
            <a:custGeom>
              <a:avLst/>
              <a:gdLst>
                <a:gd name="connsiteX0" fmla="*/ 0 w 137245"/>
                <a:gd name="connsiteY0" fmla="*/ 0 h 189901"/>
                <a:gd name="connsiteX1" fmla="*/ 64541 w 137245"/>
                <a:gd name="connsiteY1" fmla="*/ 0 h 189901"/>
                <a:gd name="connsiteX2" fmla="*/ 128302 w 137245"/>
                <a:gd name="connsiteY2" fmla="*/ 47475 h 189901"/>
                <a:gd name="connsiteX3" fmla="*/ 104156 w 137245"/>
                <a:gd name="connsiteY3" fmla="*/ 86531 h 189901"/>
                <a:gd name="connsiteX4" fmla="*/ 104156 w 137245"/>
                <a:gd name="connsiteY4" fmla="*/ 87350 h 189901"/>
                <a:gd name="connsiteX5" fmla="*/ 137246 w 137245"/>
                <a:gd name="connsiteY5" fmla="*/ 131844 h 189901"/>
                <a:gd name="connsiteX6" fmla="*/ 68085 w 137245"/>
                <a:gd name="connsiteY6" fmla="*/ 189902 h 189901"/>
                <a:gd name="connsiteX7" fmla="*/ 0 w 137245"/>
                <a:gd name="connsiteY7" fmla="*/ 189902 h 189901"/>
                <a:gd name="connsiteX8" fmla="*/ 0 w 137245"/>
                <a:gd name="connsiteY8" fmla="*/ 0 h 189901"/>
                <a:gd name="connsiteX9" fmla="*/ 72142 w 137245"/>
                <a:gd name="connsiteY9" fmla="*/ 77291 h 189901"/>
                <a:gd name="connsiteX10" fmla="*/ 89516 w 137245"/>
                <a:gd name="connsiteY10" fmla="*/ 53701 h 189901"/>
                <a:gd name="connsiteX11" fmla="*/ 61560 w 137245"/>
                <a:gd name="connsiteY11" fmla="*/ 34173 h 189901"/>
                <a:gd name="connsiteX12" fmla="*/ 37976 w 137245"/>
                <a:gd name="connsiteY12" fmla="*/ 34173 h 189901"/>
                <a:gd name="connsiteX13" fmla="*/ 37976 w 137245"/>
                <a:gd name="connsiteY13" fmla="*/ 77291 h 189901"/>
                <a:gd name="connsiteX14" fmla="*/ 72142 w 137245"/>
                <a:gd name="connsiteY14" fmla="*/ 77291 h 189901"/>
                <a:gd name="connsiteX15" fmla="*/ 66999 w 137245"/>
                <a:gd name="connsiteY15" fmla="*/ 155401 h 189901"/>
                <a:gd name="connsiteX16" fmla="*/ 97117 w 137245"/>
                <a:gd name="connsiteY16" fmla="*/ 131254 h 189901"/>
                <a:gd name="connsiteX17" fmla="*/ 70799 w 137245"/>
                <a:gd name="connsiteY17" fmla="*/ 109564 h 189901"/>
                <a:gd name="connsiteX18" fmla="*/ 37976 w 137245"/>
                <a:gd name="connsiteY18" fmla="*/ 109564 h 189901"/>
                <a:gd name="connsiteX19" fmla="*/ 37976 w 137245"/>
                <a:gd name="connsiteY19" fmla="*/ 155401 h 189901"/>
                <a:gd name="connsiteX20" fmla="*/ 66999 w 137245"/>
                <a:gd name="connsiteY20" fmla="*/ 155401 h 189901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</a:cxnLst>
              <a:rect l="l" t="t" r="r" b="b"/>
              <a:pathLst>
                <a:path w="137245" h="189901">
                  <a:moveTo>
                    <a:pt x="0" y="0"/>
                  </a:moveTo>
                  <a:lnTo>
                    <a:pt x="64541" y="0"/>
                  </a:lnTo>
                  <a:cubicBezTo>
                    <a:pt x="106061" y="0"/>
                    <a:pt x="128302" y="16808"/>
                    <a:pt x="128302" y="47475"/>
                  </a:cubicBezTo>
                  <a:cubicBezTo>
                    <a:pt x="128302" y="67003"/>
                    <a:pt x="118539" y="79748"/>
                    <a:pt x="104156" y="86531"/>
                  </a:cubicBezTo>
                  <a:lnTo>
                    <a:pt x="104156" y="87350"/>
                  </a:lnTo>
                  <a:cubicBezTo>
                    <a:pt x="123682" y="93575"/>
                    <a:pt x="137246" y="106353"/>
                    <a:pt x="137246" y="131844"/>
                  </a:cubicBezTo>
                  <a:cubicBezTo>
                    <a:pt x="137246" y="167917"/>
                    <a:pt x="109861" y="189902"/>
                    <a:pt x="68085" y="189902"/>
                  </a:cubicBezTo>
                  <a:lnTo>
                    <a:pt x="0" y="189902"/>
                  </a:lnTo>
                  <a:lnTo>
                    <a:pt x="0" y="0"/>
                  </a:lnTo>
                  <a:close/>
                  <a:moveTo>
                    <a:pt x="72142" y="77291"/>
                  </a:moveTo>
                  <a:cubicBezTo>
                    <a:pt x="84077" y="73228"/>
                    <a:pt x="89516" y="65070"/>
                    <a:pt x="89516" y="53701"/>
                  </a:cubicBezTo>
                  <a:cubicBezTo>
                    <a:pt x="89516" y="40398"/>
                    <a:pt x="78400" y="34173"/>
                    <a:pt x="61560" y="34173"/>
                  </a:cubicBezTo>
                  <a:lnTo>
                    <a:pt x="37976" y="34173"/>
                  </a:lnTo>
                  <a:lnTo>
                    <a:pt x="37976" y="77291"/>
                  </a:lnTo>
                  <a:lnTo>
                    <a:pt x="72142" y="77291"/>
                  </a:lnTo>
                  <a:close/>
                  <a:moveTo>
                    <a:pt x="66999" y="155401"/>
                  </a:moveTo>
                  <a:cubicBezTo>
                    <a:pt x="87087" y="155401"/>
                    <a:pt x="97117" y="146194"/>
                    <a:pt x="97117" y="131254"/>
                  </a:cubicBezTo>
                  <a:cubicBezTo>
                    <a:pt x="97117" y="117165"/>
                    <a:pt x="85449" y="110907"/>
                    <a:pt x="70799" y="109564"/>
                  </a:cubicBezTo>
                  <a:lnTo>
                    <a:pt x="37976" y="109564"/>
                  </a:lnTo>
                  <a:lnTo>
                    <a:pt x="37976" y="155401"/>
                  </a:lnTo>
                  <a:lnTo>
                    <a:pt x="66999" y="155401"/>
                  </a:lnTo>
                  <a:close/>
                </a:path>
              </a:pathLst>
            </a:custGeom>
            <a:solidFill>
              <a:schemeClr val="tx1">
                <a:lumMod val="95000"/>
                <a:lumOff val="5000"/>
              </a:schemeClr>
            </a:solidFill>
            <a:ln w="9525" cap="flat">
              <a:noFill/>
              <a:prstDash val="solid"/>
              <a:miter/>
            </a:ln>
          </xdr:spPr>
          <xdr:txBody>
            <a:bodyPr wrap="square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>
                <a:solidFill>
                  <a:schemeClr val="tx1"/>
                </a:solidFill>
              </a:endParaRPr>
            </a:p>
          </xdr:txBody>
        </xdr:sp>
        <xdr:sp macro="" textlink="">
          <xdr:nvSpPr>
            <xdr:cNvPr id="60" name="Freeform: Shape 59">
              <a:extLst>
                <a:ext uri="{FF2B5EF4-FFF2-40B4-BE49-F238E27FC236}">
                  <a16:creationId xmlns:a16="http://schemas.microsoft.com/office/drawing/2014/main" id="{DC49BFC3-1CFF-815A-0E15-6F8AA233056A}"/>
                </a:ext>
              </a:extLst>
            </xdr:cNvPr>
            <xdr:cNvSpPr/>
          </xdr:nvSpPr>
          <xdr:spPr>
            <a:xfrm>
              <a:off x="937309" y="75661"/>
              <a:ext cx="98527" cy="152618"/>
            </a:xfrm>
            <a:custGeom>
              <a:avLst/>
              <a:gdLst>
                <a:gd name="connsiteX0" fmla="*/ 0 w 122596"/>
                <a:gd name="connsiteY0" fmla="*/ 0 h 189901"/>
                <a:gd name="connsiteX1" fmla="*/ 118539 w 122596"/>
                <a:gd name="connsiteY1" fmla="*/ 0 h 189901"/>
                <a:gd name="connsiteX2" fmla="*/ 116634 w 122596"/>
                <a:gd name="connsiteY2" fmla="*/ 34435 h 189901"/>
                <a:gd name="connsiteX3" fmla="*/ 37967 w 122596"/>
                <a:gd name="connsiteY3" fmla="*/ 34435 h 189901"/>
                <a:gd name="connsiteX4" fmla="*/ 37967 w 122596"/>
                <a:gd name="connsiteY4" fmla="*/ 77029 h 189901"/>
                <a:gd name="connsiteX5" fmla="*/ 111490 w 122596"/>
                <a:gd name="connsiteY5" fmla="*/ 77029 h 189901"/>
                <a:gd name="connsiteX6" fmla="*/ 111490 w 122596"/>
                <a:gd name="connsiteY6" fmla="*/ 109859 h 189901"/>
                <a:gd name="connsiteX7" fmla="*/ 37967 w 122596"/>
                <a:gd name="connsiteY7" fmla="*/ 109859 h 189901"/>
                <a:gd name="connsiteX8" fmla="*/ 37967 w 122596"/>
                <a:gd name="connsiteY8" fmla="*/ 155171 h 189901"/>
                <a:gd name="connsiteX9" fmla="*/ 122596 w 122596"/>
                <a:gd name="connsiteY9" fmla="*/ 155171 h 189901"/>
                <a:gd name="connsiteX10" fmla="*/ 120701 w 122596"/>
                <a:gd name="connsiteY10" fmla="*/ 189902 h 189901"/>
                <a:gd name="connsiteX11" fmla="*/ 0 w 122596"/>
                <a:gd name="connsiteY11" fmla="*/ 189902 h 189901"/>
                <a:gd name="connsiteX12" fmla="*/ 0 w 122596"/>
                <a:gd name="connsiteY12" fmla="*/ 0 h 189901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</a:cxnLst>
              <a:rect l="l" t="t" r="r" b="b"/>
              <a:pathLst>
                <a:path w="122596" h="189901">
                  <a:moveTo>
                    <a:pt x="0" y="0"/>
                  </a:moveTo>
                  <a:lnTo>
                    <a:pt x="118539" y="0"/>
                  </a:lnTo>
                  <a:lnTo>
                    <a:pt x="116634" y="34435"/>
                  </a:lnTo>
                  <a:lnTo>
                    <a:pt x="37967" y="34435"/>
                  </a:lnTo>
                  <a:lnTo>
                    <a:pt x="37967" y="77029"/>
                  </a:lnTo>
                  <a:lnTo>
                    <a:pt x="111490" y="77029"/>
                  </a:lnTo>
                  <a:lnTo>
                    <a:pt x="111490" y="109859"/>
                  </a:lnTo>
                  <a:lnTo>
                    <a:pt x="37967" y="109859"/>
                  </a:lnTo>
                  <a:lnTo>
                    <a:pt x="37967" y="155171"/>
                  </a:lnTo>
                  <a:lnTo>
                    <a:pt x="122596" y="155171"/>
                  </a:lnTo>
                  <a:lnTo>
                    <a:pt x="120701" y="189902"/>
                  </a:lnTo>
                  <a:lnTo>
                    <a:pt x="0" y="189902"/>
                  </a:lnTo>
                  <a:lnTo>
                    <a:pt x="0" y="0"/>
                  </a:lnTo>
                  <a:close/>
                </a:path>
              </a:pathLst>
            </a:custGeom>
            <a:solidFill>
              <a:schemeClr val="tx1">
                <a:lumMod val="95000"/>
                <a:lumOff val="5000"/>
              </a:schemeClr>
            </a:solidFill>
            <a:ln w="9525" cap="flat">
              <a:noFill/>
              <a:prstDash val="solid"/>
              <a:miter/>
            </a:ln>
          </xdr:spPr>
          <xdr:txBody>
            <a:bodyPr wrap="square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>
                <a:solidFill>
                  <a:schemeClr val="tx1"/>
                </a:solidFill>
              </a:endParaRPr>
            </a:p>
          </xdr:txBody>
        </xdr:sp>
        <xdr:sp macro="" textlink="">
          <xdr:nvSpPr>
            <xdr:cNvPr id="61" name="Freeform: Shape 60">
              <a:extLst>
                <a:ext uri="{FF2B5EF4-FFF2-40B4-BE49-F238E27FC236}">
                  <a16:creationId xmlns:a16="http://schemas.microsoft.com/office/drawing/2014/main" id="{47CF190F-C885-E195-20C4-09A31D657DFC}"/>
                </a:ext>
              </a:extLst>
            </xdr:cNvPr>
            <xdr:cNvSpPr/>
          </xdr:nvSpPr>
          <xdr:spPr>
            <a:xfrm>
              <a:off x="1067466" y="75661"/>
              <a:ext cx="124676" cy="154542"/>
            </a:xfrm>
            <a:custGeom>
              <a:avLst/>
              <a:gdLst>
                <a:gd name="connsiteX0" fmla="*/ 0 w 155133"/>
                <a:gd name="connsiteY0" fmla="*/ 0 h 192294"/>
                <a:gd name="connsiteX1" fmla="*/ 62646 w 155133"/>
                <a:gd name="connsiteY1" fmla="*/ 0 h 192294"/>
                <a:gd name="connsiteX2" fmla="*/ 135055 w 155133"/>
                <a:gd name="connsiteY2" fmla="*/ 57239 h 192294"/>
                <a:gd name="connsiteX3" fmla="*/ 102775 w 155133"/>
                <a:gd name="connsiteY3" fmla="*/ 107959 h 192294"/>
                <a:gd name="connsiteX4" fmla="*/ 155134 w 155133"/>
                <a:gd name="connsiteY4" fmla="*/ 189869 h 192294"/>
                <a:gd name="connsiteX5" fmla="*/ 112014 w 155133"/>
                <a:gd name="connsiteY5" fmla="*/ 192294 h 192294"/>
                <a:gd name="connsiteX6" fmla="*/ 67523 w 155133"/>
                <a:gd name="connsiteY6" fmla="*/ 120147 h 192294"/>
                <a:gd name="connsiteX7" fmla="*/ 37967 w 155133"/>
                <a:gd name="connsiteY7" fmla="*/ 120147 h 192294"/>
                <a:gd name="connsiteX8" fmla="*/ 37967 w 155133"/>
                <a:gd name="connsiteY8" fmla="*/ 189869 h 192294"/>
                <a:gd name="connsiteX9" fmla="*/ 0 w 155133"/>
                <a:gd name="connsiteY9" fmla="*/ 189869 h 192294"/>
                <a:gd name="connsiteX10" fmla="*/ 0 w 155133"/>
                <a:gd name="connsiteY10" fmla="*/ 0 h 192294"/>
                <a:gd name="connsiteX11" fmla="*/ 73781 w 155133"/>
                <a:gd name="connsiteY11" fmla="*/ 86531 h 192294"/>
                <a:gd name="connsiteX12" fmla="*/ 94945 w 155133"/>
                <a:gd name="connsiteY12" fmla="*/ 59402 h 192294"/>
                <a:gd name="connsiteX13" fmla="*/ 58617 w 155133"/>
                <a:gd name="connsiteY13" fmla="*/ 34435 h 192294"/>
                <a:gd name="connsiteX14" fmla="*/ 38005 w 155133"/>
                <a:gd name="connsiteY14" fmla="*/ 34435 h 192294"/>
                <a:gd name="connsiteX15" fmla="*/ 38005 w 155133"/>
                <a:gd name="connsiteY15" fmla="*/ 86531 h 192294"/>
                <a:gd name="connsiteX16" fmla="*/ 73819 w 155133"/>
                <a:gd name="connsiteY16" fmla="*/ 86531 h 192294"/>
                <a:gd name="connsiteX17" fmla="*/ 73781 w 155133"/>
                <a:gd name="connsiteY17" fmla="*/ 86531 h 192294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</a:cxnLst>
              <a:rect l="l" t="t" r="r" b="b"/>
              <a:pathLst>
                <a:path w="155133" h="192294">
                  <a:moveTo>
                    <a:pt x="0" y="0"/>
                  </a:moveTo>
                  <a:lnTo>
                    <a:pt x="62646" y="0"/>
                  </a:lnTo>
                  <a:cubicBezTo>
                    <a:pt x="110119" y="0"/>
                    <a:pt x="135055" y="20085"/>
                    <a:pt x="135055" y="57239"/>
                  </a:cubicBezTo>
                  <a:cubicBezTo>
                    <a:pt x="135055" y="82468"/>
                    <a:pt x="121491" y="98195"/>
                    <a:pt x="102775" y="107959"/>
                  </a:cubicBezTo>
                  <a:lnTo>
                    <a:pt x="155134" y="189869"/>
                  </a:lnTo>
                  <a:lnTo>
                    <a:pt x="112014" y="192294"/>
                  </a:lnTo>
                  <a:lnTo>
                    <a:pt x="67523" y="120147"/>
                  </a:lnTo>
                  <a:lnTo>
                    <a:pt x="37967" y="120147"/>
                  </a:lnTo>
                  <a:lnTo>
                    <a:pt x="37967" y="189869"/>
                  </a:lnTo>
                  <a:lnTo>
                    <a:pt x="0" y="189869"/>
                  </a:lnTo>
                  <a:lnTo>
                    <a:pt x="0" y="0"/>
                  </a:lnTo>
                  <a:close/>
                  <a:moveTo>
                    <a:pt x="73781" y="86531"/>
                  </a:moveTo>
                  <a:cubicBezTo>
                    <a:pt x="86001" y="82468"/>
                    <a:pt x="94945" y="74309"/>
                    <a:pt x="94945" y="59402"/>
                  </a:cubicBezTo>
                  <a:cubicBezTo>
                    <a:pt x="94945" y="41775"/>
                    <a:pt x="81124" y="34435"/>
                    <a:pt x="58617" y="34435"/>
                  </a:cubicBezTo>
                  <a:lnTo>
                    <a:pt x="38005" y="34435"/>
                  </a:lnTo>
                  <a:lnTo>
                    <a:pt x="38005" y="86531"/>
                  </a:lnTo>
                  <a:lnTo>
                    <a:pt x="73819" y="86531"/>
                  </a:lnTo>
                  <a:lnTo>
                    <a:pt x="73781" y="86531"/>
                  </a:lnTo>
                  <a:close/>
                </a:path>
              </a:pathLst>
            </a:custGeom>
            <a:solidFill>
              <a:schemeClr val="tx1">
                <a:lumMod val="95000"/>
                <a:lumOff val="5000"/>
              </a:schemeClr>
            </a:solidFill>
            <a:ln w="9525" cap="flat">
              <a:noFill/>
              <a:prstDash val="solid"/>
              <a:miter/>
            </a:ln>
          </xdr:spPr>
          <xdr:txBody>
            <a:bodyPr wrap="square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>
                <a:solidFill>
                  <a:schemeClr val="tx1"/>
                </a:solidFill>
              </a:endParaRPr>
            </a:p>
          </xdr:txBody>
        </xdr:sp>
        <xdr:sp macro="" textlink="">
          <xdr:nvSpPr>
            <xdr:cNvPr id="62" name="Freeform: Shape 61">
              <a:extLst>
                <a:ext uri="{FF2B5EF4-FFF2-40B4-BE49-F238E27FC236}">
                  <a16:creationId xmlns:a16="http://schemas.microsoft.com/office/drawing/2014/main" id="{F093027D-29C5-E994-34B6-29E41BED433E}"/>
                </a:ext>
              </a:extLst>
            </xdr:cNvPr>
            <xdr:cNvSpPr/>
          </xdr:nvSpPr>
          <xdr:spPr>
            <a:xfrm>
              <a:off x="501725" y="283893"/>
              <a:ext cx="28096" cy="34099"/>
            </a:xfrm>
            <a:custGeom>
              <a:avLst/>
              <a:gdLst>
                <a:gd name="connsiteX0" fmla="*/ 26047 w 34959"/>
                <a:gd name="connsiteY0" fmla="*/ 27718 h 42429"/>
                <a:gd name="connsiteX1" fmla="*/ 32109 w 34959"/>
                <a:gd name="connsiteY1" fmla="*/ 22672 h 42429"/>
                <a:gd name="connsiteX2" fmla="*/ 34239 w 34959"/>
                <a:gd name="connsiteY2" fmla="*/ 14776 h 42429"/>
                <a:gd name="connsiteX3" fmla="*/ 32109 w 34959"/>
                <a:gd name="connsiteY3" fmla="*/ 6848 h 42429"/>
                <a:gd name="connsiteX4" fmla="*/ 26047 w 34959"/>
                <a:gd name="connsiteY4" fmla="*/ 1769 h 42429"/>
                <a:gd name="connsiteX5" fmla="*/ 16546 w 34959"/>
                <a:gd name="connsiteY5" fmla="*/ 0 h 42429"/>
                <a:gd name="connsiteX6" fmla="*/ 0 w 34959"/>
                <a:gd name="connsiteY6" fmla="*/ 0 h 42429"/>
                <a:gd name="connsiteX7" fmla="*/ 0 w 34959"/>
                <a:gd name="connsiteY7" fmla="*/ 42429 h 42429"/>
                <a:gd name="connsiteX8" fmla="*/ 6061 w 34959"/>
                <a:gd name="connsiteY8" fmla="*/ 42429 h 42429"/>
                <a:gd name="connsiteX9" fmla="*/ 6061 w 34959"/>
                <a:gd name="connsiteY9" fmla="*/ 29520 h 42429"/>
                <a:gd name="connsiteX10" fmla="*/ 16546 w 34959"/>
                <a:gd name="connsiteY10" fmla="*/ 29520 h 42429"/>
                <a:gd name="connsiteX11" fmla="*/ 19233 w 34959"/>
                <a:gd name="connsiteY11" fmla="*/ 29422 h 42429"/>
                <a:gd name="connsiteX12" fmla="*/ 28341 w 34959"/>
                <a:gd name="connsiteY12" fmla="*/ 42429 h 42429"/>
                <a:gd name="connsiteX13" fmla="*/ 34960 w 34959"/>
                <a:gd name="connsiteY13" fmla="*/ 42429 h 42429"/>
                <a:gd name="connsiteX14" fmla="*/ 24868 w 34959"/>
                <a:gd name="connsiteY14" fmla="*/ 28209 h 42429"/>
                <a:gd name="connsiteX15" fmla="*/ 26047 w 34959"/>
                <a:gd name="connsiteY15" fmla="*/ 27783 h 42429"/>
                <a:gd name="connsiteX16" fmla="*/ 26047 w 34959"/>
                <a:gd name="connsiteY16" fmla="*/ 27718 h 42429"/>
                <a:gd name="connsiteX17" fmla="*/ 16350 w 34959"/>
                <a:gd name="connsiteY17" fmla="*/ 24311 h 42429"/>
                <a:gd name="connsiteX18" fmla="*/ 6061 w 34959"/>
                <a:gd name="connsiteY18" fmla="*/ 24311 h 42429"/>
                <a:gd name="connsiteX19" fmla="*/ 6061 w 34959"/>
                <a:gd name="connsiteY19" fmla="*/ 5209 h 42429"/>
                <a:gd name="connsiteX20" fmla="*/ 16350 w 34959"/>
                <a:gd name="connsiteY20" fmla="*/ 5209 h 42429"/>
                <a:gd name="connsiteX21" fmla="*/ 25163 w 34959"/>
                <a:gd name="connsiteY21" fmla="*/ 7699 h 42429"/>
                <a:gd name="connsiteX22" fmla="*/ 28177 w 34959"/>
                <a:gd name="connsiteY22" fmla="*/ 14744 h 42429"/>
                <a:gd name="connsiteX23" fmla="*/ 25163 w 34959"/>
                <a:gd name="connsiteY23" fmla="*/ 21787 h 42429"/>
                <a:gd name="connsiteX24" fmla="*/ 16350 w 34959"/>
                <a:gd name="connsiteY24" fmla="*/ 24311 h 4242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</a:cxnLst>
              <a:rect l="l" t="t" r="r" b="b"/>
              <a:pathLst>
                <a:path w="34959" h="42429">
                  <a:moveTo>
                    <a:pt x="26047" y="27718"/>
                  </a:moveTo>
                  <a:cubicBezTo>
                    <a:pt x="28668" y="26539"/>
                    <a:pt x="30700" y="24868"/>
                    <a:pt x="32109" y="22672"/>
                  </a:cubicBezTo>
                  <a:cubicBezTo>
                    <a:pt x="33518" y="20477"/>
                    <a:pt x="34239" y="17823"/>
                    <a:pt x="34239" y="14776"/>
                  </a:cubicBezTo>
                  <a:cubicBezTo>
                    <a:pt x="34239" y="11729"/>
                    <a:pt x="33518" y="9075"/>
                    <a:pt x="32109" y="6848"/>
                  </a:cubicBezTo>
                  <a:cubicBezTo>
                    <a:pt x="30700" y="4620"/>
                    <a:pt x="28668" y="2916"/>
                    <a:pt x="26047" y="1769"/>
                  </a:cubicBezTo>
                  <a:cubicBezTo>
                    <a:pt x="23427" y="590"/>
                    <a:pt x="20248" y="0"/>
                    <a:pt x="16546" y="0"/>
                  </a:cubicBezTo>
                  <a:lnTo>
                    <a:pt x="0" y="0"/>
                  </a:lnTo>
                  <a:lnTo>
                    <a:pt x="0" y="42429"/>
                  </a:lnTo>
                  <a:lnTo>
                    <a:pt x="6061" y="42429"/>
                  </a:lnTo>
                  <a:lnTo>
                    <a:pt x="6061" y="29520"/>
                  </a:lnTo>
                  <a:lnTo>
                    <a:pt x="16546" y="29520"/>
                  </a:lnTo>
                  <a:cubicBezTo>
                    <a:pt x="17463" y="29520"/>
                    <a:pt x="18380" y="29487"/>
                    <a:pt x="19233" y="29422"/>
                  </a:cubicBezTo>
                  <a:lnTo>
                    <a:pt x="28341" y="42429"/>
                  </a:lnTo>
                  <a:lnTo>
                    <a:pt x="34960" y="42429"/>
                  </a:lnTo>
                  <a:lnTo>
                    <a:pt x="24868" y="28209"/>
                  </a:lnTo>
                  <a:cubicBezTo>
                    <a:pt x="25261" y="28079"/>
                    <a:pt x="25687" y="27947"/>
                    <a:pt x="26047" y="27783"/>
                  </a:cubicBezTo>
                  <a:lnTo>
                    <a:pt x="26047" y="27718"/>
                  </a:lnTo>
                  <a:close/>
                  <a:moveTo>
                    <a:pt x="16350" y="24311"/>
                  </a:moveTo>
                  <a:lnTo>
                    <a:pt x="6061" y="24311"/>
                  </a:lnTo>
                  <a:lnTo>
                    <a:pt x="6061" y="5209"/>
                  </a:lnTo>
                  <a:lnTo>
                    <a:pt x="16350" y="5209"/>
                  </a:lnTo>
                  <a:cubicBezTo>
                    <a:pt x="20216" y="5209"/>
                    <a:pt x="23164" y="6028"/>
                    <a:pt x="25163" y="7699"/>
                  </a:cubicBezTo>
                  <a:cubicBezTo>
                    <a:pt x="27161" y="9370"/>
                    <a:pt x="28177" y="11697"/>
                    <a:pt x="28177" y="14744"/>
                  </a:cubicBezTo>
                  <a:cubicBezTo>
                    <a:pt x="28177" y="17791"/>
                    <a:pt x="27194" y="20117"/>
                    <a:pt x="25163" y="21787"/>
                  </a:cubicBezTo>
                  <a:cubicBezTo>
                    <a:pt x="23164" y="23459"/>
                    <a:pt x="20216" y="24311"/>
                    <a:pt x="16350" y="24311"/>
                  </a:cubicBezTo>
                  <a:close/>
                </a:path>
              </a:pathLst>
            </a:custGeom>
            <a:solidFill>
              <a:srgbClr val="7CC061"/>
            </a:solidFill>
            <a:ln w="9525" cap="flat">
              <a:noFill/>
              <a:prstDash val="solid"/>
              <a:miter/>
            </a:ln>
          </xdr:spPr>
          <xdr:txBody>
            <a:bodyPr wrap="square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63" name="Freeform: Shape 62">
              <a:extLst>
                <a:ext uri="{FF2B5EF4-FFF2-40B4-BE49-F238E27FC236}">
                  <a16:creationId xmlns:a16="http://schemas.microsoft.com/office/drawing/2014/main" id="{CA3B674B-1611-31FA-EABD-BD391CEB4667}"/>
                </a:ext>
              </a:extLst>
            </xdr:cNvPr>
            <xdr:cNvSpPr/>
          </xdr:nvSpPr>
          <xdr:spPr>
            <a:xfrm>
              <a:off x="546857" y="283866"/>
              <a:ext cx="24752" cy="34100"/>
            </a:xfrm>
            <a:custGeom>
              <a:avLst/>
              <a:gdLst>
                <a:gd name="connsiteX0" fmla="*/ 6062 w 30799"/>
                <a:gd name="connsiteY0" fmla="*/ 23459 h 42430"/>
                <a:gd name="connsiteX1" fmla="*/ 27325 w 30799"/>
                <a:gd name="connsiteY1" fmla="*/ 23459 h 42430"/>
                <a:gd name="connsiteX2" fmla="*/ 27325 w 30799"/>
                <a:gd name="connsiteY2" fmla="*/ 18316 h 42430"/>
                <a:gd name="connsiteX3" fmla="*/ 6062 w 30799"/>
                <a:gd name="connsiteY3" fmla="*/ 18316 h 42430"/>
                <a:gd name="connsiteX4" fmla="*/ 6062 w 30799"/>
                <a:gd name="connsiteY4" fmla="*/ 5275 h 42430"/>
                <a:gd name="connsiteX5" fmla="*/ 29947 w 30799"/>
                <a:gd name="connsiteY5" fmla="*/ 5275 h 42430"/>
                <a:gd name="connsiteX6" fmla="*/ 29947 w 30799"/>
                <a:gd name="connsiteY6" fmla="*/ 0 h 42430"/>
                <a:gd name="connsiteX7" fmla="*/ 0 w 30799"/>
                <a:gd name="connsiteY7" fmla="*/ 0 h 42430"/>
                <a:gd name="connsiteX8" fmla="*/ 0 w 30799"/>
                <a:gd name="connsiteY8" fmla="*/ 42430 h 42430"/>
                <a:gd name="connsiteX9" fmla="*/ 30799 w 30799"/>
                <a:gd name="connsiteY9" fmla="*/ 42430 h 42430"/>
                <a:gd name="connsiteX10" fmla="*/ 30799 w 30799"/>
                <a:gd name="connsiteY10" fmla="*/ 37155 h 42430"/>
                <a:gd name="connsiteX11" fmla="*/ 6062 w 30799"/>
                <a:gd name="connsiteY11" fmla="*/ 37155 h 42430"/>
                <a:gd name="connsiteX12" fmla="*/ 6062 w 30799"/>
                <a:gd name="connsiteY12" fmla="*/ 23459 h 4243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</a:cxnLst>
              <a:rect l="l" t="t" r="r" b="b"/>
              <a:pathLst>
                <a:path w="30799" h="42430">
                  <a:moveTo>
                    <a:pt x="6062" y="23459"/>
                  </a:moveTo>
                  <a:lnTo>
                    <a:pt x="27325" y="23459"/>
                  </a:lnTo>
                  <a:lnTo>
                    <a:pt x="27325" y="18316"/>
                  </a:lnTo>
                  <a:lnTo>
                    <a:pt x="6062" y="18316"/>
                  </a:lnTo>
                  <a:lnTo>
                    <a:pt x="6062" y="5275"/>
                  </a:lnTo>
                  <a:lnTo>
                    <a:pt x="29947" y="5275"/>
                  </a:lnTo>
                  <a:lnTo>
                    <a:pt x="29947" y="0"/>
                  </a:lnTo>
                  <a:lnTo>
                    <a:pt x="0" y="0"/>
                  </a:lnTo>
                  <a:lnTo>
                    <a:pt x="0" y="42430"/>
                  </a:lnTo>
                  <a:lnTo>
                    <a:pt x="30799" y="42430"/>
                  </a:lnTo>
                  <a:lnTo>
                    <a:pt x="30799" y="37155"/>
                  </a:lnTo>
                  <a:lnTo>
                    <a:pt x="6062" y="37155"/>
                  </a:lnTo>
                  <a:lnTo>
                    <a:pt x="6062" y="23459"/>
                  </a:lnTo>
                  <a:close/>
                </a:path>
              </a:pathLst>
            </a:custGeom>
            <a:solidFill>
              <a:srgbClr val="7CC061"/>
            </a:solidFill>
            <a:ln w="9525" cap="flat">
              <a:noFill/>
              <a:prstDash val="solid"/>
              <a:miter/>
            </a:ln>
          </xdr:spPr>
          <xdr:txBody>
            <a:bodyPr wrap="square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64" name="Freeform: Shape 63">
              <a:extLst>
                <a:ext uri="{FF2B5EF4-FFF2-40B4-BE49-F238E27FC236}">
                  <a16:creationId xmlns:a16="http://schemas.microsoft.com/office/drawing/2014/main" id="{E8EF86DB-11B0-D7DF-145C-DB94CCC874A5}"/>
                </a:ext>
              </a:extLst>
            </xdr:cNvPr>
            <xdr:cNvSpPr/>
          </xdr:nvSpPr>
          <xdr:spPr>
            <a:xfrm>
              <a:off x="589225" y="283866"/>
              <a:ext cx="29333" cy="34100"/>
            </a:xfrm>
            <a:custGeom>
              <a:avLst/>
              <a:gdLst>
                <a:gd name="connsiteX0" fmla="*/ 30438 w 36499"/>
                <a:gd name="connsiteY0" fmla="*/ 31617 h 42430"/>
                <a:gd name="connsiteX1" fmla="*/ 4981 w 36499"/>
                <a:gd name="connsiteY1" fmla="*/ 0 h 42430"/>
                <a:gd name="connsiteX2" fmla="*/ 0 w 36499"/>
                <a:gd name="connsiteY2" fmla="*/ 0 h 42430"/>
                <a:gd name="connsiteX3" fmla="*/ 0 w 36499"/>
                <a:gd name="connsiteY3" fmla="*/ 42430 h 42430"/>
                <a:gd name="connsiteX4" fmla="*/ 6062 w 36499"/>
                <a:gd name="connsiteY4" fmla="*/ 42430 h 42430"/>
                <a:gd name="connsiteX5" fmla="*/ 6062 w 36499"/>
                <a:gd name="connsiteY5" fmla="*/ 10813 h 42430"/>
                <a:gd name="connsiteX6" fmla="*/ 31519 w 36499"/>
                <a:gd name="connsiteY6" fmla="*/ 42430 h 42430"/>
                <a:gd name="connsiteX7" fmla="*/ 36500 w 36499"/>
                <a:gd name="connsiteY7" fmla="*/ 42430 h 42430"/>
                <a:gd name="connsiteX8" fmla="*/ 36500 w 36499"/>
                <a:gd name="connsiteY8" fmla="*/ 0 h 42430"/>
                <a:gd name="connsiteX9" fmla="*/ 30438 w 36499"/>
                <a:gd name="connsiteY9" fmla="*/ 0 h 42430"/>
                <a:gd name="connsiteX10" fmla="*/ 30438 w 36499"/>
                <a:gd name="connsiteY10" fmla="*/ 31617 h 4243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</a:cxnLst>
              <a:rect l="l" t="t" r="r" b="b"/>
              <a:pathLst>
                <a:path w="36499" h="42430">
                  <a:moveTo>
                    <a:pt x="30438" y="31617"/>
                  </a:moveTo>
                  <a:lnTo>
                    <a:pt x="4981" y="0"/>
                  </a:lnTo>
                  <a:lnTo>
                    <a:pt x="0" y="0"/>
                  </a:lnTo>
                  <a:lnTo>
                    <a:pt x="0" y="42430"/>
                  </a:lnTo>
                  <a:lnTo>
                    <a:pt x="6062" y="42430"/>
                  </a:lnTo>
                  <a:lnTo>
                    <a:pt x="6062" y="10813"/>
                  </a:lnTo>
                  <a:lnTo>
                    <a:pt x="31519" y="42430"/>
                  </a:lnTo>
                  <a:lnTo>
                    <a:pt x="36500" y="42430"/>
                  </a:lnTo>
                  <a:lnTo>
                    <a:pt x="36500" y="0"/>
                  </a:lnTo>
                  <a:lnTo>
                    <a:pt x="30438" y="0"/>
                  </a:lnTo>
                  <a:lnTo>
                    <a:pt x="30438" y="31617"/>
                  </a:lnTo>
                  <a:close/>
                </a:path>
              </a:pathLst>
            </a:custGeom>
            <a:solidFill>
              <a:srgbClr val="7CC061"/>
            </a:solidFill>
            <a:ln w="9525" cap="flat">
              <a:noFill/>
              <a:prstDash val="solid"/>
              <a:miter/>
            </a:ln>
          </xdr:spPr>
          <xdr:txBody>
            <a:bodyPr wrap="square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65" name="Freeform: Shape 64">
              <a:extLst>
                <a:ext uri="{FF2B5EF4-FFF2-40B4-BE49-F238E27FC236}">
                  <a16:creationId xmlns:a16="http://schemas.microsoft.com/office/drawing/2014/main" id="{D59891BF-7BB0-0738-EC00-CEA4BB47C3AD}"/>
                </a:ext>
              </a:extLst>
            </xdr:cNvPr>
            <xdr:cNvSpPr/>
          </xdr:nvSpPr>
          <xdr:spPr>
            <a:xfrm>
              <a:off x="638519" y="283866"/>
              <a:ext cx="24725" cy="34100"/>
            </a:xfrm>
            <a:custGeom>
              <a:avLst/>
              <a:gdLst>
                <a:gd name="connsiteX0" fmla="*/ 6061 w 30765"/>
                <a:gd name="connsiteY0" fmla="*/ 23459 h 42430"/>
                <a:gd name="connsiteX1" fmla="*/ 27325 w 30765"/>
                <a:gd name="connsiteY1" fmla="*/ 23459 h 42430"/>
                <a:gd name="connsiteX2" fmla="*/ 27325 w 30765"/>
                <a:gd name="connsiteY2" fmla="*/ 18316 h 42430"/>
                <a:gd name="connsiteX3" fmla="*/ 6061 w 30765"/>
                <a:gd name="connsiteY3" fmla="*/ 18316 h 42430"/>
                <a:gd name="connsiteX4" fmla="*/ 6061 w 30765"/>
                <a:gd name="connsiteY4" fmla="*/ 5275 h 42430"/>
                <a:gd name="connsiteX5" fmla="*/ 29947 w 30765"/>
                <a:gd name="connsiteY5" fmla="*/ 5275 h 42430"/>
                <a:gd name="connsiteX6" fmla="*/ 29947 w 30765"/>
                <a:gd name="connsiteY6" fmla="*/ 0 h 42430"/>
                <a:gd name="connsiteX7" fmla="*/ 0 w 30765"/>
                <a:gd name="connsiteY7" fmla="*/ 0 h 42430"/>
                <a:gd name="connsiteX8" fmla="*/ 0 w 30765"/>
                <a:gd name="connsiteY8" fmla="*/ 42430 h 42430"/>
                <a:gd name="connsiteX9" fmla="*/ 30766 w 30765"/>
                <a:gd name="connsiteY9" fmla="*/ 42430 h 42430"/>
                <a:gd name="connsiteX10" fmla="*/ 30766 w 30765"/>
                <a:gd name="connsiteY10" fmla="*/ 37155 h 42430"/>
                <a:gd name="connsiteX11" fmla="*/ 6061 w 30765"/>
                <a:gd name="connsiteY11" fmla="*/ 37155 h 42430"/>
                <a:gd name="connsiteX12" fmla="*/ 6061 w 30765"/>
                <a:gd name="connsiteY12" fmla="*/ 23459 h 4243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</a:cxnLst>
              <a:rect l="l" t="t" r="r" b="b"/>
              <a:pathLst>
                <a:path w="30765" h="42430">
                  <a:moveTo>
                    <a:pt x="6061" y="23459"/>
                  </a:moveTo>
                  <a:lnTo>
                    <a:pt x="27325" y="23459"/>
                  </a:lnTo>
                  <a:lnTo>
                    <a:pt x="27325" y="18316"/>
                  </a:lnTo>
                  <a:lnTo>
                    <a:pt x="6061" y="18316"/>
                  </a:lnTo>
                  <a:lnTo>
                    <a:pt x="6061" y="5275"/>
                  </a:lnTo>
                  <a:lnTo>
                    <a:pt x="29947" y="5275"/>
                  </a:lnTo>
                  <a:lnTo>
                    <a:pt x="29947" y="0"/>
                  </a:lnTo>
                  <a:lnTo>
                    <a:pt x="0" y="0"/>
                  </a:lnTo>
                  <a:lnTo>
                    <a:pt x="0" y="42430"/>
                  </a:lnTo>
                  <a:lnTo>
                    <a:pt x="30766" y="42430"/>
                  </a:lnTo>
                  <a:lnTo>
                    <a:pt x="30766" y="37155"/>
                  </a:lnTo>
                  <a:lnTo>
                    <a:pt x="6061" y="37155"/>
                  </a:lnTo>
                  <a:lnTo>
                    <a:pt x="6061" y="23459"/>
                  </a:lnTo>
                  <a:close/>
                </a:path>
              </a:pathLst>
            </a:custGeom>
            <a:solidFill>
              <a:srgbClr val="7CC061"/>
            </a:solidFill>
            <a:ln w="9525" cap="flat">
              <a:noFill/>
              <a:prstDash val="solid"/>
              <a:miter/>
            </a:ln>
          </xdr:spPr>
          <xdr:txBody>
            <a:bodyPr wrap="square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66" name="Freeform: Shape 65">
              <a:extLst>
                <a:ext uri="{FF2B5EF4-FFF2-40B4-BE49-F238E27FC236}">
                  <a16:creationId xmlns:a16="http://schemas.microsoft.com/office/drawing/2014/main" id="{8BA55D08-2CA0-7F4E-6F51-C64514AC978E}"/>
                </a:ext>
              </a:extLst>
            </xdr:cNvPr>
            <xdr:cNvSpPr/>
          </xdr:nvSpPr>
          <xdr:spPr>
            <a:xfrm>
              <a:off x="676831" y="283866"/>
              <a:ext cx="51742" cy="34100"/>
            </a:xfrm>
            <a:custGeom>
              <a:avLst/>
              <a:gdLst>
                <a:gd name="connsiteX0" fmla="*/ 46918 w 64382"/>
                <a:gd name="connsiteY0" fmla="*/ 34664 h 42430"/>
                <a:gd name="connsiteX1" fmla="*/ 35222 w 64382"/>
                <a:gd name="connsiteY1" fmla="*/ 0 h 42430"/>
                <a:gd name="connsiteX2" fmla="*/ 29652 w 64382"/>
                <a:gd name="connsiteY2" fmla="*/ 0 h 42430"/>
                <a:gd name="connsiteX3" fmla="*/ 17725 w 64382"/>
                <a:gd name="connsiteY3" fmla="*/ 34501 h 42430"/>
                <a:gd name="connsiteX4" fmla="*/ 6258 w 64382"/>
                <a:gd name="connsiteY4" fmla="*/ 0 h 42430"/>
                <a:gd name="connsiteX5" fmla="*/ 0 w 64382"/>
                <a:gd name="connsiteY5" fmla="*/ 0 h 42430"/>
                <a:gd name="connsiteX6" fmla="*/ 14188 w 64382"/>
                <a:gd name="connsiteY6" fmla="*/ 42430 h 42430"/>
                <a:gd name="connsiteX7" fmla="*/ 20674 w 64382"/>
                <a:gd name="connsiteY7" fmla="*/ 42430 h 42430"/>
                <a:gd name="connsiteX8" fmla="*/ 32273 w 64382"/>
                <a:gd name="connsiteY8" fmla="*/ 8519 h 42430"/>
                <a:gd name="connsiteX9" fmla="*/ 43839 w 64382"/>
                <a:gd name="connsiteY9" fmla="*/ 42430 h 42430"/>
                <a:gd name="connsiteX10" fmla="*/ 50195 w 64382"/>
                <a:gd name="connsiteY10" fmla="*/ 42430 h 42430"/>
                <a:gd name="connsiteX11" fmla="*/ 64382 w 64382"/>
                <a:gd name="connsiteY11" fmla="*/ 0 h 42430"/>
                <a:gd name="connsiteX12" fmla="*/ 58616 w 64382"/>
                <a:gd name="connsiteY12" fmla="*/ 0 h 42430"/>
                <a:gd name="connsiteX13" fmla="*/ 46918 w 64382"/>
                <a:gd name="connsiteY13" fmla="*/ 34664 h 4243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</a:cxnLst>
              <a:rect l="l" t="t" r="r" b="b"/>
              <a:pathLst>
                <a:path w="64382" h="42430">
                  <a:moveTo>
                    <a:pt x="46918" y="34664"/>
                  </a:moveTo>
                  <a:lnTo>
                    <a:pt x="35222" y="0"/>
                  </a:lnTo>
                  <a:lnTo>
                    <a:pt x="29652" y="0"/>
                  </a:lnTo>
                  <a:lnTo>
                    <a:pt x="17725" y="34501"/>
                  </a:lnTo>
                  <a:lnTo>
                    <a:pt x="6258" y="0"/>
                  </a:lnTo>
                  <a:lnTo>
                    <a:pt x="0" y="0"/>
                  </a:lnTo>
                  <a:lnTo>
                    <a:pt x="14188" y="42430"/>
                  </a:lnTo>
                  <a:lnTo>
                    <a:pt x="20674" y="42430"/>
                  </a:lnTo>
                  <a:lnTo>
                    <a:pt x="32273" y="8519"/>
                  </a:lnTo>
                  <a:lnTo>
                    <a:pt x="43839" y="42430"/>
                  </a:lnTo>
                  <a:lnTo>
                    <a:pt x="50195" y="42430"/>
                  </a:lnTo>
                  <a:lnTo>
                    <a:pt x="64382" y="0"/>
                  </a:lnTo>
                  <a:lnTo>
                    <a:pt x="58616" y="0"/>
                  </a:lnTo>
                  <a:lnTo>
                    <a:pt x="46918" y="34664"/>
                  </a:lnTo>
                  <a:close/>
                </a:path>
              </a:pathLst>
            </a:custGeom>
            <a:solidFill>
              <a:srgbClr val="7CC061"/>
            </a:solidFill>
            <a:ln w="9525" cap="flat">
              <a:noFill/>
              <a:prstDash val="solid"/>
              <a:miter/>
            </a:ln>
          </xdr:spPr>
          <xdr:txBody>
            <a:bodyPr wrap="square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67" name="Freeform: Shape 66">
              <a:extLst>
                <a:ext uri="{FF2B5EF4-FFF2-40B4-BE49-F238E27FC236}">
                  <a16:creationId xmlns:a16="http://schemas.microsoft.com/office/drawing/2014/main" id="{B68F9C39-1600-EF2A-E530-0807AEBF7027}"/>
                </a:ext>
              </a:extLst>
            </xdr:cNvPr>
            <xdr:cNvSpPr/>
          </xdr:nvSpPr>
          <xdr:spPr>
            <a:xfrm>
              <a:off x="738026" y="283866"/>
              <a:ext cx="35732" cy="34100"/>
            </a:xfrm>
            <a:custGeom>
              <a:avLst/>
              <a:gdLst>
                <a:gd name="connsiteX0" fmla="*/ 19201 w 44461"/>
                <a:gd name="connsiteY0" fmla="*/ 0 h 42430"/>
                <a:gd name="connsiteX1" fmla="*/ 0 w 44461"/>
                <a:gd name="connsiteY1" fmla="*/ 42430 h 42430"/>
                <a:gd name="connsiteX2" fmla="*/ 6258 w 44461"/>
                <a:gd name="connsiteY2" fmla="*/ 42430 h 42430"/>
                <a:gd name="connsiteX3" fmla="*/ 10915 w 44461"/>
                <a:gd name="connsiteY3" fmla="*/ 31814 h 42430"/>
                <a:gd name="connsiteX4" fmla="*/ 33451 w 44461"/>
                <a:gd name="connsiteY4" fmla="*/ 31814 h 42430"/>
                <a:gd name="connsiteX5" fmla="*/ 38109 w 44461"/>
                <a:gd name="connsiteY5" fmla="*/ 42430 h 42430"/>
                <a:gd name="connsiteX6" fmla="*/ 44462 w 44461"/>
                <a:gd name="connsiteY6" fmla="*/ 42430 h 42430"/>
                <a:gd name="connsiteX7" fmla="*/ 25193 w 44461"/>
                <a:gd name="connsiteY7" fmla="*/ 0 h 42430"/>
                <a:gd name="connsiteX8" fmla="*/ 19201 w 44461"/>
                <a:gd name="connsiteY8" fmla="*/ 0 h 42430"/>
                <a:gd name="connsiteX9" fmla="*/ 13010 w 44461"/>
                <a:gd name="connsiteY9" fmla="*/ 26965 h 42430"/>
                <a:gd name="connsiteX10" fmla="*/ 22145 w 44461"/>
                <a:gd name="connsiteY10" fmla="*/ 6160 h 42430"/>
                <a:gd name="connsiteX11" fmla="*/ 31289 w 44461"/>
                <a:gd name="connsiteY11" fmla="*/ 26965 h 42430"/>
                <a:gd name="connsiteX12" fmla="*/ 13010 w 44461"/>
                <a:gd name="connsiteY12" fmla="*/ 26965 h 4243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</a:cxnLst>
              <a:rect l="l" t="t" r="r" b="b"/>
              <a:pathLst>
                <a:path w="44461" h="42430">
                  <a:moveTo>
                    <a:pt x="19201" y="0"/>
                  </a:moveTo>
                  <a:lnTo>
                    <a:pt x="0" y="42430"/>
                  </a:lnTo>
                  <a:lnTo>
                    <a:pt x="6258" y="42430"/>
                  </a:lnTo>
                  <a:lnTo>
                    <a:pt x="10915" y="31814"/>
                  </a:lnTo>
                  <a:lnTo>
                    <a:pt x="33451" y="31814"/>
                  </a:lnTo>
                  <a:lnTo>
                    <a:pt x="38109" y="42430"/>
                  </a:lnTo>
                  <a:lnTo>
                    <a:pt x="44462" y="42430"/>
                  </a:lnTo>
                  <a:lnTo>
                    <a:pt x="25193" y="0"/>
                  </a:lnTo>
                  <a:lnTo>
                    <a:pt x="19201" y="0"/>
                  </a:lnTo>
                  <a:close/>
                  <a:moveTo>
                    <a:pt x="13010" y="26965"/>
                  </a:moveTo>
                  <a:lnTo>
                    <a:pt x="22145" y="6160"/>
                  </a:lnTo>
                  <a:lnTo>
                    <a:pt x="31289" y="26965"/>
                  </a:lnTo>
                  <a:lnTo>
                    <a:pt x="13010" y="26965"/>
                  </a:lnTo>
                  <a:close/>
                </a:path>
              </a:pathLst>
            </a:custGeom>
            <a:solidFill>
              <a:srgbClr val="7CC061"/>
            </a:solidFill>
            <a:ln w="9525" cap="flat">
              <a:noFill/>
              <a:prstDash val="solid"/>
              <a:miter/>
            </a:ln>
          </xdr:spPr>
          <xdr:txBody>
            <a:bodyPr wrap="square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68" name="Freeform: Shape 67">
              <a:extLst>
                <a:ext uri="{FF2B5EF4-FFF2-40B4-BE49-F238E27FC236}">
                  <a16:creationId xmlns:a16="http://schemas.microsoft.com/office/drawing/2014/main" id="{E664C3FE-B912-0355-DE8A-BAE35ADB3CFD}"/>
                </a:ext>
              </a:extLst>
            </xdr:cNvPr>
            <xdr:cNvSpPr/>
          </xdr:nvSpPr>
          <xdr:spPr>
            <a:xfrm>
              <a:off x="788587" y="283866"/>
              <a:ext cx="29326" cy="34100"/>
            </a:xfrm>
            <a:custGeom>
              <a:avLst/>
              <a:gdLst>
                <a:gd name="connsiteX0" fmla="*/ 30404 w 36490"/>
                <a:gd name="connsiteY0" fmla="*/ 21166 h 42430"/>
                <a:gd name="connsiteX1" fmla="*/ 28337 w 36490"/>
                <a:gd name="connsiteY1" fmla="*/ 20510 h 42430"/>
                <a:gd name="connsiteX2" fmla="*/ 28537 w 36490"/>
                <a:gd name="connsiteY2" fmla="*/ 20445 h 42430"/>
                <a:gd name="connsiteX3" fmla="*/ 32690 w 36490"/>
                <a:gd name="connsiteY3" fmla="*/ 16808 h 42430"/>
                <a:gd name="connsiteX4" fmla="*/ 34233 w 36490"/>
                <a:gd name="connsiteY4" fmla="*/ 10977 h 42430"/>
                <a:gd name="connsiteX5" fmla="*/ 30299 w 36490"/>
                <a:gd name="connsiteY5" fmla="*/ 2949 h 42430"/>
                <a:gd name="connsiteX6" fmla="*/ 19031 w 36490"/>
                <a:gd name="connsiteY6" fmla="*/ 0 h 42430"/>
                <a:gd name="connsiteX7" fmla="*/ 0 w 36490"/>
                <a:gd name="connsiteY7" fmla="*/ 0 h 42430"/>
                <a:gd name="connsiteX8" fmla="*/ 0 w 36490"/>
                <a:gd name="connsiteY8" fmla="*/ 42430 h 42430"/>
                <a:gd name="connsiteX9" fmla="*/ 20241 w 36490"/>
                <a:gd name="connsiteY9" fmla="*/ 42430 h 42430"/>
                <a:gd name="connsiteX10" fmla="*/ 32404 w 36490"/>
                <a:gd name="connsiteY10" fmla="*/ 39415 h 42430"/>
                <a:gd name="connsiteX11" fmla="*/ 36490 w 36490"/>
                <a:gd name="connsiteY11" fmla="*/ 30962 h 42430"/>
                <a:gd name="connsiteX12" fmla="*/ 34852 w 36490"/>
                <a:gd name="connsiteY12" fmla="*/ 24868 h 42430"/>
                <a:gd name="connsiteX13" fmla="*/ 30432 w 36490"/>
                <a:gd name="connsiteY13" fmla="*/ 21133 h 42430"/>
                <a:gd name="connsiteX14" fmla="*/ 30404 w 36490"/>
                <a:gd name="connsiteY14" fmla="*/ 21166 h 42430"/>
                <a:gd name="connsiteX15" fmla="*/ 6020 w 36490"/>
                <a:gd name="connsiteY15" fmla="*/ 4915 h 42430"/>
                <a:gd name="connsiteX16" fmla="*/ 18440 w 36490"/>
                <a:gd name="connsiteY16" fmla="*/ 4915 h 42430"/>
                <a:gd name="connsiteX17" fmla="*/ 25584 w 36490"/>
                <a:gd name="connsiteY17" fmla="*/ 6619 h 42430"/>
                <a:gd name="connsiteX18" fmla="*/ 28137 w 36490"/>
                <a:gd name="connsiteY18" fmla="*/ 11697 h 42430"/>
                <a:gd name="connsiteX19" fmla="*/ 25584 w 36490"/>
                <a:gd name="connsiteY19" fmla="*/ 16775 h 42430"/>
                <a:gd name="connsiteX20" fmla="*/ 18440 w 36490"/>
                <a:gd name="connsiteY20" fmla="*/ 18479 h 42430"/>
                <a:gd name="connsiteX21" fmla="*/ 6020 w 36490"/>
                <a:gd name="connsiteY21" fmla="*/ 18479 h 42430"/>
                <a:gd name="connsiteX22" fmla="*/ 6020 w 36490"/>
                <a:gd name="connsiteY22" fmla="*/ 4915 h 42430"/>
                <a:gd name="connsiteX23" fmla="*/ 27651 w 36490"/>
                <a:gd name="connsiteY23" fmla="*/ 35811 h 42430"/>
                <a:gd name="connsiteX24" fmla="*/ 19945 w 36490"/>
                <a:gd name="connsiteY24" fmla="*/ 37515 h 42430"/>
                <a:gd name="connsiteX25" fmla="*/ 6020 w 36490"/>
                <a:gd name="connsiteY25" fmla="*/ 37515 h 42430"/>
                <a:gd name="connsiteX26" fmla="*/ 6020 w 36490"/>
                <a:gd name="connsiteY26" fmla="*/ 23394 h 42430"/>
                <a:gd name="connsiteX27" fmla="*/ 19945 w 36490"/>
                <a:gd name="connsiteY27" fmla="*/ 23394 h 42430"/>
                <a:gd name="connsiteX28" fmla="*/ 27651 w 36490"/>
                <a:gd name="connsiteY28" fmla="*/ 25097 h 42430"/>
                <a:gd name="connsiteX29" fmla="*/ 30299 w 36490"/>
                <a:gd name="connsiteY29" fmla="*/ 30504 h 42430"/>
                <a:gd name="connsiteX30" fmla="*/ 27651 w 36490"/>
                <a:gd name="connsiteY30" fmla="*/ 35844 h 42430"/>
                <a:gd name="connsiteX31" fmla="*/ 27651 w 36490"/>
                <a:gd name="connsiteY31" fmla="*/ 35811 h 4243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  <a:cxn ang="0">
                  <a:pos x="connsiteX26" y="connsiteY26"/>
                </a:cxn>
                <a:cxn ang="0">
                  <a:pos x="connsiteX27" y="connsiteY27"/>
                </a:cxn>
                <a:cxn ang="0">
                  <a:pos x="connsiteX28" y="connsiteY28"/>
                </a:cxn>
                <a:cxn ang="0">
                  <a:pos x="connsiteX29" y="connsiteY29"/>
                </a:cxn>
                <a:cxn ang="0">
                  <a:pos x="connsiteX30" y="connsiteY30"/>
                </a:cxn>
                <a:cxn ang="0">
                  <a:pos x="connsiteX31" y="connsiteY31"/>
                </a:cxn>
              </a:cxnLst>
              <a:rect l="l" t="t" r="r" b="b"/>
              <a:pathLst>
                <a:path w="36490" h="42430">
                  <a:moveTo>
                    <a:pt x="30404" y="21166"/>
                  </a:moveTo>
                  <a:cubicBezTo>
                    <a:pt x="29747" y="20871"/>
                    <a:pt x="29023" y="20707"/>
                    <a:pt x="28337" y="20510"/>
                  </a:cubicBezTo>
                  <a:cubicBezTo>
                    <a:pt x="28404" y="20510"/>
                    <a:pt x="28470" y="20478"/>
                    <a:pt x="28537" y="20445"/>
                  </a:cubicBezTo>
                  <a:cubicBezTo>
                    <a:pt x="30270" y="19593"/>
                    <a:pt x="31642" y="18381"/>
                    <a:pt x="32690" y="16808"/>
                  </a:cubicBezTo>
                  <a:cubicBezTo>
                    <a:pt x="33709" y="15235"/>
                    <a:pt x="34233" y="13303"/>
                    <a:pt x="34233" y="10977"/>
                  </a:cubicBezTo>
                  <a:cubicBezTo>
                    <a:pt x="34233" y="7569"/>
                    <a:pt x="32928" y="4915"/>
                    <a:pt x="30299" y="2949"/>
                  </a:cubicBezTo>
                  <a:cubicBezTo>
                    <a:pt x="27680" y="983"/>
                    <a:pt x="23917" y="0"/>
                    <a:pt x="19031" y="0"/>
                  </a:cubicBezTo>
                  <a:lnTo>
                    <a:pt x="0" y="0"/>
                  </a:lnTo>
                  <a:lnTo>
                    <a:pt x="0" y="42430"/>
                  </a:lnTo>
                  <a:lnTo>
                    <a:pt x="20241" y="42430"/>
                  </a:lnTo>
                  <a:cubicBezTo>
                    <a:pt x="25613" y="42430"/>
                    <a:pt x="29680" y="41415"/>
                    <a:pt x="32404" y="39415"/>
                  </a:cubicBezTo>
                  <a:cubicBezTo>
                    <a:pt x="35119" y="37417"/>
                    <a:pt x="36490" y="34600"/>
                    <a:pt x="36490" y="30962"/>
                  </a:cubicBezTo>
                  <a:cubicBezTo>
                    <a:pt x="36490" y="28538"/>
                    <a:pt x="35938" y="26506"/>
                    <a:pt x="34852" y="24868"/>
                  </a:cubicBezTo>
                  <a:cubicBezTo>
                    <a:pt x="33776" y="23231"/>
                    <a:pt x="32299" y="21985"/>
                    <a:pt x="30432" y="21133"/>
                  </a:cubicBezTo>
                  <a:lnTo>
                    <a:pt x="30404" y="21166"/>
                  </a:lnTo>
                  <a:close/>
                  <a:moveTo>
                    <a:pt x="6020" y="4915"/>
                  </a:moveTo>
                  <a:lnTo>
                    <a:pt x="18440" y="4915"/>
                  </a:lnTo>
                  <a:cubicBezTo>
                    <a:pt x="21517" y="4915"/>
                    <a:pt x="23879" y="5472"/>
                    <a:pt x="25584" y="6619"/>
                  </a:cubicBezTo>
                  <a:cubicBezTo>
                    <a:pt x="27289" y="7766"/>
                    <a:pt x="28137" y="9436"/>
                    <a:pt x="28137" y="11697"/>
                  </a:cubicBezTo>
                  <a:cubicBezTo>
                    <a:pt x="28137" y="13958"/>
                    <a:pt x="27289" y="15662"/>
                    <a:pt x="25584" y="16775"/>
                  </a:cubicBezTo>
                  <a:cubicBezTo>
                    <a:pt x="23879" y="17922"/>
                    <a:pt x="21488" y="18479"/>
                    <a:pt x="18440" y="18479"/>
                  </a:cubicBezTo>
                  <a:lnTo>
                    <a:pt x="6020" y="18479"/>
                  </a:lnTo>
                  <a:lnTo>
                    <a:pt x="6020" y="4915"/>
                  </a:lnTo>
                  <a:close/>
                  <a:moveTo>
                    <a:pt x="27651" y="35811"/>
                  </a:moveTo>
                  <a:cubicBezTo>
                    <a:pt x="25879" y="36958"/>
                    <a:pt x="23289" y="37515"/>
                    <a:pt x="19945" y="37515"/>
                  </a:cubicBezTo>
                  <a:lnTo>
                    <a:pt x="6020" y="37515"/>
                  </a:lnTo>
                  <a:lnTo>
                    <a:pt x="6020" y="23394"/>
                  </a:lnTo>
                  <a:lnTo>
                    <a:pt x="19945" y="23394"/>
                  </a:lnTo>
                  <a:cubicBezTo>
                    <a:pt x="23289" y="23394"/>
                    <a:pt x="25879" y="23951"/>
                    <a:pt x="27651" y="25097"/>
                  </a:cubicBezTo>
                  <a:cubicBezTo>
                    <a:pt x="29413" y="26244"/>
                    <a:pt x="30299" y="28014"/>
                    <a:pt x="30299" y="30504"/>
                  </a:cubicBezTo>
                  <a:cubicBezTo>
                    <a:pt x="30299" y="32994"/>
                    <a:pt x="29413" y="34698"/>
                    <a:pt x="27651" y="35844"/>
                  </a:cubicBezTo>
                  <a:lnTo>
                    <a:pt x="27651" y="35811"/>
                  </a:lnTo>
                  <a:close/>
                </a:path>
              </a:pathLst>
            </a:custGeom>
            <a:solidFill>
              <a:srgbClr val="7CC061"/>
            </a:solidFill>
            <a:ln w="9525" cap="flat">
              <a:noFill/>
              <a:prstDash val="solid"/>
              <a:miter/>
            </a:ln>
          </xdr:spPr>
          <xdr:txBody>
            <a:bodyPr wrap="square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69" name="Freeform: Shape 68">
              <a:extLst>
                <a:ext uri="{FF2B5EF4-FFF2-40B4-BE49-F238E27FC236}">
                  <a16:creationId xmlns:a16="http://schemas.microsoft.com/office/drawing/2014/main" id="{01C7C1B3-9C77-2097-2092-466CA08EB16F}"/>
                </a:ext>
              </a:extLst>
            </xdr:cNvPr>
            <xdr:cNvSpPr/>
          </xdr:nvSpPr>
          <xdr:spPr>
            <a:xfrm>
              <a:off x="835168" y="283866"/>
              <a:ext cx="23324" cy="34100"/>
            </a:xfrm>
            <a:custGeom>
              <a:avLst/>
              <a:gdLst>
                <a:gd name="connsiteX0" fmla="*/ 6058 w 29022"/>
                <a:gd name="connsiteY0" fmla="*/ 0 h 42430"/>
                <a:gd name="connsiteX1" fmla="*/ 0 w 29022"/>
                <a:gd name="connsiteY1" fmla="*/ 0 h 42430"/>
                <a:gd name="connsiteX2" fmla="*/ 0 w 29022"/>
                <a:gd name="connsiteY2" fmla="*/ 42430 h 42430"/>
                <a:gd name="connsiteX3" fmla="*/ 29023 w 29022"/>
                <a:gd name="connsiteY3" fmla="*/ 42430 h 42430"/>
                <a:gd name="connsiteX4" fmla="*/ 29023 w 29022"/>
                <a:gd name="connsiteY4" fmla="*/ 37155 h 42430"/>
                <a:gd name="connsiteX5" fmla="*/ 6058 w 29022"/>
                <a:gd name="connsiteY5" fmla="*/ 37155 h 42430"/>
                <a:gd name="connsiteX6" fmla="*/ 6058 w 29022"/>
                <a:gd name="connsiteY6" fmla="*/ 0 h 4243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</a:cxnLst>
              <a:rect l="l" t="t" r="r" b="b"/>
              <a:pathLst>
                <a:path w="29022" h="42430">
                  <a:moveTo>
                    <a:pt x="6058" y="0"/>
                  </a:moveTo>
                  <a:lnTo>
                    <a:pt x="0" y="0"/>
                  </a:lnTo>
                  <a:lnTo>
                    <a:pt x="0" y="42430"/>
                  </a:lnTo>
                  <a:lnTo>
                    <a:pt x="29023" y="42430"/>
                  </a:lnTo>
                  <a:lnTo>
                    <a:pt x="29023" y="37155"/>
                  </a:lnTo>
                  <a:lnTo>
                    <a:pt x="6058" y="37155"/>
                  </a:lnTo>
                  <a:lnTo>
                    <a:pt x="6058" y="0"/>
                  </a:lnTo>
                  <a:close/>
                </a:path>
              </a:pathLst>
            </a:custGeom>
            <a:solidFill>
              <a:srgbClr val="7CC061"/>
            </a:solidFill>
            <a:ln w="9525" cap="flat">
              <a:noFill/>
              <a:prstDash val="solid"/>
              <a:miter/>
            </a:ln>
          </xdr:spPr>
          <xdr:txBody>
            <a:bodyPr wrap="square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70" name="Freeform: Shape 69">
              <a:extLst>
                <a:ext uri="{FF2B5EF4-FFF2-40B4-BE49-F238E27FC236}">
                  <a16:creationId xmlns:a16="http://schemas.microsoft.com/office/drawing/2014/main" id="{5EAFF72D-34A2-1720-1A3F-C13583F44121}"/>
                </a:ext>
              </a:extLst>
            </xdr:cNvPr>
            <xdr:cNvSpPr/>
          </xdr:nvSpPr>
          <xdr:spPr>
            <a:xfrm>
              <a:off x="873848" y="283866"/>
              <a:ext cx="24725" cy="34100"/>
            </a:xfrm>
            <a:custGeom>
              <a:avLst/>
              <a:gdLst>
                <a:gd name="connsiteX0" fmla="*/ 6058 w 30765"/>
                <a:gd name="connsiteY0" fmla="*/ 23459 h 42430"/>
                <a:gd name="connsiteX1" fmla="*/ 27318 w 30765"/>
                <a:gd name="connsiteY1" fmla="*/ 23459 h 42430"/>
                <a:gd name="connsiteX2" fmla="*/ 27318 w 30765"/>
                <a:gd name="connsiteY2" fmla="*/ 18316 h 42430"/>
                <a:gd name="connsiteX3" fmla="*/ 6058 w 30765"/>
                <a:gd name="connsiteY3" fmla="*/ 18316 h 42430"/>
                <a:gd name="connsiteX4" fmla="*/ 6058 w 30765"/>
                <a:gd name="connsiteY4" fmla="*/ 5275 h 42430"/>
                <a:gd name="connsiteX5" fmla="*/ 29947 w 30765"/>
                <a:gd name="connsiteY5" fmla="*/ 5275 h 42430"/>
                <a:gd name="connsiteX6" fmla="*/ 29947 w 30765"/>
                <a:gd name="connsiteY6" fmla="*/ 0 h 42430"/>
                <a:gd name="connsiteX7" fmla="*/ 0 w 30765"/>
                <a:gd name="connsiteY7" fmla="*/ 0 h 42430"/>
                <a:gd name="connsiteX8" fmla="*/ 0 w 30765"/>
                <a:gd name="connsiteY8" fmla="*/ 42430 h 42430"/>
                <a:gd name="connsiteX9" fmla="*/ 30766 w 30765"/>
                <a:gd name="connsiteY9" fmla="*/ 42430 h 42430"/>
                <a:gd name="connsiteX10" fmla="*/ 30766 w 30765"/>
                <a:gd name="connsiteY10" fmla="*/ 37155 h 42430"/>
                <a:gd name="connsiteX11" fmla="*/ 6058 w 30765"/>
                <a:gd name="connsiteY11" fmla="*/ 37155 h 42430"/>
                <a:gd name="connsiteX12" fmla="*/ 6058 w 30765"/>
                <a:gd name="connsiteY12" fmla="*/ 23459 h 4243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</a:cxnLst>
              <a:rect l="l" t="t" r="r" b="b"/>
              <a:pathLst>
                <a:path w="30765" h="42430">
                  <a:moveTo>
                    <a:pt x="6058" y="23459"/>
                  </a:moveTo>
                  <a:lnTo>
                    <a:pt x="27318" y="23459"/>
                  </a:lnTo>
                  <a:lnTo>
                    <a:pt x="27318" y="18316"/>
                  </a:lnTo>
                  <a:lnTo>
                    <a:pt x="6058" y="18316"/>
                  </a:lnTo>
                  <a:lnTo>
                    <a:pt x="6058" y="5275"/>
                  </a:lnTo>
                  <a:lnTo>
                    <a:pt x="29947" y="5275"/>
                  </a:lnTo>
                  <a:lnTo>
                    <a:pt x="29947" y="0"/>
                  </a:lnTo>
                  <a:lnTo>
                    <a:pt x="0" y="0"/>
                  </a:lnTo>
                  <a:lnTo>
                    <a:pt x="0" y="42430"/>
                  </a:lnTo>
                  <a:lnTo>
                    <a:pt x="30766" y="42430"/>
                  </a:lnTo>
                  <a:lnTo>
                    <a:pt x="30766" y="37155"/>
                  </a:lnTo>
                  <a:lnTo>
                    <a:pt x="6058" y="37155"/>
                  </a:lnTo>
                  <a:lnTo>
                    <a:pt x="6058" y="23459"/>
                  </a:lnTo>
                  <a:close/>
                </a:path>
              </a:pathLst>
            </a:custGeom>
            <a:solidFill>
              <a:srgbClr val="7CC061"/>
            </a:solidFill>
            <a:ln w="9525" cap="flat">
              <a:noFill/>
              <a:prstDash val="solid"/>
              <a:miter/>
            </a:ln>
          </xdr:spPr>
          <xdr:txBody>
            <a:bodyPr wrap="square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71" name="Freeform: Shape 70">
              <a:extLst>
                <a:ext uri="{FF2B5EF4-FFF2-40B4-BE49-F238E27FC236}">
                  <a16:creationId xmlns:a16="http://schemas.microsoft.com/office/drawing/2014/main" id="{690D0563-8AA5-09C9-16D6-129BEC759A1B}"/>
                </a:ext>
              </a:extLst>
            </xdr:cNvPr>
            <xdr:cNvSpPr/>
          </xdr:nvSpPr>
          <xdr:spPr>
            <a:xfrm>
              <a:off x="939046" y="283866"/>
              <a:ext cx="24748" cy="34100"/>
            </a:xfrm>
            <a:custGeom>
              <a:avLst/>
              <a:gdLst>
                <a:gd name="connsiteX0" fmla="*/ 6058 w 30794"/>
                <a:gd name="connsiteY0" fmla="*/ 23459 h 42430"/>
                <a:gd name="connsiteX1" fmla="*/ 27356 w 30794"/>
                <a:gd name="connsiteY1" fmla="*/ 23459 h 42430"/>
                <a:gd name="connsiteX2" fmla="*/ 27356 w 30794"/>
                <a:gd name="connsiteY2" fmla="*/ 18316 h 42430"/>
                <a:gd name="connsiteX3" fmla="*/ 6058 w 30794"/>
                <a:gd name="connsiteY3" fmla="*/ 18316 h 42430"/>
                <a:gd name="connsiteX4" fmla="*/ 6058 w 30794"/>
                <a:gd name="connsiteY4" fmla="*/ 5275 h 42430"/>
                <a:gd name="connsiteX5" fmla="*/ 29947 w 30794"/>
                <a:gd name="connsiteY5" fmla="*/ 5275 h 42430"/>
                <a:gd name="connsiteX6" fmla="*/ 29947 w 30794"/>
                <a:gd name="connsiteY6" fmla="*/ 0 h 42430"/>
                <a:gd name="connsiteX7" fmla="*/ 0 w 30794"/>
                <a:gd name="connsiteY7" fmla="*/ 0 h 42430"/>
                <a:gd name="connsiteX8" fmla="*/ 0 w 30794"/>
                <a:gd name="connsiteY8" fmla="*/ 42430 h 42430"/>
                <a:gd name="connsiteX9" fmla="*/ 30794 w 30794"/>
                <a:gd name="connsiteY9" fmla="*/ 42430 h 42430"/>
                <a:gd name="connsiteX10" fmla="*/ 30794 w 30794"/>
                <a:gd name="connsiteY10" fmla="*/ 37155 h 42430"/>
                <a:gd name="connsiteX11" fmla="*/ 6058 w 30794"/>
                <a:gd name="connsiteY11" fmla="*/ 37155 h 42430"/>
                <a:gd name="connsiteX12" fmla="*/ 6058 w 30794"/>
                <a:gd name="connsiteY12" fmla="*/ 23459 h 4243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</a:cxnLst>
              <a:rect l="l" t="t" r="r" b="b"/>
              <a:pathLst>
                <a:path w="30794" h="42430">
                  <a:moveTo>
                    <a:pt x="6058" y="23459"/>
                  </a:moveTo>
                  <a:lnTo>
                    <a:pt x="27356" y="23459"/>
                  </a:lnTo>
                  <a:lnTo>
                    <a:pt x="27356" y="18316"/>
                  </a:lnTo>
                  <a:lnTo>
                    <a:pt x="6058" y="18316"/>
                  </a:lnTo>
                  <a:lnTo>
                    <a:pt x="6058" y="5275"/>
                  </a:lnTo>
                  <a:lnTo>
                    <a:pt x="29947" y="5275"/>
                  </a:lnTo>
                  <a:lnTo>
                    <a:pt x="29947" y="0"/>
                  </a:lnTo>
                  <a:lnTo>
                    <a:pt x="0" y="0"/>
                  </a:lnTo>
                  <a:lnTo>
                    <a:pt x="0" y="42430"/>
                  </a:lnTo>
                  <a:lnTo>
                    <a:pt x="30794" y="42430"/>
                  </a:lnTo>
                  <a:lnTo>
                    <a:pt x="30794" y="37155"/>
                  </a:lnTo>
                  <a:lnTo>
                    <a:pt x="6058" y="37155"/>
                  </a:lnTo>
                  <a:lnTo>
                    <a:pt x="6058" y="23459"/>
                  </a:lnTo>
                  <a:close/>
                </a:path>
              </a:pathLst>
            </a:custGeom>
            <a:solidFill>
              <a:srgbClr val="7CC061"/>
            </a:solidFill>
            <a:ln w="9525" cap="flat">
              <a:noFill/>
              <a:prstDash val="solid"/>
              <a:miter/>
            </a:ln>
          </xdr:spPr>
          <xdr:txBody>
            <a:bodyPr wrap="square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72" name="Freeform: Shape 71">
              <a:extLst>
                <a:ext uri="{FF2B5EF4-FFF2-40B4-BE49-F238E27FC236}">
                  <a16:creationId xmlns:a16="http://schemas.microsoft.com/office/drawing/2014/main" id="{6EC56196-88EB-C499-E989-DEB8161FB009}"/>
                </a:ext>
              </a:extLst>
            </xdr:cNvPr>
            <xdr:cNvSpPr/>
          </xdr:nvSpPr>
          <xdr:spPr>
            <a:xfrm>
              <a:off x="981439" y="283866"/>
              <a:ext cx="29303" cy="34100"/>
            </a:xfrm>
            <a:custGeom>
              <a:avLst/>
              <a:gdLst>
                <a:gd name="connsiteX0" fmla="*/ 30404 w 36461"/>
                <a:gd name="connsiteY0" fmla="*/ 31617 h 42430"/>
                <a:gd name="connsiteX1" fmla="*/ 4944 w 36461"/>
                <a:gd name="connsiteY1" fmla="*/ 0 h 42430"/>
                <a:gd name="connsiteX2" fmla="*/ 0 w 36461"/>
                <a:gd name="connsiteY2" fmla="*/ 0 h 42430"/>
                <a:gd name="connsiteX3" fmla="*/ 0 w 36461"/>
                <a:gd name="connsiteY3" fmla="*/ 42430 h 42430"/>
                <a:gd name="connsiteX4" fmla="*/ 6029 w 36461"/>
                <a:gd name="connsiteY4" fmla="*/ 42430 h 42430"/>
                <a:gd name="connsiteX5" fmla="*/ 6029 w 36461"/>
                <a:gd name="connsiteY5" fmla="*/ 10813 h 42430"/>
                <a:gd name="connsiteX6" fmla="*/ 31480 w 36461"/>
                <a:gd name="connsiteY6" fmla="*/ 42430 h 42430"/>
                <a:gd name="connsiteX7" fmla="*/ 36462 w 36461"/>
                <a:gd name="connsiteY7" fmla="*/ 42430 h 42430"/>
                <a:gd name="connsiteX8" fmla="*/ 36462 w 36461"/>
                <a:gd name="connsiteY8" fmla="*/ 0 h 42430"/>
                <a:gd name="connsiteX9" fmla="*/ 30404 w 36461"/>
                <a:gd name="connsiteY9" fmla="*/ 0 h 42430"/>
                <a:gd name="connsiteX10" fmla="*/ 30404 w 36461"/>
                <a:gd name="connsiteY10" fmla="*/ 31617 h 4243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</a:cxnLst>
              <a:rect l="l" t="t" r="r" b="b"/>
              <a:pathLst>
                <a:path w="36461" h="42430">
                  <a:moveTo>
                    <a:pt x="30404" y="31617"/>
                  </a:moveTo>
                  <a:lnTo>
                    <a:pt x="4944" y="0"/>
                  </a:lnTo>
                  <a:lnTo>
                    <a:pt x="0" y="0"/>
                  </a:lnTo>
                  <a:lnTo>
                    <a:pt x="0" y="42430"/>
                  </a:lnTo>
                  <a:lnTo>
                    <a:pt x="6029" y="42430"/>
                  </a:lnTo>
                  <a:lnTo>
                    <a:pt x="6029" y="10813"/>
                  </a:lnTo>
                  <a:lnTo>
                    <a:pt x="31480" y="42430"/>
                  </a:lnTo>
                  <a:lnTo>
                    <a:pt x="36462" y="42430"/>
                  </a:lnTo>
                  <a:lnTo>
                    <a:pt x="36462" y="0"/>
                  </a:lnTo>
                  <a:lnTo>
                    <a:pt x="30404" y="0"/>
                  </a:lnTo>
                  <a:lnTo>
                    <a:pt x="30404" y="31617"/>
                  </a:lnTo>
                  <a:close/>
                </a:path>
              </a:pathLst>
            </a:custGeom>
            <a:solidFill>
              <a:srgbClr val="7CC061"/>
            </a:solidFill>
            <a:ln w="9525" cap="flat">
              <a:noFill/>
              <a:prstDash val="solid"/>
              <a:miter/>
            </a:ln>
          </xdr:spPr>
          <xdr:txBody>
            <a:bodyPr wrap="square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73" name="Freeform: Shape 72">
              <a:extLst>
                <a:ext uri="{FF2B5EF4-FFF2-40B4-BE49-F238E27FC236}">
                  <a16:creationId xmlns:a16="http://schemas.microsoft.com/office/drawing/2014/main" id="{E0F76A9C-E57B-4B01-3FB3-57DD9EAF2E7F}"/>
                </a:ext>
              </a:extLst>
            </xdr:cNvPr>
            <xdr:cNvSpPr/>
          </xdr:nvSpPr>
          <xdr:spPr>
            <a:xfrm>
              <a:off x="1030707" y="283866"/>
              <a:ext cx="24748" cy="34100"/>
            </a:xfrm>
            <a:custGeom>
              <a:avLst/>
              <a:gdLst>
                <a:gd name="connsiteX0" fmla="*/ 6058 w 30794"/>
                <a:gd name="connsiteY0" fmla="*/ 23459 h 42430"/>
                <a:gd name="connsiteX1" fmla="*/ 27327 w 30794"/>
                <a:gd name="connsiteY1" fmla="*/ 23459 h 42430"/>
                <a:gd name="connsiteX2" fmla="*/ 27327 w 30794"/>
                <a:gd name="connsiteY2" fmla="*/ 18316 h 42430"/>
                <a:gd name="connsiteX3" fmla="*/ 6058 w 30794"/>
                <a:gd name="connsiteY3" fmla="*/ 18316 h 42430"/>
                <a:gd name="connsiteX4" fmla="*/ 6058 w 30794"/>
                <a:gd name="connsiteY4" fmla="*/ 5275 h 42430"/>
                <a:gd name="connsiteX5" fmla="*/ 29947 w 30794"/>
                <a:gd name="connsiteY5" fmla="*/ 5275 h 42430"/>
                <a:gd name="connsiteX6" fmla="*/ 29947 w 30794"/>
                <a:gd name="connsiteY6" fmla="*/ 0 h 42430"/>
                <a:gd name="connsiteX7" fmla="*/ 0 w 30794"/>
                <a:gd name="connsiteY7" fmla="*/ 0 h 42430"/>
                <a:gd name="connsiteX8" fmla="*/ 0 w 30794"/>
                <a:gd name="connsiteY8" fmla="*/ 42430 h 42430"/>
                <a:gd name="connsiteX9" fmla="*/ 30794 w 30794"/>
                <a:gd name="connsiteY9" fmla="*/ 42430 h 42430"/>
                <a:gd name="connsiteX10" fmla="*/ 30794 w 30794"/>
                <a:gd name="connsiteY10" fmla="*/ 37155 h 42430"/>
                <a:gd name="connsiteX11" fmla="*/ 6058 w 30794"/>
                <a:gd name="connsiteY11" fmla="*/ 37155 h 42430"/>
                <a:gd name="connsiteX12" fmla="*/ 6058 w 30794"/>
                <a:gd name="connsiteY12" fmla="*/ 23459 h 4243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</a:cxnLst>
              <a:rect l="l" t="t" r="r" b="b"/>
              <a:pathLst>
                <a:path w="30794" h="42430">
                  <a:moveTo>
                    <a:pt x="6058" y="23459"/>
                  </a:moveTo>
                  <a:lnTo>
                    <a:pt x="27327" y="23459"/>
                  </a:lnTo>
                  <a:lnTo>
                    <a:pt x="27327" y="18316"/>
                  </a:lnTo>
                  <a:lnTo>
                    <a:pt x="6058" y="18316"/>
                  </a:lnTo>
                  <a:lnTo>
                    <a:pt x="6058" y="5275"/>
                  </a:lnTo>
                  <a:lnTo>
                    <a:pt x="29947" y="5275"/>
                  </a:lnTo>
                  <a:lnTo>
                    <a:pt x="29947" y="0"/>
                  </a:lnTo>
                  <a:lnTo>
                    <a:pt x="0" y="0"/>
                  </a:lnTo>
                  <a:lnTo>
                    <a:pt x="0" y="42430"/>
                  </a:lnTo>
                  <a:lnTo>
                    <a:pt x="30794" y="42430"/>
                  </a:lnTo>
                  <a:lnTo>
                    <a:pt x="30794" y="37155"/>
                  </a:lnTo>
                  <a:lnTo>
                    <a:pt x="6058" y="37155"/>
                  </a:lnTo>
                  <a:lnTo>
                    <a:pt x="6058" y="23459"/>
                  </a:lnTo>
                  <a:close/>
                </a:path>
              </a:pathLst>
            </a:custGeom>
            <a:solidFill>
              <a:srgbClr val="7CC061"/>
            </a:solidFill>
            <a:ln w="9525" cap="flat">
              <a:noFill/>
              <a:prstDash val="solid"/>
              <a:miter/>
            </a:ln>
          </xdr:spPr>
          <xdr:txBody>
            <a:bodyPr wrap="square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74" name="Freeform: Shape 73">
              <a:extLst>
                <a:ext uri="{FF2B5EF4-FFF2-40B4-BE49-F238E27FC236}">
                  <a16:creationId xmlns:a16="http://schemas.microsoft.com/office/drawing/2014/main" id="{EBD2EE87-D87A-B0CD-D139-432BBCAECC8C}"/>
                </a:ext>
              </a:extLst>
            </xdr:cNvPr>
            <xdr:cNvSpPr/>
          </xdr:nvSpPr>
          <xdr:spPr>
            <a:xfrm>
              <a:off x="1073101" y="283893"/>
              <a:ext cx="28093" cy="34099"/>
            </a:xfrm>
            <a:custGeom>
              <a:avLst/>
              <a:gdLst>
                <a:gd name="connsiteX0" fmla="*/ 26041 w 34956"/>
                <a:gd name="connsiteY0" fmla="*/ 27718 h 42429"/>
                <a:gd name="connsiteX1" fmla="*/ 32109 w 34956"/>
                <a:gd name="connsiteY1" fmla="*/ 22672 h 42429"/>
                <a:gd name="connsiteX2" fmla="*/ 34233 w 34956"/>
                <a:gd name="connsiteY2" fmla="*/ 14776 h 42429"/>
                <a:gd name="connsiteX3" fmla="*/ 32109 w 34956"/>
                <a:gd name="connsiteY3" fmla="*/ 6848 h 42429"/>
                <a:gd name="connsiteX4" fmla="*/ 26041 w 34956"/>
                <a:gd name="connsiteY4" fmla="*/ 1769 h 42429"/>
                <a:gd name="connsiteX5" fmla="*/ 16545 w 34956"/>
                <a:gd name="connsiteY5" fmla="*/ 0 h 42429"/>
                <a:gd name="connsiteX6" fmla="*/ 0 w 34956"/>
                <a:gd name="connsiteY6" fmla="*/ 0 h 42429"/>
                <a:gd name="connsiteX7" fmla="*/ 0 w 34956"/>
                <a:gd name="connsiteY7" fmla="*/ 42429 h 42429"/>
                <a:gd name="connsiteX8" fmla="*/ 6058 w 34956"/>
                <a:gd name="connsiteY8" fmla="*/ 42429 h 42429"/>
                <a:gd name="connsiteX9" fmla="*/ 6058 w 34956"/>
                <a:gd name="connsiteY9" fmla="*/ 29520 h 42429"/>
                <a:gd name="connsiteX10" fmla="*/ 16545 w 34956"/>
                <a:gd name="connsiteY10" fmla="*/ 29520 h 42429"/>
                <a:gd name="connsiteX11" fmla="*/ 19231 w 34956"/>
                <a:gd name="connsiteY11" fmla="*/ 29422 h 42429"/>
                <a:gd name="connsiteX12" fmla="*/ 28337 w 34956"/>
                <a:gd name="connsiteY12" fmla="*/ 42429 h 42429"/>
                <a:gd name="connsiteX13" fmla="*/ 34957 w 34956"/>
                <a:gd name="connsiteY13" fmla="*/ 42429 h 42429"/>
                <a:gd name="connsiteX14" fmla="*/ 24870 w 34956"/>
                <a:gd name="connsiteY14" fmla="*/ 28209 h 42429"/>
                <a:gd name="connsiteX15" fmla="*/ 26041 w 34956"/>
                <a:gd name="connsiteY15" fmla="*/ 27783 h 42429"/>
                <a:gd name="connsiteX16" fmla="*/ 26041 w 34956"/>
                <a:gd name="connsiteY16" fmla="*/ 27718 h 42429"/>
                <a:gd name="connsiteX17" fmla="*/ 16345 w 34956"/>
                <a:gd name="connsiteY17" fmla="*/ 24311 h 42429"/>
                <a:gd name="connsiteX18" fmla="*/ 6058 w 34956"/>
                <a:gd name="connsiteY18" fmla="*/ 24311 h 42429"/>
                <a:gd name="connsiteX19" fmla="*/ 6058 w 34956"/>
                <a:gd name="connsiteY19" fmla="*/ 5209 h 42429"/>
                <a:gd name="connsiteX20" fmla="*/ 16345 w 34956"/>
                <a:gd name="connsiteY20" fmla="*/ 5209 h 42429"/>
                <a:gd name="connsiteX21" fmla="*/ 25165 w 34956"/>
                <a:gd name="connsiteY21" fmla="*/ 7699 h 42429"/>
                <a:gd name="connsiteX22" fmla="*/ 28175 w 34956"/>
                <a:gd name="connsiteY22" fmla="*/ 14744 h 42429"/>
                <a:gd name="connsiteX23" fmla="*/ 25165 w 34956"/>
                <a:gd name="connsiteY23" fmla="*/ 21787 h 42429"/>
                <a:gd name="connsiteX24" fmla="*/ 16345 w 34956"/>
                <a:gd name="connsiteY24" fmla="*/ 24311 h 4242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</a:cxnLst>
              <a:rect l="l" t="t" r="r" b="b"/>
              <a:pathLst>
                <a:path w="34956" h="42429">
                  <a:moveTo>
                    <a:pt x="26041" y="27718"/>
                  </a:moveTo>
                  <a:cubicBezTo>
                    <a:pt x="28670" y="26539"/>
                    <a:pt x="30699" y="24868"/>
                    <a:pt x="32109" y="22672"/>
                  </a:cubicBezTo>
                  <a:cubicBezTo>
                    <a:pt x="33518" y="20477"/>
                    <a:pt x="34233" y="17823"/>
                    <a:pt x="34233" y="14776"/>
                  </a:cubicBezTo>
                  <a:cubicBezTo>
                    <a:pt x="34233" y="11729"/>
                    <a:pt x="33518" y="9075"/>
                    <a:pt x="32109" y="6848"/>
                  </a:cubicBezTo>
                  <a:cubicBezTo>
                    <a:pt x="30699" y="4620"/>
                    <a:pt x="28670" y="2916"/>
                    <a:pt x="26041" y="1769"/>
                  </a:cubicBezTo>
                  <a:cubicBezTo>
                    <a:pt x="23422" y="590"/>
                    <a:pt x="20250" y="0"/>
                    <a:pt x="16545" y="0"/>
                  </a:cubicBezTo>
                  <a:lnTo>
                    <a:pt x="0" y="0"/>
                  </a:lnTo>
                  <a:lnTo>
                    <a:pt x="0" y="42429"/>
                  </a:lnTo>
                  <a:lnTo>
                    <a:pt x="6058" y="42429"/>
                  </a:lnTo>
                  <a:lnTo>
                    <a:pt x="6058" y="29520"/>
                  </a:lnTo>
                  <a:lnTo>
                    <a:pt x="16545" y="29520"/>
                  </a:lnTo>
                  <a:cubicBezTo>
                    <a:pt x="17459" y="29520"/>
                    <a:pt x="18383" y="29487"/>
                    <a:pt x="19231" y="29422"/>
                  </a:cubicBezTo>
                  <a:lnTo>
                    <a:pt x="28337" y="42429"/>
                  </a:lnTo>
                  <a:lnTo>
                    <a:pt x="34957" y="42429"/>
                  </a:lnTo>
                  <a:lnTo>
                    <a:pt x="24870" y="28209"/>
                  </a:lnTo>
                  <a:cubicBezTo>
                    <a:pt x="25260" y="28079"/>
                    <a:pt x="25689" y="27947"/>
                    <a:pt x="26041" y="27783"/>
                  </a:cubicBezTo>
                  <a:lnTo>
                    <a:pt x="26041" y="27718"/>
                  </a:lnTo>
                  <a:close/>
                  <a:moveTo>
                    <a:pt x="16345" y="24311"/>
                  </a:moveTo>
                  <a:lnTo>
                    <a:pt x="6058" y="24311"/>
                  </a:lnTo>
                  <a:lnTo>
                    <a:pt x="6058" y="5209"/>
                  </a:lnTo>
                  <a:lnTo>
                    <a:pt x="16345" y="5209"/>
                  </a:lnTo>
                  <a:cubicBezTo>
                    <a:pt x="20212" y="5209"/>
                    <a:pt x="23165" y="6028"/>
                    <a:pt x="25165" y="7699"/>
                  </a:cubicBezTo>
                  <a:cubicBezTo>
                    <a:pt x="27156" y="9370"/>
                    <a:pt x="28175" y="11697"/>
                    <a:pt x="28175" y="14744"/>
                  </a:cubicBezTo>
                  <a:cubicBezTo>
                    <a:pt x="28175" y="17791"/>
                    <a:pt x="27194" y="20117"/>
                    <a:pt x="25165" y="21787"/>
                  </a:cubicBezTo>
                  <a:cubicBezTo>
                    <a:pt x="23165" y="23459"/>
                    <a:pt x="20212" y="24311"/>
                    <a:pt x="16345" y="24311"/>
                  </a:cubicBezTo>
                  <a:close/>
                </a:path>
              </a:pathLst>
            </a:custGeom>
            <a:solidFill>
              <a:srgbClr val="7CC061"/>
            </a:solidFill>
            <a:ln w="9525" cap="flat">
              <a:noFill/>
              <a:prstDash val="solid"/>
              <a:miter/>
            </a:ln>
          </xdr:spPr>
          <xdr:txBody>
            <a:bodyPr wrap="square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75" name="Freeform: Shape 74">
              <a:extLst>
                <a:ext uri="{FF2B5EF4-FFF2-40B4-BE49-F238E27FC236}">
                  <a16:creationId xmlns:a16="http://schemas.microsoft.com/office/drawing/2014/main" id="{A2D1F863-D5B1-EDD9-A73A-580A316958C0}"/>
                </a:ext>
              </a:extLst>
            </xdr:cNvPr>
            <xdr:cNvSpPr/>
          </xdr:nvSpPr>
          <xdr:spPr>
            <a:xfrm>
              <a:off x="1115494" y="283471"/>
              <a:ext cx="31331" cy="34863"/>
            </a:xfrm>
            <a:custGeom>
              <a:avLst/>
              <a:gdLst>
                <a:gd name="connsiteX0" fmla="*/ 10782 w 38985"/>
                <a:gd name="connsiteY0" fmla="*/ 10026 h 43379"/>
                <a:gd name="connsiteX1" fmla="*/ 16183 w 38985"/>
                <a:gd name="connsiteY1" fmla="*/ 6619 h 43379"/>
                <a:gd name="connsiteX2" fmla="*/ 22936 w 38985"/>
                <a:gd name="connsiteY2" fmla="*/ 5406 h 43379"/>
                <a:gd name="connsiteX3" fmla="*/ 29556 w 38985"/>
                <a:gd name="connsiteY3" fmla="*/ 6586 h 43379"/>
                <a:gd name="connsiteX4" fmla="*/ 35223 w 38985"/>
                <a:gd name="connsiteY4" fmla="*/ 10321 h 43379"/>
                <a:gd name="connsiteX5" fmla="*/ 38986 w 38985"/>
                <a:gd name="connsiteY5" fmla="*/ 6553 h 43379"/>
                <a:gd name="connsiteX6" fmla="*/ 31909 w 38985"/>
                <a:gd name="connsiteY6" fmla="*/ 1638 h 43379"/>
                <a:gd name="connsiteX7" fmla="*/ 22708 w 38985"/>
                <a:gd name="connsiteY7" fmla="*/ 0 h 43379"/>
                <a:gd name="connsiteX8" fmla="*/ 13630 w 38985"/>
                <a:gd name="connsiteY8" fmla="*/ 1606 h 43379"/>
                <a:gd name="connsiteX9" fmla="*/ 6458 w 38985"/>
                <a:gd name="connsiteY9" fmla="*/ 6160 h 43379"/>
                <a:gd name="connsiteX10" fmla="*/ 1705 w 38985"/>
                <a:gd name="connsiteY10" fmla="*/ 13041 h 43379"/>
                <a:gd name="connsiteX11" fmla="*/ 0 w 38985"/>
                <a:gd name="connsiteY11" fmla="*/ 21690 h 43379"/>
                <a:gd name="connsiteX12" fmla="*/ 1705 w 38985"/>
                <a:gd name="connsiteY12" fmla="*/ 30340 h 43379"/>
                <a:gd name="connsiteX13" fmla="*/ 6420 w 38985"/>
                <a:gd name="connsiteY13" fmla="*/ 37221 h 43379"/>
                <a:gd name="connsiteX14" fmla="*/ 13564 w 38985"/>
                <a:gd name="connsiteY14" fmla="*/ 41775 h 43379"/>
                <a:gd name="connsiteX15" fmla="*/ 22603 w 38985"/>
                <a:gd name="connsiteY15" fmla="*/ 43380 h 43379"/>
                <a:gd name="connsiteX16" fmla="*/ 31290 w 38985"/>
                <a:gd name="connsiteY16" fmla="*/ 42004 h 43379"/>
                <a:gd name="connsiteX17" fmla="*/ 38662 w 38985"/>
                <a:gd name="connsiteY17" fmla="*/ 37974 h 43379"/>
                <a:gd name="connsiteX18" fmla="*/ 38662 w 38985"/>
                <a:gd name="connsiteY18" fmla="*/ 21428 h 43379"/>
                <a:gd name="connsiteX19" fmla="*/ 32833 w 38985"/>
                <a:gd name="connsiteY19" fmla="*/ 21428 h 43379"/>
                <a:gd name="connsiteX20" fmla="*/ 32833 w 38985"/>
                <a:gd name="connsiteY20" fmla="*/ 35189 h 43379"/>
                <a:gd name="connsiteX21" fmla="*/ 29385 w 38985"/>
                <a:gd name="connsiteY21" fmla="*/ 36926 h 43379"/>
                <a:gd name="connsiteX22" fmla="*/ 22870 w 38985"/>
                <a:gd name="connsiteY22" fmla="*/ 37974 h 43379"/>
                <a:gd name="connsiteX23" fmla="*/ 16154 w 38985"/>
                <a:gd name="connsiteY23" fmla="*/ 36762 h 43379"/>
                <a:gd name="connsiteX24" fmla="*/ 10782 w 38985"/>
                <a:gd name="connsiteY24" fmla="*/ 33321 h 43379"/>
                <a:gd name="connsiteX25" fmla="*/ 7277 w 38985"/>
                <a:gd name="connsiteY25" fmla="*/ 28112 h 43379"/>
                <a:gd name="connsiteX26" fmla="*/ 6029 w 38985"/>
                <a:gd name="connsiteY26" fmla="*/ 21657 h 43379"/>
                <a:gd name="connsiteX27" fmla="*/ 7277 w 38985"/>
                <a:gd name="connsiteY27" fmla="*/ 15137 h 43379"/>
                <a:gd name="connsiteX28" fmla="*/ 10782 w 38985"/>
                <a:gd name="connsiteY28" fmla="*/ 9960 h 43379"/>
                <a:gd name="connsiteX29" fmla="*/ 10782 w 38985"/>
                <a:gd name="connsiteY29" fmla="*/ 10026 h 4337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  <a:cxn ang="0">
                  <a:pos x="connsiteX26" y="connsiteY26"/>
                </a:cxn>
                <a:cxn ang="0">
                  <a:pos x="connsiteX27" y="connsiteY27"/>
                </a:cxn>
                <a:cxn ang="0">
                  <a:pos x="connsiteX28" y="connsiteY28"/>
                </a:cxn>
                <a:cxn ang="0">
                  <a:pos x="connsiteX29" y="connsiteY29"/>
                </a:cxn>
              </a:cxnLst>
              <a:rect l="l" t="t" r="r" b="b"/>
              <a:pathLst>
                <a:path w="38985" h="43379">
                  <a:moveTo>
                    <a:pt x="10782" y="10026"/>
                  </a:moveTo>
                  <a:cubicBezTo>
                    <a:pt x="12287" y="8585"/>
                    <a:pt x="14088" y="7438"/>
                    <a:pt x="16183" y="6619"/>
                  </a:cubicBezTo>
                  <a:cubicBezTo>
                    <a:pt x="18250" y="5800"/>
                    <a:pt x="20507" y="5406"/>
                    <a:pt x="22936" y="5406"/>
                  </a:cubicBezTo>
                  <a:cubicBezTo>
                    <a:pt x="25356" y="5406"/>
                    <a:pt x="27518" y="5800"/>
                    <a:pt x="29556" y="6586"/>
                  </a:cubicBezTo>
                  <a:cubicBezTo>
                    <a:pt x="31585" y="7372"/>
                    <a:pt x="33480" y="8617"/>
                    <a:pt x="35223" y="10321"/>
                  </a:cubicBezTo>
                  <a:lnTo>
                    <a:pt x="38986" y="6553"/>
                  </a:lnTo>
                  <a:cubicBezTo>
                    <a:pt x="37052" y="4358"/>
                    <a:pt x="34700" y="2719"/>
                    <a:pt x="31909" y="1638"/>
                  </a:cubicBezTo>
                  <a:cubicBezTo>
                    <a:pt x="29127" y="557"/>
                    <a:pt x="26051" y="0"/>
                    <a:pt x="22708" y="0"/>
                  </a:cubicBezTo>
                  <a:cubicBezTo>
                    <a:pt x="19364" y="0"/>
                    <a:pt x="16345" y="525"/>
                    <a:pt x="13630" y="1606"/>
                  </a:cubicBezTo>
                  <a:cubicBezTo>
                    <a:pt x="10878" y="2687"/>
                    <a:pt x="8487" y="4194"/>
                    <a:pt x="6458" y="6160"/>
                  </a:cubicBezTo>
                  <a:cubicBezTo>
                    <a:pt x="4420" y="8126"/>
                    <a:pt x="2819" y="10419"/>
                    <a:pt x="1705" y="13041"/>
                  </a:cubicBezTo>
                  <a:cubicBezTo>
                    <a:pt x="591" y="15662"/>
                    <a:pt x="0" y="18545"/>
                    <a:pt x="0" y="21690"/>
                  </a:cubicBezTo>
                  <a:cubicBezTo>
                    <a:pt x="0" y="24835"/>
                    <a:pt x="552" y="27719"/>
                    <a:pt x="1705" y="30340"/>
                  </a:cubicBezTo>
                  <a:cubicBezTo>
                    <a:pt x="2848" y="32961"/>
                    <a:pt x="4420" y="35255"/>
                    <a:pt x="6420" y="37221"/>
                  </a:cubicBezTo>
                  <a:cubicBezTo>
                    <a:pt x="8420" y="39186"/>
                    <a:pt x="10811" y="40694"/>
                    <a:pt x="13564" y="41775"/>
                  </a:cubicBezTo>
                  <a:cubicBezTo>
                    <a:pt x="16316" y="42856"/>
                    <a:pt x="19326" y="43380"/>
                    <a:pt x="22603" y="43380"/>
                  </a:cubicBezTo>
                  <a:cubicBezTo>
                    <a:pt x="25584" y="43380"/>
                    <a:pt x="28508" y="42922"/>
                    <a:pt x="31290" y="42004"/>
                  </a:cubicBezTo>
                  <a:cubicBezTo>
                    <a:pt x="34109" y="41087"/>
                    <a:pt x="36567" y="39743"/>
                    <a:pt x="38662" y="37974"/>
                  </a:cubicBezTo>
                  <a:lnTo>
                    <a:pt x="38662" y="21428"/>
                  </a:lnTo>
                  <a:lnTo>
                    <a:pt x="32833" y="21428"/>
                  </a:lnTo>
                  <a:lnTo>
                    <a:pt x="32833" y="35189"/>
                  </a:lnTo>
                  <a:cubicBezTo>
                    <a:pt x="31747" y="35910"/>
                    <a:pt x="30604" y="36532"/>
                    <a:pt x="29385" y="36926"/>
                  </a:cubicBezTo>
                  <a:cubicBezTo>
                    <a:pt x="27327" y="37647"/>
                    <a:pt x="25127" y="37974"/>
                    <a:pt x="22870" y="37974"/>
                  </a:cubicBezTo>
                  <a:cubicBezTo>
                    <a:pt x="20441" y="37974"/>
                    <a:pt x="18212" y="37581"/>
                    <a:pt x="16154" y="36762"/>
                  </a:cubicBezTo>
                  <a:cubicBezTo>
                    <a:pt x="14088" y="35943"/>
                    <a:pt x="12287" y="34829"/>
                    <a:pt x="10782" y="33321"/>
                  </a:cubicBezTo>
                  <a:cubicBezTo>
                    <a:pt x="9268" y="31847"/>
                    <a:pt x="8096" y="30110"/>
                    <a:pt x="7277" y="28112"/>
                  </a:cubicBezTo>
                  <a:cubicBezTo>
                    <a:pt x="6458" y="26114"/>
                    <a:pt x="6029" y="23951"/>
                    <a:pt x="6029" y="21657"/>
                  </a:cubicBezTo>
                  <a:cubicBezTo>
                    <a:pt x="6029" y="19364"/>
                    <a:pt x="6458" y="17135"/>
                    <a:pt x="7277" y="15137"/>
                  </a:cubicBezTo>
                  <a:cubicBezTo>
                    <a:pt x="8096" y="13139"/>
                    <a:pt x="9268" y="11402"/>
                    <a:pt x="10782" y="9960"/>
                  </a:cubicBezTo>
                  <a:lnTo>
                    <a:pt x="10782" y="10026"/>
                  </a:lnTo>
                  <a:close/>
                </a:path>
              </a:pathLst>
            </a:custGeom>
            <a:solidFill>
              <a:srgbClr val="7CC061"/>
            </a:solidFill>
            <a:ln w="9525" cap="flat">
              <a:noFill/>
              <a:prstDash val="solid"/>
              <a:miter/>
            </a:ln>
          </xdr:spPr>
          <xdr:txBody>
            <a:bodyPr wrap="square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76" name="Freeform: Shape 75">
              <a:extLst>
                <a:ext uri="{FF2B5EF4-FFF2-40B4-BE49-F238E27FC236}">
                  <a16:creationId xmlns:a16="http://schemas.microsoft.com/office/drawing/2014/main" id="{814C3A0A-8897-4EB1-00BC-A6751A8F37A6}"/>
                </a:ext>
              </a:extLst>
            </xdr:cNvPr>
            <xdr:cNvSpPr/>
          </xdr:nvSpPr>
          <xdr:spPr>
            <a:xfrm>
              <a:off x="1160260" y="283866"/>
              <a:ext cx="31913" cy="34100"/>
            </a:xfrm>
            <a:custGeom>
              <a:avLst/>
              <a:gdLst>
                <a:gd name="connsiteX0" fmla="*/ 33681 w 39709"/>
                <a:gd name="connsiteY0" fmla="*/ 0 h 42430"/>
                <a:gd name="connsiteX1" fmla="*/ 20050 w 39709"/>
                <a:gd name="connsiteY1" fmla="*/ 22378 h 42430"/>
                <a:gd name="connsiteX2" fmla="*/ 6487 w 39709"/>
                <a:gd name="connsiteY2" fmla="*/ 0 h 42430"/>
                <a:gd name="connsiteX3" fmla="*/ 0 w 39709"/>
                <a:gd name="connsiteY3" fmla="*/ 0 h 42430"/>
                <a:gd name="connsiteX4" fmla="*/ 16840 w 39709"/>
                <a:gd name="connsiteY4" fmla="*/ 27653 h 42430"/>
                <a:gd name="connsiteX5" fmla="*/ 16840 w 39709"/>
                <a:gd name="connsiteY5" fmla="*/ 42430 h 42430"/>
                <a:gd name="connsiteX6" fmla="*/ 22831 w 39709"/>
                <a:gd name="connsiteY6" fmla="*/ 42430 h 42430"/>
                <a:gd name="connsiteX7" fmla="*/ 22831 w 39709"/>
                <a:gd name="connsiteY7" fmla="*/ 27751 h 42430"/>
                <a:gd name="connsiteX8" fmla="*/ 39710 w 39709"/>
                <a:gd name="connsiteY8" fmla="*/ 0 h 42430"/>
                <a:gd name="connsiteX9" fmla="*/ 33681 w 39709"/>
                <a:gd name="connsiteY9" fmla="*/ 0 h 4243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</a:cxnLst>
              <a:rect l="l" t="t" r="r" b="b"/>
              <a:pathLst>
                <a:path w="39709" h="42430">
                  <a:moveTo>
                    <a:pt x="33681" y="0"/>
                  </a:moveTo>
                  <a:lnTo>
                    <a:pt x="20050" y="22378"/>
                  </a:lnTo>
                  <a:lnTo>
                    <a:pt x="6487" y="0"/>
                  </a:lnTo>
                  <a:lnTo>
                    <a:pt x="0" y="0"/>
                  </a:lnTo>
                  <a:lnTo>
                    <a:pt x="16840" y="27653"/>
                  </a:lnTo>
                  <a:lnTo>
                    <a:pt x="16840" y="42430"/>
                  </a:lnTo>
                  <a:lnTo>
                    <a:pt x="22831" y="42430"/>
                  </a:lnTo>
                  <a:lnTo>
                    <a:pt x="22831" y="27751"/>
                  </a:lnTo>
                  <a:lnTo>
                    <a:pt x="39710" y="0"/>
                  </a:lnTo>
                  <a:lnTo>
                    <a:pt x="33681" y="0"/>
                  </a:lnTo>
                  <a:close/>
                </a:path>
              </a:pathLst>
            </a:custGeom>
            <a:solidFill>
              <a:srgbClr val="7CC061"/>
            </a:solidFill>
            <a:ln w="9525" cap="flat">
              <a:noFill/>
              <a:prstDash val="solid"/>
              <a:miter/>
            </a:ln>
          </xdr:spPr>
          <xdr:txBody>
            <a:bodyPr wrap="square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</xdr:grpSp>
      <xdr:grpSp>
        <xdr:nvGrpSpPr>
          <xdr:cNvPr id="54" name="Group 53">
            <a:extLst>
              <a:ext uri="{FF2B5EF4-FFF2-40B4-BE49-F238E27FC236}">
                <a16:creationId xmlns:a16="http://schemas.microsoft.com/office/drawing/2014/main" id="{D544B8B9-586B-1A3B-A369-931B5BF46474}"/>
              </a:ext>
            </a:extLst>
          </xdr:cNvPr>
          <xdr:cNvGrpSpPr/>
        </xdr:nvGrpSpPr>
        <xdr:grpSpPr>
          <a:xfrm>
            <a:off x="13179" y="46006"/>
            <a:ext cx="374171" cy="216878"/>
            <a:chOff x="-11427" y="73449"/>
            <a:chExt cx="422619" cy="244959"/>
          </a:xfrm>
        </xdr:grpSpPr>
        <xdr:sp macro="" textlink="">
          <xdr:nvSpPr>
            <xdr:cNvPr id="55" name="Freeform: Shape 54">
              <a:extLst>
                <a:ext uri="{FF2B5EF4-FFF2-40B4-BE49-F238E27FC236}">
                  <a16:creationId xmlns:a16="http://schemas.microsoft.com/office/drawing/2014/main" id="{5CBBA7A3-5410-93FB-3D11-B20EBE7D86D5}"/>
                </a:ext>
              </a:extLst>
            </xdr:cNvPr>
            <xdr:cNvSpPr/>
          </xdr:nvSpPr>
          <xdr:spPr>
            <a:xfrm>
              <a:off x="-11427" y="73449"/>
              <a:ext cx="334726" cy="244882"/>
            </a:xfrm>
            <a:custGeom>
              <a:avLst/>
              <a:gdLst>
                <a:gd name="connsiteX0" fmla="*/ 198810 w 416495"/>
                <a:gd name="connsiteY0" fmla="*/ 72933 h 304703"/>
                <a:gd name="connsiteX1" fmla="*/ 72897 w 416495"/>
                <a:gd name="connsiteY1" fmla="*/ 105894 h 304703"/>
                <a:gd name="connsiteX2" fmla="*/ 105858 w 416495"/>
                <a:gd name="connsiteY2" fmla="*/ 231807 h 304703"/>
                <a:gd name="connsiteX3" fmla="*/ 217289 w 416495"/>
                <a:gd name="connsiteY3" fmla="*/ 217555 h 304703"/>
                <a:gd name="connsiteX4" fmla="*/ 332194 w 416495"/>
                <a:gd name="connsiteY4" fmla="*/ 102617 h 304703"/>
                <a:gd name="connsiteX5" fmla="*/ 416496 w 416495"/>
                <a:gd name="connsiteY5" fmla="*/ 103666 h 304703"/>
                <a:gd name="connsiteX6" fmla="*/ 259981 w 416495"/>
                <a:gd name="connsiteY6" fmla="*/ 260214 h 304703"/>
                <a:gd name="connsiteX7" fmla="*/ 44490 w 416495"/>
                <a:gd name="connsiteY7" fmla="*/ 259919 h 304703"/>
                <a:gd name="connsiteX8" fmla="*/ 44785 w 416495"/>
                <a:gd name="connsiteY8" fmla="*/ 44428 h 304703"/>
                <a:gd name="connsiteX9" fmla="*/ 242354 w 416495"/>
                <a:gd name="connsiteY9" fmla="*/ 29389 h 304703"/>
                <a:gd name="connsiteX10" fmla="*/ 198810 w 416495"/>
                <a:gd name="connsiteY10" fmla="*/ 72933 h 304703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</a:cxnLst>
              <a:rect l="l" t="t" r="r" b="b"/>
              <a:pathLst>
                <a:path w="416495" h="304703">
                  <a:moveTo>
                    <a:pt x="198810" y="72933"/>
                  </a:moveTo>
                  <a:cubicBezTo>
                    <a:pt x="154938" y="47279"/>
                    <a:pt x="98551" y="62022"/>
                    <a:pt x="72897" y="105894"/>
                  </a:cubicBezTo>
                  <a:cubicBezTo>
                    <a:pt x="47242" y="149765"/>
                    <a:pt x="61986" y="206153"/>
                    <a:pt x="105858" y="231807"/>
                  </a:cubicBezTo>
                  <a:cubicBezTo>
                    <a:pt x="141931" y="252908"/>
                    <a:pt x="187702" y="247043"/>
                    <a:pt x="217289" y="217555"/>
                  </a:cubicBezTo>
                  <a:lnTo>
                    <a:pt x="332194" y="102617"/>
                  </a:lnTo>
                  <a:cubicBezTo>
                    <a:pt x="356800" y="82435"/>
                    <a:pt x="392381" y="82893"/>
                    <a:pt x="416496" y="103666"/>
                  </a:cubicBezTo>
                  <a:lnTo>
                    <a:pt x="259981" y="260214"/>
                  </a:lnTo>
                  <a:cubicBezTo>
                    <a:pt x="200383" y="319648"/>
                    <a:pt x="103924" y="319517"/>
                    <a:pt x="44490" y="259919"/>
                  </a:cubicBezTo>
                  <a:cubicBezTo>
                    <a:pt x="-14944" y="200353"/>
                    <a:pt x="-14813" y="103862"/>
                    <a:pt x="44785" y="44428"/>
                  </a:cubicBezTo>
                  <a:cubicBezTo>
                    <a:pt x="97928" y="-8519"/>
                    <a:pt x="181772" y="-14908"/>
                    <a:pt x="242354" y="29389"/>
                  </a:cubicBezTo>
                  <a:lnTo>
                    <a:pt x="198810" y="72933"/>
                  </a:lnTo>
                  <a:close/>
                </a:path>
              </a:pathLst>
            </a:custGeom>
            <a:solidFill>
              <a:srgbClr val="044D73"/>
            </a:solidFill>
            <a:ln w="9525" cap="flat">
              <a:noFill/>
              <a:prstDash val="solid"/>
              <a:miter/>
            </a:ln>
          </xdr:spPr>
          <xdr:txBody>
            <a:bodyPr wrap="square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56" name="Freeform: Shape 55">
              <a:extLst>
                <a:ext uri="{FF2B5EF4-FFF2-40B4-BE49-F238E27FC236}">
                  <a16:creationId xmlns:a16="http://schemas.microsoft.com/office/drawing/2014/main" id="{37B8A2AB-C39E-E8F5-B8FD-F620736E3A50}"/>
                </a:ext>
              </a:extLst>
            </xdr:cNvPr>
            <xdr:cNvSpPr/>
          </xdr:nvSpPr>
          <xdr:spPr>
            <a:xfrm>
              <a:off x="76439" y="73478"/>
              <a:ext cx="334753" cy="244930"/>
            </a:xfrm>
            <a:custGeom>
              <a:avLst/>
              <a:gdLst>
                <a:gd name="connsiteX0" fmla="*/ 217752 w 416528"/>
                <a:gd name="connsiteY0" fmla="*/ 231804 h 304763"/>
                <a:gd name="connsiteX1" fmla="*/ 343665 w 416528"/>
                <a:gd name="connsiteY1" fmla="*/ 198810 h 304763"/>
                <a:gd name="connsiteX2" fmla="*/ 310671 w 416528"/>
                <a:gd name="connsiteY2" fmla="*/ 72897 h 304763"/>
                <a:gd name="connsiteX3" fmla="*/ 199240 w 416528"/>
                <a:gd name="connsiteY3" fmla="*/ 87149 h 304763"/>
                <a:gd name="connsiteX4" fmla="*/ 84303 w 416528"/>
                <a:gd name="connsiteY4" fmla="*/ 202087 h 304763"/>
                <a:gd name="connsiteX5" fmla="*/ 0 w 416528"/>
                <a:gd name="connsiteY5" fmla="*/ 201038 h 304763"/>
                <a:gd name="connsiteX6" fmla="*/ 156548 w 416528"/>
                <a:gd name="connsiteY6" fmla="*/ 44490 h 304763"/>
                <a:gd name="connsiteX7" fmla="*/ 372039 w 416528"/>
                <a:gd name="connsiteY7" fmla="*/ 44785 h 304763"/>
                <a:gd name="connsiteX8" fmla="*/ 371744 w 416528"/>
                <a:gd name="connsiteY8" fmla="*/ 260276 h 304763"/>
                <a:gd name="connsiteX9" fmla="*/ 174208 w 416528"/>
                <a:gd name="connsiteY9" fmla="*/ 275380 h 304763"/>
                <a:gd name="connsiteX10" fmla="*/ 217752 w 416528"/>
                <a:gd name="connsiteY10" fmla="*/ 231836 h 304763"/>
                <a:gd name="connsiteX11" fmla="*/ 217752 w 416528"/>
                <a:gd name="connsiteY11" fmla="*/ 231804 h 304763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</a:cxnLst>
              <a:rect l="l" t="t" r="r" b="b"/>
              <a:pathLst>
                <a:path w="416528" h="304763">
                  <a:moveTo>
                    <a:pt x="217752" y="231804"/>
                  </a:moveTo>
                  <a:cubicBezTo>
                    <a:pt x="261623" y="257458"/>
                    <a:pt x="318010" y="242714"/>
                    <a:pt x="343665" y="198810"/>
                  </a:cubicBezTo>
                  <a:cubicBezTo>
                    <a:pt x="369319" y="154939"/>
                    <a:pt x="354576" y="98551"/>
                    <a:pt x="310671" y="72897"/>
                  </a:cubicBezTo>
                  <a:cubicBezTo>
                    <a:pt x="274597" y="51796"/>
                    <a:pt x="228826" y="57661"/>
                    <a:pt x="199240" y="87149"/>
                  </a:cubicBezTo>
                  <a:lnTo>
                    <a:pt x="84303" y="202087"/>
                  </a:lnTo>
                  <a:cubicBezTo>
                    <a:pt x="59664" y="222269"/>
                    <a:pt x="24114" y="221810"/>
                    <a:pt x="0" y="201038"/>
                  </a:cubicBezTo>
                  <a:lnTo>
                    <a:pt x="156548" y="44490"/>
                  </a:lnTo>
                  <a:cubicBezTo>
                    <a:pt x="216146" y="-14944"/>
                    <a:pt x="312604" y="-14813"/>
                    <a:pt x="372039" y="44785"/>
                  </a:cubicBezTo>
                  <a:cubicBezTo>
                    <a:pt x="431473" y="104383"/>
                    <a:pt x="431342" y="200841"/>
                    <a:pt x="371744" y="260276"/>
                  </a:cubicBezTo>
                  <a:cubicBezTo>
                    <a:pt x="318600" y="313288"/>
                    <a:pt x="234789" y="319678"/>
                    <a:pt x="174208" y="275380"/>
                  </a:cubicBezTo>
                  <a:lnTo>
                    <a:pt x="217752" y="231836"/>
                  </a:lnTo>
                  <a:lnTo>
                    <a:pt x="217752" y="231804"/>
                  </a:lnTo>
                  <a:close/>
                </a:path>
              </a:pathLst>
            </a:custGeom>
            <a:solidFill>
              <a:srgbClr val="7CC061"/>
            </a:solidFill>
            <a:ln w="9525" cap="flat">
              <a:noFill/>
              <a:prstDash val="solid"/>
              <a:miter/>
            </a:ln>
          </xdr:spPr>
          <xdr:txBody>
            <a:bodyPr wrap="square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</xdr:grpSp>
    </xdr:grpSp>
    <xdr:clientData/>
  </xdr:twoCellAnchor>
  <xdr:twoCellAnchor>
    <xdr:from>
      <xdr:col>14</xdr:col>
      <xdr:colOff>370113</xdr:colOff>
      <xdr:row>2</xdr:row>
      <xdr:rowOff>87084</xdr:rowOff>
    </xdr:from>
    <xdr:to>
      <xdr:col>23</xdr:col>
      <xdr:colOff>957943</xdr:colOff>
      <xdr:row>25</xdr:row>
      <xdr:rowOff>163286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800F8A7-588F-2EA4-3868-C2D4ACCA3E6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3</xdr:row>
      <xdr:rowOff>0</xdr:rowOff>
    </xdr:from>
    <xdr:to>
      <xdr:col>24</xdr:col>
      <xdr:colOff>555172</xdr:colOff>
      <xdr:row>26</xdr:row>
      <xdr:rowOff>76202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6B4AC73-E395-4463-ACBD-4CB439B787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CD725A-91CC-406A-AABC-9DC7A269650F}">
  <sheetPr codeName="Sheet1">
    <tabColor rgb="FF92D050"/>
  </sheetPr>
  <dimension ref="A1:I32"/>
  <sheetViews>
    <sheetView zoomScale="90" zoomScaleNormal="90" workbookViewId="0">
      <selection sqref="A1:XFD1"/>
    </sheetView>
  </sheetViews>
  <sheetFormatPr defaultColWidth="0" defaultRowHeight="14.4" zeroHeight="1" x14ac:dyDescent="0.3"/>
  <cols>
    <col min="1" max="9" width="8.77734375" customWidth="1"/>
    <col min="10" max="16384" width="8.77734375" hidden="1"/>
  </cols>
  <sheetData>
    <row r="1" customFormat="1" x14ac:dyDescent="0.3"/>
    <row r="2" customFormat="1" x14ac:dyDescent="0.3"/>
    <row r="3" customFormat="1" x14ac:dyDescent="0.3"/>
    <row r="4" customFormat="1" x14ac:dyDescent="0.3"/>
    <row r="5" customFormat="1" x14ac:dyDescent="0.3"/>
    <row r="6" customFormat="1" x14ac:dyDescent="0.3"/>
    <row r="7" customFormat="1" x14ac:dyDescent="0.3"/>
    <row r="8" customFormat="1" x14ac:dyDescent="0.3"/>
    <row r="9" customFormat="1" x14ac:dyDescent="0.3"/>
    <row r="10" customFormat="1" x14ac:dyDescent="0.3"/>
    <row r="11" customFormat="1" x14ac:dyDescent="0.3"/>
    <row r="12" customFormat="1" x14ac:dyDescent="0.3"/>
    <row r="13" customFormat="1" x14ac:dyDescent="0.3"/>
    <row r="14" customFormat="1" x14ac:dyDescent="0.3"/>
    <row r="15" customFormat="1" x14ac:dyDescent="0.3"/>
    <row r="16" customFormat="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x14ac:dyDescent="0.3"/>
    <row r="29" customFormat="1" x14ac:dyDescent="0.3"/>
    <row r="30" customFormat="1" x14ac:dyDescent="0.3"/>
    <row r="31" customFormat="1" x14ac:dyDescent="0.3"/>
    <row r="32" customFormat="1" x14ac:dyDescent="0.3"/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7A6D60-56DA-43A9-BB20-CCCDD8FAAB07}">
  <sheetPr codeName="Sheet2">
    <tabColor theme="9" tint="0.39997558519241921"/>
  </sheetPr>
  <dimension ref="A1:BL27"/>
  <sheetViews>
    <sheetView zoomScale="80" zoomScaleNormal="80" workbookViewId="0">
      <selection activeCell="I6" sqref="F6:I6"/>
    </sheetView>
  </sheetViews>
  <sheetFormatPr defaultColWidth="9.5546875" defaultRowHeight="14.4" zeroHeight="1" x14ac:dyDescent="0.3"/>
  <cols>
    <col min="1" max="1" width="9.5546875" style="89"/>
    <col min="2" max="2" width="16.44140625" style="89" customWidth="1"/>
    <col min="3" max="3" width="9.5546875" style="89"/>
    <col min="4" max="4" width="17.5546875" style="89" customWidth="1"/>
    <col min="5" max="5" width="11.88671875" style="89" customWidth="1"/>
    <col min="6" max="6" width="14.5546875" style="89" customWidth="1"/>
    <col min="7" max="11" width="9.5546875" style="89"/>
    <col min="12" max="12" width="14.33203125" style="89" customWidth="1"/>
    <col min="13" max="13" width="13.5546875" style="89" customWidth="1"/>
    <col min="14" max="15" width="9.5546875" style="89"/>
    <col min="16" max="16" width="26" style="202" customWidth="1"/>
    <col min="17" max="17" width="14.33203125" style="116" customWidth="1"/>
    <col min="18" max="18" width="20.5546875" style="203" customWidth="1"/>
    <col min="19" max="19" width="9.5546875" style="89"/>
    <col min="20" max="20" width="13.33203125" style="89" customWidth="1"/>
    <col min="21" max="21" width="18.21875" style="89" customWidth="1"/>
    <col min="22" max="22" width="9.5546875" style="89"/>
    <col min="23" max="23" width="13.88671875" style="89" customWidth="1"/>
    <col min="24" max="25" width="9.5546875" style="89"/>
    <col min="26" max="26" width="16.33203125" style="89" customWidth="1"/>
    <col min="27" max="30" width="9.5546875" style="89"/>
    <col min="31" max="31" width="15.21875" style="89" customWidth="1"/>
    <col min="32" max="35" width="9.5546875" style="89"/>
    <col min="36" max="36" width="16.33203125" style="89" customWidth="1"/>
    <col min="37" max="40" width="9.5546875" style="89"/>
    <col min="41" max="41" width="19.33203125" style="89" customWidth="1"/>
    <col min="42" max="45" width="9.5546875" style="89"/>
    <col min="46" max="46" width="17.6640625" style="89" customWidth="1"/>
    <col min="47" max="47" width="9.6640625" style="89" customWidth="1"/>
    <col min="48" max="50" width="9.5546875" style="89"/>
    <col min="51" max="51" width="17.109375" style="89" customWidth="1"/>
    <col min="52" max="55" width="9.5546875" style="89"/>
    <col min="56" max="56" width="18.88671875" style="89" customWidth="1"/>
    <col min="57" max="60" width="9.5546875" style="89"/>
    <col min="61" max="61" width="16.6640625" style="89" customWidth="1"/>
    <col min="62" max="16384" width="9.5546875" style="89"/>
  </cols>
  <sheetData>
    <row r="1" spans="1:64" x14ac:dyDescent="0.3">
      <c r="A1" s="88"/>
      <c r="B1" s="88"/>
      <c r="C1" s="88"/>
      <c r="D1" s="88"/>
      <c r="E1" s="88"/>
      <c r="F1" s="88"/>
      <c r="G1" s="88"/>
      <c r="H1" s="88"/>
      <c r="I1" s="88"/>
      <c r="J1" s="88"/>
      <c r="K1" s="88"/>
      <c r="L1" s="88"/>
      <c r="M1" s="88"/>
      <c r="N1" s="88"/>
      <c r="P1" s="89"/>
      <c r="Q1" s="89"/>
      <c r="R1" s="89"/>
    </row>
    <row r="2" spans="1:64" x14ac:dyDescent="0.3">
      <c r="A2" s="88"/>
      <c r="B2" s="88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P2" s="89"/>
      <c r="Q2" s="89"/>
      <c r="R2" s="89"/>
    </row>
    <row r="3" spans="1:64" x14ac:dyDescent="0.3">
      <c r="A3" s="88"/>
      <c r="B3" s="88"/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P3" s="89"/>
      <c r="Q3" s="89"/>
      <c r="R3" s="89"/>
    </row>
    <row r="4" spans="1:64" ht="15" thickBot="1" x14ac:dyDescent="0.35">
      <c r="A4" s="88"/>
      <c r="B4" s="101" t="s">
        <v>153</v>
      </c>
      <c r="C4" s="88"/>
      <c r="D4" s="88"/>
      <c r="E4" s="88"/>
      <c r="F4" s="88"/>
      <c r="G4" s="88"/>
      <c r="H4" s="88"/>
      <c r="I4" s="88"/>
      <c r="J4" s="88"/>
      <c r="K4" s="88"/>
      <c r="L4" s="88"/>
      <c r="M4" s="88"/>
      <c r="N4" s="88"/>
      <c r="P4" s="89"/>
      <c r="Q4" s="89"/>
      <c r="R4" s="89"/>
    </row>
    <row r="5" spans="1:64" x14ac:dyDescent="0.3">
      <c r="A5" s="88"/>
      <c r="B5" s="88"/>
      <c r="C5" s="88"/>
      <c r="D5" s="94"/>
      <c r="E5" s="88"/>
      <c r="F5" s="88"/>
      <c r="G5" s="88"/>
      <c r="H5" s="88"/>
      <c r="I5" s="88"/>
      <c r="J5" s="88"/>
      <c r="K5" s="88"/>
      <c r="L5" s="88"/>
      <c r="M5" s="88"/>
      <c r="N5" s="88"/>
      <c r="P5" s="137" t="s">
        <v>192</v>
      </c>
      <c r="Q5" s="137" t="s">
        <v>193</v>
      </c>
      <c r="R5" s="137"/>
      <c r="S5" s="137" t="s">
        <v>143</v>
      </c>
      <c r="U5" s="139" t="s">
        <v>144</v>
      </c>
      <c r="V5" s="140" t="s">
        <v>145</v>
      </c>
      <c r="W5" s="141">
        <v>0</v>
      </c>
      <c r="X5" s="142" t="s">
        <v>152</v>
      </c>
      <c r="Z5" s="139" t="s">
        <v>144</v>
      </c>
      <c r="AA5" s="140" t="s">
        <v>145</v>
      </c>
      <c r="AB5" s="141"/>
      <c r="AC5" s="142" t="s">
        <v>152</v>
      </c>
      <c r="AE5" s="139" t="s">
        <v>144</v>
      </c>
      <c r="AF5" s="140" t="s">
        <v>145</v>
      </c>
      <c r="AG5" s="141"/>
      <c r="AH5" s="142" t="s">
        <v>152</v>
      </c>
      <c r="AJ5" s="139" t="s">
        <v>144</v>
      </c>
      <c r="AK5" s="140" t="s">
        <v>145</v>
      </c>
      <c r="AL5" s="141"/>
      <c r="AM5" s="142" t="s">
        <v>152</v>
      </c>
      <c r="AO5" s="139" t="s">
        <v>144</v>
      </c>
      <c r="AP5" s="140" t="s">
        <v>145</v>
      </c>
      <c r="AQ5" s="141"/>
      <c r="AR5" s="142" t="s">
        <v>152</v>
      </c>
      <c r="AT5" s="139" t="s">
        <v>144</v>
      </c>
      <c r="AU5" s="140" t="s">
        <v>145</v>
      </c>
      <c r="AV5" s="141"/>
      <c r="AW5" s="142" t="s">
        <v>152</v>
      </c>
      <c r="AY5" s="139" t="s">
        <v>144</v>
      </c>
      <c r="AZ5" s="140" t="s">
        <v>145</v>
      </c>
      <c r="BA5" s="141"/>
      <c r="BB5" s="142" t="s">
        <v>152</v>
      </c>
      <c r="BD5" s="139" t="s">
        <v>144</v>
      </c>
      <c r="BE5" s="140" t="s">
        <v>145</v>
      </c>
      <c r="BF5" s="141"/>
      <c r="BG5" s="142" t="s">
        <v>152</v>
      </c>
      <c r="BI5" s="139" t="s">
        <v>144</v>
      </c>
      <c r="BJ5" s="140" t="s">
        <v>145</v>
      </c>
      <c r="BK5" s="141"/>
      <c r="BL5" s="142" t="s">
        <v>152</v>
      </c>
    </row>
    <row r="6" spans="1:64" x14ac:dyDescent="0.3">
      <c r="A6" s="88"/>
      <c r="B6" s="88" t="s">
        <v>147</v>
      </c>
      <c r="C6" s="88"/>
      <c r="D6" s="90" t="s">
        <v>177</v>
      </c>
      <c r="E6" s="98" t="s">
        <v>152</v>
      </c>
      <c r="J6" s="88"/>
      <c r="K6" s="88"/>
      <c r="L6" s="88"/>
      <c r="M6" s="88"/>
      <c r="N6" s="88"/>
      <c r="P6" s="89" t="s">
        <v>196</v>
      </c>
      <c r="Q6" s="89" t="s">
        <v>197</v>
      </c>
      <c r="R6" s="89"/>
      <c r="S6" s="89" t="s">
        <v>143</v>
      </c>
      <c r="U6" s="143" t="s">
        <v>140</v>
      </c>
      <c r="V6" s="88" t="s">
        <v>141</v>
      </c>
      <c r="W6" s="92">
        <v>0</v>
      </c>
      <c r="X6" s="144" t="s">
        <v>152</v>
      </c>
      <c r="Z6" s="143" t="s">
        <v>140</v>
      </c>
      <c r="AA6" s="88" t="s">
        <v>141</v>
      </c>
      <c r="AB6" s="92"/>
      <c r="AC6" s="144" t="s">
        <v>152</v>
      </c>
      <c r="AE6" s="143" t="s">
        <v>140</v>
      </c>
      <c r="AF6" s="88" t="s">
        <v>141</v>
      </c>
      <c r="AG6" s="92"/>
      <c r="AH6" s="144" t="s">
        <v>152</v>
      </c>
      <c r="AJ6" s="143" t="s">
        <v>140</v>
      </c>
      <c r="AK6" s="88" t="s">
        <v>141</v>
      </c>
      <c r="AL6" s="92"/>
      <c r="AM6" s="144" t="s">
        <v>152</v>
      </c>
      <c r="AO6" s="143" t="s">
        <v>140</v>
      </c>
      <c r="AP6" s="88" t="s">
        <v>141</v>
      </c>
      <c r="AQ6" s="92"/>
      <c r="AR6" s="144" t="s">
        <v>152</v>
      </c>
      <c r="AT6" s="143" t="s">
        <v>140</v>
      </c>
      <c r="AU6" s="88" t="s">
        <v>141</v>
      </c>
      <c r="AV6" s="92"/>
      <c r="AW6" s="144" t="s">
        <v>152</v>
      </c>
      <c r="AY6" s="143" t="s">
        <v>140</v>
      </c>
      <c r="AZ6" s="88" t="s">
        <v>141</v>
      </c>
      <c r="BA6" s="92"/>
      <c r="BB6" s="144" t="s">
        <v>152</v>
      </c>
      <c r="BD6" s="143" t="s">
        <v>140</v>
      </c>
      <c r="BE6" s="88" t="s">
        <v>141</v>
      </c>
      <c r="BF6" s="92"/>
      <c r="BG6" s="144" t="s">
        <v>152</v>
      </c>
      <c r="BI6" s="143" t="s">
        <v>140</v>
      </c>
      <c r="BJ6" s="88" t="s">
        <v>141</v>
      </c>
      <c r="BK6" s="92"/>
      <c r="BL6" s="144" t="s">
        <v>152</v>
      </c>
    </row>
    <row r="7" spans="1:64" x14ac:dyDescent="0.3">
      <c r="A7" s="88"/>
      <c r="B7" s="88"/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  <c r="P7" s="137" t="s">
        <v>195</v>
      </c>
      <c r="Q7" s="137" t="s">
        <v>194</v>
      </c>
      <c r="R7" s="137"/>
      <c r="S7" s="137" t="s">
        <v>143</v>
      </c>
      <c r="U7" s="143" t="s">
        <v>163</v>
      </c>
      <c r="V7" s="88" t="s">
        <v>164</v>
      </c>
      <c r="W7" s="92">
        <v>0</v>
      </c>
      <c r="X7" s="144" t="s">
        <v>152</v>
      </c>
      <c r="Z7" s="143" t="s">
        <v>163</v>
      </c>
      <c r="AA7" s="88" t="s">
        <v>164</v>
      </c>
      <c r="AB7" s="92"/>
      <c r="AC7" s="144" t="s">
        <v>152</v>
      </c>
      <c r="AE7" s="143" t="s">
        <v>163</v>
      </c>
      <c r="AF7" s="88" t="s">
        <v>164</v>
      </c>
      <c r="AG7" s="92"/>
      <c r="AH7" s="144" t="s">
        <v>152</v>
      </c>
      <c r="AJ7" s="143" t="s">
        <v>163</v>
      </c>
      <c r="AK7" s="88" t="s">
        <v>164</v>
      </c>
      <c r="AL7" s="92"/>
      <c r="AM7" s="144" t="s">
        <v>152</v>
      </c>
      <c r="AO7" s="143" t="s">
        <v>163</v>
      </c>
      <c r="AP7" s="88" t="s">
        <v>164</v>
      </c>
      <c r="AQ7" s="92"/>
      <c r="AR7" s="144" t="s">
        <v>152</v>
      </c>
      <c r="AT7" s="143" t="s">
        <v>163</v>
      </c>
      <c r="AU7" s="88" t="s">
        <v>164</v>
      </c>
      <c r="AV7" s="92"/>
      <c r="AW7" s="144" t="s">
        <v>152</v>
      </c>
      <c r="AY7" s="143" t="s">
        <v>163</v>
      </c>
      <c r="AZ7" s="88" t="s">
        <v>164</v>
      </c>
      <c r="BA7" s="92"/>
      <c r="BB7" s="144" t="s">
        <v>152</v>
      </c>
      <c r="BD7" s="143" t="s">
        <v>163</v>
      </c>
      <c r="BE7" s="88" t="s">
        <v>164</v>
      </c>
      <c r="BF7" s="92"/>
      <c r="BG7" s="144" t="s">
        <v>152</v>
      </c>
      <c r="BI7" s="143" t="s">
        <v>163</v>
      </c>
      <c r="BJ7" s="88" t="s">
        <v>164</v>
      </c>
      <c r="BK7" s="92"/>
      <c r="BL7" s="144" t="s">
        <v>152</v>
      </c>
    </row>
    <row r="8" spans="1:64" x14ac:dyDescent="0.3">
      <c r="A8" s="88"/>
      <c r="B8" s="88" t="s">
        <v>144</v>
      </c>
      <c r="C8" s="88" t="s">
        <v>145</v>
      </c>
      <c r="D8" s="91">
        <v>1</v>
      </c>
      <c r="E8" s="98" t="s">
        <v>152</v>
      </c>
      <c r="F8" s="88" t="s">
        <v>144</v>
      </c>
      <c r="G8" s="88" t="s">
        <v>145</v>
      </c>
      <c r="H8" s="91"/>
      <c r="I8" s="98" t="s">
        <v>152</v>
      </c>
      <c r="J8" s="88"/>
      <c r="K8" s="88" t="s">
        <v>168</v>
      </c>
      <c r="L8" s="88"/>
      <c r="M8" s="113"/>
      <c r="N8" s="98" t="s">
        <v>152</v>
      </c>
      <c r="P8" s="89"/>
      <c r="Q8" s="89"/>
      <c r="R8" s="124"/>
      <c r="U8" s="143" t="s">
        <v>142</v>
      </c>
      <c r="V8" s="88" t="s">
        <v>146</v>
      </c>
      <c r="W8" s="95">
        <v>0</v>
      </c>
      <c r="X8" s="144" t="s">
        <v>152</v>
      </c>
      <c r="Z8" s="143" t="s">
        <v>142</v>
      </c>
      <c r="AA8" s="88" t="s">
        <v>146</v>
      </c>
      <c r="AB8" s="95"/>
      <c r="AC8" s="144" t="s">
        <v>152</v>
      </c>
      <c r="AE8" s="143" t="s">
        <v>142</v>
      </c>
      <c r="AF8" s="88" t="s">
        <v>146</v>
      </c>
      <c r="AG8" s="95"/>
      <c r="AH8" s="144" t="s">
        <v>152</v>
      </c>
      <c r="AJ8" s="143" t="s">
        <v>142</v>
      </c>
      <c r="AK8" s="88" t="s">
        <v>146</v>
      </c>
      <c r="AL8" s="95"/>
      <c r="AM8" s="144" t="s">
        <v>152</v>
      </c>
      <c r="AO8" s="143" t="s">
        <v>142</v>
      </c>
      <c r="AP8" s="88" t="s">
        <v>146</v>
      </c>
      <c r="AQ8" s="95"/>
      <c r="AR8" s="144" t="s">
        <v>152</v>
      </c>
      <c r="AT8" s="143" t="s">
        <v>142</v>
      </c>
      <c r="AU8" s="88" t="s">
        <v>146</v>
      </c>
      <c r="AV8" s="95"/>
      <c r="AW8" s="144" t="s">
        <v>152</v>
      </c>
      <c r="AY8" s="143" t="s">
        <v>142</v>
      </c>
      <c r="AZ8" s="88" t="s">
        <v>146</v>
      </c>
      <c r="BA8" s="95"/>
      <c r="BB8" s="144" t="s">
        <v>152</v>
      </c>
      <c r="BD8" s="143" t="s">
        <v>142</v>
      </c>
      <c r="BE8" s="88" t="s">
        <v>146</v>
      </c>
      <c r="BF8" s="95"/>
      <c r="BG8" s="144" t="s">
        <v>152</v>
      </c>
      <c r="BI8" s="143" t="s">
        <v>142</v>
      </c>
      <c r="BJ8" s="88" t="s">
        <v>146</v>
      </c>
      <c r="BK8" s="95"/>
      <c r="BL8" s="144" t="s">
        <v>152</v>
      </c>
    </row>
    <row r="9" spans="1:64" ht="15" thickBot="1" x14ac:dyDescent="0.35">
      <c r="A9" s="88"/>
      <c r="B9" s="88" t="s">
        <v>140</v>
      </c>
      <c r="C9" s="88" t="s">
        <v>141</v>
      </c>
      <c r="D9" s="95">
        <f>'Auto Calculate'!F5</f>
        <v>48</v>
      </c>
      <c r="E9" s="98" t="s">
        <v>152</v>
      </c>
      <c r="F9" s="88" t="s">
        <v>140</v>
      </c>
      <c r="G9" s="88" t="s">
        <v>141</v>
      </c>
      <c r="H9" s="92"/>
      <c r="I9" s="98" t="s">
        <v>152</v>
      </c>
      <c r="J9" s="88"/>
      <c r="K9" s="88" t="s">
        <v>169</v>
      </c>
      <c r="L9" s="88"/>
      <c r="M9" s="114"/>
      <c r="N9" s="98" t="s">
        <v>152</v>
      </c>
      <c r="P9" s="89"/>
      <c r="Q9" s="89"/>
      <c r="R9" s="135"/>
      <c r="U9" s="145" t="s">
        <v>156</v>
      </c>
      <c r="V9" s="146" t="s">
        <v>143</v>
      </c>
      <c r="W9" s="147"/>
      <c r="X9" s="148" t="s">
        <v>152</v>
      </c>
      <c r="Z9" s="145" t="s">
        <v>156</v>
      </c>
      <c r="AA9" s="146" t="s">
        <v>143</v>
      </c>
      <c r="AB9" s="147"/>
      <c r="AC9" s="148" t="s">
        <v>152</v>
      </c>
      <c r="AE9" s="145" t="s">
        <v>156</v>
      </c>
      <c r="AF9" s="146" t="s">
        <v>143</v>
      </c>
      <c r="AG9" s="147"/>
      <c r="AH9" s="148" t="s">
        <v>152</v>
      </c>
      <c r="AJ9" s="145" t="s">
        <v>156</v>
      </c>
      <c r="AK9" s="146" t="s">
        <v>143</v>
      </c>
      <c r="AL9" s="147"/>
      <c r="AM9" s="148" t="s">
        <v>152</v>
      </c>
      <c r="AO9" s="145" t="s">
        <v>156</v>
      </c>
      <c r="AP9" s="146" t="s">
        <v>143</v>
      </c>
      <c r="AQ9" s="147"/>
      <c r="AR9" s="148" t="s">
        <v>152</v>
      </c>
      <c r="AT9" s="145" t="s">
        <v>156</v>
      </c>
      <c r="AU9" s="146" t="s">
        <v>143</v>
      </c>
      <c r="AV9" s="147"/>
      <c r="AW9" s="148" t="s">
        <v>152</v>
      </c>
      <c r="AY9" s="145" t="s">
        <v>156</v>
      </c>
      <c r="AZ9" s="146" t="s">
        <v>143</v>
      </c>
      <c r="BA9" s="147"/>
      <c r="BB9" s="148" t="s">
        <v>152</v>
      </c>
      <c r="BD9" s="145" t="s">
        <v>156</v>
      </c>
      <c r="BE9" s="146" t="s">
        <v>143</v>
      </c>
      <c r="BF9" s="147"/>
      <c r="BG9" s="148" t="s">
        <v>152</v>
      </c>
      <c r="BI9" s="145" t="s">
        <v>156</v>
      </c>
      <c r="BJ9" s="146" t="s">
        <v>143</v>
      </c>
      <c r="BK9" s="147"/>
      <c r="BL9" s="148" t="s">
        <v>152</v>
      </c>
    </row>
    <row r="10" spans="1:64" x14ac:dyDescent="0.3">
      <c r="A10" s="88"/>
      <c r="B10" s="88" t="s">
        <v>163</v>
      </c>
      <c r="C10" s="88" t="s">
        <v>164</v>
      </c>
      <c r="D10" s="108">
        <f>'Auto Calculate'!F6</f>
        <v>48000</v>
      </c>
      <c r="E10" s="98" t="s">
        <v>152</v>
      </c>
      <c r="F10" s="88" t="s">
        <v>163</v>
      </c>
      <c r="G10" s="88" t="s">
        <v>164</v>
      </c>
      <c r="H10" s="92"/>
      <c r="I10" s="98" t="s">
        <v>152</v>
      </c>
      <c r="J10" s="88"/>
      <c r="K10" s="88" t="s">
        <v>170</v>
      </c>
      <c r="L10" s="88"/>
      <c r="M10" s="115"/>
      <c r="N10" s="98" t="s">
        <v>152</v>
      </c>
      <c r="O10" s="110"/>
      <c r="P10" s="89"/>
      <c r="Q10" s="89"/>
      <c r="R10" s="89"/>
      <c r="X10" s="138"/>
      <c r="AC10" s="138"/>
      <c r="AH10" s="138"/>
      <c r="AM10" s="138"/>
      <c r="AR10" s="138"/>
      <c r="AW10" s="138"/>
      <c r="BB10" s="138"/>
      <c r="BG10" s="138"/>
      <c r="BL10" s="138"/>
    </row>
    <row r="11" spans="1:64" x14ac:dyDescent="0.3">
      <c r="A11" s="88"/>
      <c r="B11" s="88" t="s">
        <v>142</v>
      </c>
      <c r="C11" s="88" t="s">
        <v>146</v>
      </c>
      <c r="D11" s="95">
        <f>'Auto Calculate'!F4</f>
        <v>750</v>
      </c>
      <c r="E11" s="98" t="s">
        <v>152</v>
      </c>
      <c r="F11" s="88" t="s">
        <v>142</v>
      </c>
      <c r="G11" s="88" t="s">
        <v>146</v>
      </c>
      <c r="H11" s="95"/>
      <c r="I11" s="98" t="s">
        <v>152</v>
      </c>
      <c r="J11" s="88"/>
      <c r="K11" s="88" t="s">
        <v>171</v>
      </c>
      <c r="L11" s="88"/>
      <c r="M11" s="115"/>
      <c r="N11" s="98" t="s">
        <v>152</v>
      </c>
      <c r="P11" s="89"/>
      <c r="Q11" s="89"/>
      <c r="R11" s="89"/>
    </row>
    <row r="12" spans="1:64" ht="15" thickBot="1" x14ac:dyDescent="0.35">
      <c r="A12" s="88"/>
      <c r="B12" s="88" t="s">
        <v>156</v>
      </c>
      <c r="C12" s="88" t="s">
        <v>143</v>
      </c>
      <c r="D12" s="92"/>
      <c r="E12" s="98" t="s">
        <v>152</v>
      </c>
      <c r="F12" s="88" t="s">
        <v>156</v>
      </c>
      <c r="G12" s="88" t="s">
        <v>143</v>
      </c>
      <c r="H12" s="92"/>
      <c r="I12" s="98" t="s">
        <v>152</v>
      </c>
      <c r="J12" s="88"/>
      <c r="K12" s="88"/>
      <c r="L12" s="88"/>
      <c r="M12" s="88"/>
      <c r="N12" s="88"/>
      <c r="O12" s="136">
        <f>(D9+H9+M8+W6+W13+AB6+AB13+AG6+AG13+AL6+AL13+AQ6+AQ13+AV6+AV13+BA6+BA13+BF6+BF13+BK6+BK13)*10</f>
        <v>480</v>
      </c>
      <c r="P12" s="117" t="s">
        <v>179</v>
      </c>
      <c r="Q12" s="89"/>
      <c r="R12" s="89"/>
    </row>
    <row r="13" spans="1:64" x14ac:dyDescent="0.3">
      <c r="A13" s="88"/>
      <c r="B13" s="88" t="s">
        <v>162</v>
      </c>
      <c r="C13" s="88" t="s">
        <v>143</v>
      </c>
      <c r="D13" s="116">
        <f>'Calculation Debt'!J13</f>
        <v>0</v>
      </c>
      <c r="E13" s="99" t="s">
        <v>151</v>
      </c>
      <c r="F13" s="88"/>
      <c r="G13" s="88"/>
      <c r="H13" s="88"/>
      <c r="I13" s="99"/>
      <c r="J13" s="88"/>
      <c r="K13" s="88"/>
      <c r="L13" s="88"/>
      <c r="M13" s="112"/>
      <c r="N13" s="88"/>
      <c r="O13" s="118">
        <v>10</v>
      </c>
      <c r="P13" s="117" t="s">
        <v>167</v>
      </c>
      <c r="Q13" s="89"/>
      <c r="R13" s="89"/>
      <c r="U13" s="139" t="s">
        <v>168</v>
      </c>
      <c r="V13" s="140"/>
      <c r="W13" s="149"/>
      <c r="X13" s="142" t="s">
        <v>152</v>
      </c>
      <c r="Z13" s="139" t="s">
        <v>168</v>
      </c>
      <c r="AA13" s="140"/>
      <c r="AB13" s="149"/>
      <c r="AC13" s="142" t="s">
        <v>152</v>
      </c>
      <c r="AE13" s="139" t="s">
        <v>168</v>
      </c>
      <c r="AF13" s="140"/>
      <c r="AG13" s="149"/>
      <c r="AH13" s="142" t="s">
        <v>152</v>
      </c>
      <c r="AJ13" s="139" t="s">
        <v>168</v>
      </c>
      <c r="AK13" s="140"/>
      <c r="AL13" s="140"/>
      <c r="AM13" s="142" t="s">
        <v>152</v>
      </c>
      <c r="AO13" s="139" t="s">
        <v>168</v>
      </c>
      <c r="AP13" s="140"/>
      <c r="AQ13" s="149"/>
      <c r="AR13" s="142" t="s">
        <v>152</v>
      </c>
      <c r="AT13" s="139" t="s">
        <v>168</v>
      </c>
      <c r="AU13" s="140"/>
      <c r="AV13" s="149"/>
      <c r="AW13" s="142" t="s">
        <v>152</v>
      </c>
      <c r="AY13" s="139" t="s">
        <v>168</v>
      </c>
      <c r="AZ13" s="140"/>
      <c r="BA13" s="149"/>
      <c r="BB13" s="142" t="s">
        <v>152</v>
      </c>
      <c r="BD13" s="139" t="s">
        <v>168</v>
      </c>
      <c r="BE13" s="140"/>
      <c r="BF13" s="149"/>
      <c r="BG13" s="142" t="s">
        <v>152</v>
      </c>
      <c r="BI13" s="139" t="s">
        <v>168</v>
      </c>
      <c r="BJ13" s="140"/>
      <c r="BK13" s="149"/>
      <c r="BL13" s="142" t="s">
        <v>152</v>
      </c>
    </row>
    <row r="14" spans="1:64" x14ac:dyDescent="0.3">
      <c r="A14" s="88"/>
      <c r="B14" s="88" t="s">
        <v>150</v>
      </c>
      <c r="C14" s="88" t="s">
        <v>143</v>
      </c>
      <c r="D14" s="96">
        <f>D11*D9</f>
        <v>36000</v>
      </c>
      <c r="E14" s="99" t="s">
        <v>151</v>
      </c>
      <c r="F14" s="88"/>
      <c r="G14" s="88"/>
      <c r="H14" s="88"/>
      <c r="I14" s="88"/>
      <c r="J14" s="88"/>
      <c r="K14" s="88"/>
      <c r="L14" s="88"/>
      <c r="M14" s="88"/>
      <c r="N14" s="88"/>
      <c r="P14" s="89"/>
      <c r="Q14" s="89"/>
      <c r="R14" s="89"/>
      <c r="U14" s="143" t="s">
        <v>169</v>
      </c>
      <c r="V14" s="88"/>
      <c r="W14" s="114"/>
      <c r="X14" s="144" t="s">
        <v>152</v>
      </c>
      <c r="Z14" s="143" t="s">
        <v>169</v>
      </c>
      <c r="AA14" s="88"/>
      <c r="AB14" s="114"/>
      <c r="AC14" s="144" t="s">
        <v>152</v>
      </c>
      <c r="AE14" s="143" t="s">
        <v>169</v>
      </c>
      <c r="AF14" s="88"/>
      <c r="AG14" s="114"/>
      <c r="AH14" s="144" t="s">
        <v>152</v>
      </c>
      <c r="AJ14" s="143" t="s">
        <v>169</v>
      </c>
      <c r="AK14" s="88"/>
      <c r="AL14" s="151"/>
      <c r="AM14" s="144" t="s">
        <v>152</v>
      </c>
      <c r="AO14" s="143" t="s">
        <v>169</v>
      </c>
      <c r="AP14" s="88"/>
      <c r="AQ14" s="114"/>
      <c r="AR14" s="144" t="s">
        <v>152</v>
      </c>
      <c r="AT14" s="143" t="s">
        <v>169</v>
      </c>
      <c r="AU14" s="88"/>
      <c r="AV14" s="114"/>
      <c r="AW14" s="144" t="s">
        <v>152</v>
      </c>
      <c r="AY14" s="143" t="s">
        <v>169</v>
      </c>
      <c r="AZ14" s="88"/>
      <c r="BA14" s="114"/>
      <c r="BB14" s="144" t="s">
        <v>152</v>
      </c>
      <c r="BD14" s="143" t="s">
        <v>169</v>
      </c>
      <c r="BE14" s="88"/>
      <c r="BF14" s="114"/>
      <c r="BG14" s="144" t="s">
        <v>152</v>
      </c>
      <c r="BI14" s="143" t="s">
        <v>169</v>
      </c>
      <c r="BJ14" s="88"/>
      <c r="BK14" s="114"/>
      <c r="BL14" s="144" t="s">
        <v>152</v>
      </c>
    </row>
    <row r="15" spans="1:64" ht="15" thickBot="1" x14ac:dyDescent="0.35">
      <c r="A15" s="88"/>
      <c r="B15" s="101" t="s">
        <v>154</v>
      </c>
      <c r="C15" s="88"/>
      <c r="D15" s="88"/>
      <c r="E15" s="98"/>
      <c r="F15" s="88"/>
      <c r="G15" s="88"/>
      <c r="H15" s="88"/>
      <c r="I15" s="88"/>
      <c r="J15" s="88"/>
      <c r="K15" s="88"/>
      <c r="L15" s="88"/>
      <c r="M15" s="88"/>
      <c r="N15" s="88"/>
      <c r="P15" s="89"/>
      <c r="Q15" s="89"/>
      <c r="R15" s="89" t="s">
        <v>218</v>
      </c>
      <c r="U15" s="143" t="s">
        <v>170</v>
      </c>
      <c r="V15" s="88"/>
      <c r="W15" s="115"/>
      <c r="X15" s="144" t="s">
        <v>152</v>
      </c>
      <c r="Z15" s="143" t="s">
        <v>170</v>
      </c>
      <c r="AA15" s="88"/>
      <c r="AB15" s="115"/>
      <c r="AC15" s="144" t="s">
        <v>152</v>
      </c>
      <c r="AE15" s="143" t="s">
        <v>170</v>
      </c>
      <c r="AF15" s="88"/>
      <c r="AG15" s="115"/>
      <c r="AH15" s="144" t="s">
        <v>152</v>
      </c>
      <c r="AJ15" s="143" t="s">
        <v>170</v>
      </c>
      <c r="AK15" s="88"/>
      <c r="AL15" s="112"/>
      <c r="AM15" s="144" t="s">
        <v>152</v>
      </c>
      <c r="AO15" s="143" t="s">
        <v>170</v>
      </c>
      <c r="AP15" s="88"/>
      <c r="AQ15" s="115"/>
      <c r="AR15" s="144" t="s">
        <v>152</v>
      </c>
      <c r="AT15" s="143" t="s">
        <v>170</v>
      </c>
      <c r="AU15" s="88"/>
      <c r="AV15" s="115"/>
      <c r="AW15" s="144" t="s">
        <v>152</v>
      </c>
      <c r="AY15" s="143" t="s">
        <v>170</v>
      </c>
      <c r="AZ15" s="88"/>
      <c r="BA15" s="115"/>
      <c r="BB15" s="144" t="s">
        <v>152</v>
      </c>
      <c r="BD15" s="143" t="s">
        <v>170</v>
      </c>
      <c r="BE15" s="88"/>
      <c r="BF15" s="115"/>
      <c r="BG15" s="144" t="s">
        <v>152</v>
      </c>
      <c r="BI15" s="143" t="s">
        <v>170</v>
      </c>
      <c r="BJ15" s="88"/>
      <c r="BK15" s="115"/>
      <c r="BL15" s="144" t="s">
        <v>152</v>
      </c>
    </row>
    <row r="16" spans="1:64" ht="15" thickBot="1" x14ac:dyDescent="0.35">
      <c r="A16" s="88"/>
      <c r="B16" s="100" t="s">
        <v>155</v>
      </c>
      <c r="C16" s="88"/>
      <c r="D16" s="88"/>
      <c r="E16" s="98"/>
      <c r="F16" s="88"/>
      <c r="G16" s="88"/>
      <c r="H16" s="88"/>
      <c r="I16" s="88"/>
      <c r="J16" s="88"/>
      <c r="K16" s="88"/>
      <c r="L16" s="88"/>
      <c r="M16" s="88"/>
      <c r="N16" s="88"/>
      <c r="P16" s="184" t="s">
        <v>188</v>
      </c>
      <c r="Q16" s="185">
        <v>0</v>
      </c>
      <c r="R16" s="186">
        <v>0</v>
      </c>
      <c r="U16" s="145" t="s">
        <v>171</v>
      </c>
      <c r="V16" s="146"/>
      <c r="W16" s="150">
        <v>0</v>
      </c>
      <c r="X16" s="148" t="s">
        <v>152</v>
      </c>
      <c r="Z16" s="145" t="s">
        <v>171</v>
      </c>
      <c r="AA16" s="146"/>
      <c r="AB16" s="150">
        <v>0</v>
      </c>
      <c r="AC16" s="148" t="s">
        <v>152</v>
      </c>
      <c r="AE16" s="145" t="s">
        <v>171</v>
      </c>
      <c r="AF16" s="146"/>
      <c r="AG16" s="150">
        <v>0</v>
      </c>
      <c r="AH16" s="148" t="s">
        <v>152</v>
      </c>
      <c r="AJ16" s="145" t="s">
        <v>171</v>
      </c>
      <c r="AK16" s="146"/>
      <c r="AL16" s="152">
        <v>0</v>
      </c>
      <c r="AM16" s="148" t="s">
        <v>152</v>
      </c>
      <c r="AO16" s="145" t="s">
        <v>171</v>
      </c>
      <c r="AP16" s="146"/>
      <c r="AQ16" s="150">
        <v>0</v>
      </c>
      <c r="AR16" s="148" t="s">
        <v>152</v>
      </c>
      <c r="AT16" s="145" t="s">
        <v>171</v>
      </c>
      <c r="AU16" s="146"/>
      <c r="AV16" s="150">
        <v>0</v>
      </c>
      <c r="AW16" s="148" t="s">
        <v>152</v>
      </c>
      <c r="AY16" s="145" t="s">
        <v>171</v>
      </c>
      <c r="AZ16" s="146"/>
      <c r="BA16" s="150">
        <v>0</v>
      </c>
      <c r="BB16" s="148" t="s">
        <v>152</v>
      </c>
      <c r="BD16" s="145" t="s">
        <v>171</v>
      </c>
      <c r="BE16" s="146"/>
      <c r="BF16" s="150">
        <v>0</v>
      </c>
      <c r="BG16" s="148" t="s">
        <v>152</v>
      </c>
      <c r="BI16" s="145" t="s">
        <v>171</v>
      </c>
      <c r="BJ16" s="146"/>
      <c r="BK16" s="150">
        <v>0</v>
      </c>
      <c r="BL16" s="148" t="s">
        <v>152</v>
      </c>
    </row>
    <row r="17" spans="1:28" ht="15" thickBot="1" x14ac:dyDescent="0.35">
      <c r="A17" s="88"/>
      <c r="B17" s="88"/>
      <c r="C17" s="88"/>
      <c r="D17" s="88"/>
      <c r="E17" s="98"/>
      <c r="F17" s="88"/>
      <c r="G17" s="88"/>
      <c r="H17" s="88"/>
      <c r="I17" s="88"/>
      <c r="J17" s="88"/>
      <c r="K17" s="88"/>
      <c r="L17" s="88"/>
      <c r="M17" s="88"/>
      <c r="N17" s="88"/>
      <c r="P17" s="195" t="s">
        <v>217</v>
      </c>
      <c r="Q17" s="196">
        <f>Q21*Q22</f>
        <v>0</v>
      </c>
      <c r="R17" s="197">
        <v>0</v>
      </c>
    </row>
    <row r="18" spans="1:28" ht="15" thickBot="1" x14ac:dyDescent="0.35">
      <c r="A18" s="88"/>
      <c r="B18" s="88" t="s">
        <v>148</v>
      </c>
      <c r="C18" s="88" t="s">
        <v>149</v>
      </c>
      <c r="D18" s="95">
        <f>'Auto Calculate'!J4</f>
        <v>12.486760352189341</v>
      </c>
      <c r="E18" s="98" t="s">
        <v>152</v>
      </c>
      <c r="G18" s="88"/>
      <c r="H18" s="93" t="s">
        <v>161</v>
      </c>
      <c r="I18" s="93"/>
      <c r="J18" s="88"/>
      <c r="K18" s="88"/>
      <c r="L18" s="88"/>
      <c r="M18" s="88"/>
      <c r="N18" s="88"/>
      <c r="P18" s="187" t="s">
        <v>189</v>
      </c>
      <c r="Q18" s="188">
        <v>0</v>
      </c>
      <c r="R18" s="189">
        <v>0</v>
      </c>
    </row>
    <row r="19" spans="1:28" x14ac:dyDescent="0.3">
      <c r="A19" s="88"/>
      <c r="B19" s="88" t="s">
        <v>191</v>
      </c>
      <c r="C19" s="88"/>
      <c r="D19" s="134">
        <v>0</v>
      </c>
      <c r="E19" s="88"/>
      <c r="F19" s="107">
        <f>'Calculation Debt'!N12</f>
        <v>0.11</v>
      </c>
      <c r="G19" s="88"/>
      <c r="H19" s="93" t="s">
        <v>160</v>
      </c>
      <c r="I19" s="93"/>
      <c r="J19" s="88"/>
      <c r="K19" s="88"/>
      <c r="L19" s="88"/>
      <c r="M19" s="88"/>
      <c r="N19" s="88"/>
      <c r="P19" s="89"/>
      <c r="Q19" s="89"/>
      <c r="R19" s="89"/>
    </row>
    <row r="20" spans="1:28" ht="15" thickBot="1" x14ac:dyDescent="0.35">
      <c r="A20" s="88"/>
      <c r="B20" s="101"/>
      <c r="C20" s="88"/>
      <c r="D20" s="88"/>
      <c r="E20" s="88"/>
      <c r="F20" s="88"/>
      <c r="G20" s="88"/>
      <c r="H20" s="88"/>
      <c r="I20" s="88"/>
      <c r="J20" s="88"/>
      <c r="K20" s="88"/>
      <c r="L20" s="88"/>
      <c r="M20" s="88"/>
      <c r="N20" s="88"/>
      <c r="P20" s="89"/>
      <c r="Q20" s="89"/>
      <c r="R20" s="89"/>
    </row>
    <row r="21" spans="1:28" x14ac:dyDescent="0.3">
      <c r="A21" s="88"/>
      <c r="B21" s="88"/>
      <c r="C21" s="88"/>
      <c r="D21" s="88"/>
      <c r="E21" s="97"/>
      <c r="F21" s="88"/>
      <c r="G21" s="88"/>
      <c r="H21" s="88"/>
      <c r="I21" s="88"/>
      <c r="J21" s="88"/>
      <c r="K21" s="88"/>
      <c r="L21" s="88"/>
      <c r="M21" s="88"/>
      <c r="N21" s="88"/>
      <c r="P21" s="191" t="s">
        <v>220</v>
      </c>
      <c r="Q21" s="192">
        <v>0</v>
      </c>
      <c r="R21" s="89"/>
    </row>
    <row r="22" spans="1:28" ht="15" thickBot="1" x14ac:dyDescent="0.35">
      <c r="A22" s="88"/>
      <c r="B22" s="102"/>
      <c r="C22" s="102"/>
      <c r="D22" s="190"/>
      <c r="E22" s="99"/>
      <c r="F22" s="88"/>
      <c r="G22" s="88"/>
      <c r="H22" s="88"/>
      <c r="I22" s="88"/>
      <c r="J22" s="88"/>
      <c r="K22" s="88"/>
      <c r="L22" s="88"/>
      <c r="M22" s="88"/>
      <c r="N22" s="88"/>
      <c r="P22" s="193" t="s">
        <v>221</v>
      </c>
      <c r="Q22" s="194">
        <v>1500</v>
      </c>
      <c r="R22" s="89"/>
    </row>
    <row r="23" spans="1:28" ht="15" thickBot="1" x14ac:dyDescent="0.35">
      <c r="A23" s="88"/>
      <c r="B23" s="88"/>
      <c r="C23" s="88"/>
      <c r="D23" s="88"/>
      <c r="E23" s="88"/>
      <c r="F23" s="88"/>
      <c r="G23" s="88"/>
      <c r="H23" s="88"/>
      <c r="I23" s="88"/>
      <c r="J23" s="88"/>
      <c r="K23" s="88"/>
      <c r="L23" s="88"/>
      <c r="M23" s="88"/>
      <c r="N23" s="88"/>
      <c r="P23" s="89"/>
      <c r="Q23" s="89"/>
      <c r="R23" s="89"/>
      <c r="X23" s="117"/>
    </row>
    <row r="24" spans="1:28" ht="15" thickBot="1" x14ac:dyDescent="0.35">
      <c r="A24" s="88"/>
      <c r="B24" s="93"/>
      <c r="C24" s="93"/>
      <c r="D24" s="94"/>
      <c r="E24" s="99"/>
      <c r="F24" s="88"/>
      <c r="G24" s="88"/>
      <c r="H24" s="88"/>
      <c r="I24" s="88"/>
      <c r="J24" s="88"/>
      <c r="K24" s="88"/>
      <c r="L24" s="88"/>
      <c r="M24" s="88"/>
      <c r="N24" s="88"/>
      <c r="P24" s="198" t="s">
        <v>43</v>
      </c>
      <c r="Q24" s="199">
        <v>10</v>
      </c>
      <c r="R24" s="89"/>
    </row>
    <row r="25" spans="1:28" ht="15" thickBot="1" x14ac:dyDescent="0.35">
      <c r="A25" s="88"/>
      <c r="B25" s="88"/>
      <c r="C25" s="88"/>
      <c r="D25" s="88"/>
      <c r="E25" s="88"/>
      <c r="F25" s="88"/>
      <c r="G25" s="88"/>
      <c r="H25" s="88"/>
      <c r="I25" s="88"/>
      <c r="J25" s="88"/>
      <c r="K25" s="88"/>
      <c r="L25" s="88"/>
      <c r="M25" s="88"/>
      <c r="N25" s="88"/>
      <c r="P25" s="89"/>
      <c r="Q25" s="89"/>
      <c r="R25" s="89"/>
    </row>
    <row r="26" spans="1:28" ht="15" thickBot="1" x14ac:dyDescent="0.35">
      <c r="A26" s="88"/>
      <c r="B26" s="88"/>
      <c r="C26" s="88"/>
      <c r="D26" s="88"/>
      <c r="E26" s="88"/>
      <c r="F26" s="88"/>
      <c r="G26" s="88"/>
      <c r="H26" s="88"/>
      <c r="I26" s="88"/>
      <c r="J26" s="88"/>
      <c r="K26" s="88"/>
      <c r="L26" s="88"/>
      <c r="M26" s="88"/>
      <c r="N26" s="88"/>
      <c r="P26" s="187" t="s">
        <v>224</v>
      </c>
      <c r="Q26" s="200">
        <v>0.05</v>
      </c>
      <c r="R26" s="188">
        <f>'Calculation Debt'!I2*Q26</f>
        <v>1800</v>
      </c>
      <c r="T26" s="89" t="s">
        <v>226</v>
      </c>
      <c r="U26" s="89" t="s">
        <v>229</v>
      </c>
      <c r="W26" s="89" t="s">
        <v>227</v>
      </c>
      <c r="X26" s="89" t="s">
        <v>228</v>
      </c>
      <c r="Z26" s="187" t="s">
        <v>224</v>
      </c>
      <c r="AA26" s="200">
        <v>0.01</v>
      </c>
      <c r="AB26" s="188">
        <f>'Calculation Debt'!I2*Summary!AA26</f>
        <v>360</v>
      </c>
    </row>
    <row r="27" spans="1:28" ht="15" thickBot="1" x14ac:dyDescent="0.35">
      <c r="A27" s="88"/>
      <c r="B27" s="88"/>
      <c r="C27" s="88"/>
      <c r="D27" s="88"/>
      <c r="E27" s="88"/>
      <c r="F27" s="88"/>
      <c r="G27" s="88"/>
      <c r="H27" s="88"/>
      <c r="I27" s="88"/>
      <c r="J27" s="88"/>
      <c r="K27" s="88"/>
      <c r="L27" s="88"/>
      <c r="M27" s="88"/>
      <c r="N27" s="88"/>
      <c r="P27" s="201" t="s">
        <v>225</v>
      </c>
      <c r="Q27" s="209">
        <v>0</v>
      </c>
      <c r="R27" s="204">
        <v>0</v>
      </c>
      <c r="S27" s="117" t="s">
        <v>223</v>
      </c>
      <c r="T27" s="205">
        <f>SUM('Calculation Debt'!D65:AB65)</f>
        <v>0</v>
      </c>
      <c r="U27" s="206">
        <f>SUM('Calculation Debt'!D65:AB65)/'Calculation Debt'!I2</f>
        <v>0</v>
      </c>
      <c r="V27" s="117"/>
      <c r="W27" s="207">
        <f>T27/SUM('Calculation Debt'!D67:R67)</f>
        <v>0</v>
      </c>
      <c r="X27" s="208">
        <f>T27/SUM('Calculation Debt'!D111:R111)</f>
        <v>0</v>
      </c>
    </row>
  </sheetData>
  <conditionalFormatting sqref="D24">
    <cfRule type="cellIs" dxfId="3" priority="1" operator="equal">
      <formula>"yes"</formula>
    </cfRule>
    <cfRule type="cellIs" dxfId="2" priority="2" operator="equal">
      <formula>"no"</formula>
    </cfRule>
  </conditionalFormatting>
  <pageMargins left="0.7" right="0.7" top="0.75" bottom="0.75" header="0.3" footer="0.3"/>
  <pageSetup paperSize="9" orientation="landscape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6E29D4-DE53-489D-ACAA-A2E7EA47A49C}">
  <sheetPr codeName="Sheet3"/>
  <dimension ref="A1:T65"/>
  <sheetViews>
    <sheetView tabSelected="1" workbookViewId="0">
      <selection activeCell="F6" sqref="F6"/>
    </sheetView>
  </sheetViews>
  <sheetFormatPr defaultRowHeight="14.4" x14ac:dyDescent="0.3"/>
  <cols>
    <col min="1" max="1" width="7.44140625" customWidth="1"/>
    <col min="2" max="4" width="8.88671875" hidden="1" customWidth="1"/>
    <col min="5" max="5" width="29.109375" customWidth="1"/>
    <col min="6" max="6" width="26.109375" customWidth="1"/>
    <col min="9" max="9" width="26.21875" customWidth="1"/>
    <col min="10" max="10" width="18.6640625" customWidth="1"/>
  </cols>
  <sheetData>
    <row r="1" spans="1:20" ht="84" customHeight="1" x14ac:dyDescent="0.3">
      <c r="A1" s="217"/>
      <c r="B1" s="217"/>
      <c r="C1" s="217"/>
      <c r="D1" s="217"/>
      <c r="E1" s="217"/>
      <c r="F1" s="217"/>
      <c r="G1" s="217"/>
      <c r="H1" s="217"/>
      <c r="I1" s="217"/>
      <c r="J1" s="217"/>
      <c r="K1" s="217"/>
      <c r="L1" s="214"/>
      <c r="M1" s="214"/>
      <c r="N1" s="214"/>
      <c r="O1" s="214"/>
      <c r="P1" s="214"/>
      <c r="Q1" s="214"/>
      <c r="R1" s="214"/>
      <c r="S1" s="214"/>
      <c r="T1" s="214"/>
    </row>
    <row r="2" spans="1:20" ht="21" x14ac:dyDescent="0.4">
      <c r="A2" s="217"/>
      <c r="B2" s="217"/>
      <c r="C2" s="217"/>
      <c r="D2" s="217"/>
      <c r="E2" s="218" t="s">
        <v>234</v>
      </c>
      <c r="F2" s="217"/>
      <c r="G2" s="217"/>
      <c r="H2" s="217"/>
      <c r="I2" s="218" t="s">
        <v>235</v>
      </c>
      <c r="J2" s="217"/>
      <c r="K2" s="217"/>
      <c r="L2" s="214"/>
      <c r="M2" s="214"/>
      <c r="N2" s="214"/>
      <c r="O2" s="214"/>
      <c r="P2" s="214"/>
      <c r="Q2" s="214"/>
      <c r="R2" s="214"/>
      <c r="S2" s="214"/>
      <c r="T2" s="214"/>
    </row>
    <row r="3" spans="1:20" ht="15" thickBot="1" x14ac:dyDescent="0.35">
      <c r="A3" s="217"/>
      <c r="B3" s="217"/>
      <c r="C3" s="217"/>
      <c r="D3" s="217"/>
      <c r="E3" s="217"/>
      <c r="F3" s="217"/>
      <c r="G3" s="217"/>
      <c r="H3" s="217"/>
      <c r="I3" s="217"/>
      <c r="J3" s="217"/>
      <c r="K3" s="217"/>
      <c r="L3" s="214"/>
      <c r="M3" s="214"/>
      <c r="N3" s="214"/>
      <c r="O3" s="214"/>
      <c r="P3" s="214"/>
      <c r="Q3" s="214"/>
      <c r="R3" s="214"/>
      <c r="S3" s="214"/>
      <c r="T3" s="214"/>
    </row>
    <row r="4" spans="1:20" ht="21.6" thickBot="1" x14ac:dyDescent="0.45">
      <c r="A4" s="217"/>
      <c r="B4" s="217"/>
      <c r="C4" s="217"/>
      <c r="D4" s="217"/>
      <c r="E4" s="212" t="s">
        <v>230</v>
      </c>
      <c r="F4" s="216">
        <v>750</v>
      </c>
      <c r="G4" s="217"/>
      <c r="H4" s="217"/>
      <c r="I4" s="213" t="s">
        <v>233</v>
      </c>
      <c r="J4" s="215">
        <v>12.486760352189341</v>
      </c>
      <c r="K4" s="217"/>
      <c r="L4" s="214"/>
      <c r="M4" s="214"/>
      <c r="N4" s="214"/>
      <c r="O4" s="214"/>
      <c r="P4" s="214"/>
      <c r="Q4" s="214"/>
      <c r="R4" s="214"/>
      <c r="S4" s="214"/>
      <c r="T4" s="214"/>
    </row>
    <row r="5" spans="1:20" ht="21.6" thickBot="1" x14ac:dyDescent="0.45">
      <c r="A5" s="217"/>
      <c r="B5" s="217"/>
      <c r="C5" s="217"/>
      <c r="D5" s="217"/>
      <c r="E5" s="212" t="s">
        <v>231</v>
      </c>
      <c r="F5" s="222">
        <v>48</v>
      </c>
      <c r="G5" s="217"/>
      <c r="H5" s="217"/>
      <c r="I5" s="217"/>
      <c r="J5" s="217"/>
      <c r="K5" s="217"/>
      <c r="L5" s="214"/>
      <c r="M5" s="214"/>
      <c r="N5" s="214"/>
      <c r="O5" s="214"/>
      <c r="P5" s="214"/>
      <c r="Q5" s="214"/>
      <c r="R5" s="214"/>
      <c r="S5" s="214"/>
      <c r="T5" s="214"/>
    </row>
    <row r="6" spans="1:20" ht="21.6" thickBot="1" x14ac:dyDescent="0.45">
      <c r="A6" s="217"/>
      <c r="B6" s="217"/>
      <c r="C6" s="217"/>
      <c r="D6" s="217"/>
      <c r="E6" s="212" t="s">
        <v>232</v>
      </c>
      <c r="F6" s="223">
        <v>48000</v>
      </c>
      <c r="G6" s="217"/>
      <c r="H6" s="217"/>
      <c r="I6" s="217"/>
      <c r="J6" s="217"/>
      <c r="K6" s="217"/>
      <c r="L6" s="214"/>
      <c r="M6" s="214"/>
      <c r="N6" s="214"/>
      <c r="O6" s="214"/>
      <c r="P6" s="214"/>
      <c r="Q6" s="214"/>
      <c r="R6" s="214"/>
      <c r="S6" s="214"/>
      <c r="T6" s="214"/>
    </row>
    <row r="7" spans="1:20" ht="15" thickBot="1" x14ac:dyDescent="0.35">
      <c r="A7" s="217"/>
      <c r="B7" s="217"/>
      <c r="C7" s="217"/>
      <c r="D7" s="217"/>
      <c r="E7" s="217"/>
      <c r="F7" s="217"/>
      <c r="G7" s="217"/>
      <c r="H7" s="217"/>
      <c r="I7" s="217"/>
      <c r="J7" s="217"/>
      <c r="K7" s="217"/>
      <c r="L7" s="214"/>
      <c r="M7" s="214"/>
      <c r="N7" s="214"/>
      <c r="O7" s="214"/>
      <c r="P7" s="214"/>
      <c r="Q7" s="214"/>
      <c r="R7" s="214"/>
      <c r="S7" s="214"/>
      <c r="T7" s="214"/>
    </row>
    <row r="8" spans="1:20" ht="21.6" hidden="1" thickBot="1" x14ac:dyDescent="0.45">
      <c r="A8" s="217"/>
      <c r="B8" s="217"/>
      <c r="C8" s="217"/>
      <c r="D8" s="217"/>
      <c r="E8" s="219" t="s">
        <v>231</v>
      </c>
      <c r="F8" s="220" t="e">
        <f>#REF!*0.8*0.21829</f>
        <v>#REF!</v>
      </c>
      <c r="G8" s="217"/>
      <c r="H8" s="217" t="s">
        <v>235</v>
      </c>
      <c r="I8" s="217"/>
      <c r="J8" s="217"/>
      <c r="K8" s="217"/>
      <c r="L8" s="214"/>
      <c r="M8" s="214"/>
      <c r="N8" s="214"/>
      <c r="O8" s="214"/>
      <c r="P8" s="214"/>
      <c r="Q8" s="214"/>
      <c r="R8" s="214"/>
      <c r="S8" s="214"/>
      <c r="T8" s="214"/>
    </row>
    <row r="9" spans="1:20" ht="15" hidden="1" thickBot="1" x14ac:dyDescent="0.35">
      <c r="A9" s="217"/>
      <c r="B9" s="217"/>
      <c r="C9" s="217"/>
      <c r="D9" s="217"/>
      <c r="E9" s="217"/>
      <c r="F9" s="217"/>
      <c r="G9" s="217"/>
      <c r="H9" s="217"/>
      <c r="I9" s="217"/>
      <c r="J9" s="217"/>
      <c r="K9" s="217"/>
      <c r="L9" s="214"/>
      <c r="M9" s="214"/>
      <c r="N9" s="214"/>
      <c r="O9" s="214"/>
      <c r="P9" s="214"/>
      <c r="Q9" s="214"/>
      <c r="R9" s="214"/>
      <c r="S9" s="214"/>
      <c r="T9" s="214"/>
    </row>
    <row r="10" spans="1:20" ht="21.6" hidden="1" thickBot="1" x14ac:dyDescent="0.45">
      <c r="A10" s="217"/>
      <c r="B10" s="217"/>
      <c r="C10" s="217"/>
      <c r="D10" s="217"/>
      <c r="E10" s="219" t="s">
        <v>232</v>
      </c>
      <c r="F10" s="221" t="e">
        <f>F8*850</f>
        <v>#REF!</v>
      </c>
      <c r="G10" s="217"/>
      <c r="H10" s="217"/>
      <c r="I10" s="217"/>
      <c r="J10" s="217"/>
      <c r="K10" s="217"/>
      <c r="L10" s="214"/>
      <c r="M10" s="214"/>
      <c r="N10" s="214"/>
      <c r="O10" s="214"/>
      <c r="P10" s="214"/>
      <c r="Q10" s="214"/>
      <c r="R10" s="214"/>
      <c r="S10" s="214"/>
      <c r="T10" s="214"/>
    </row>
    <row r="11" spans="1:20" ht="21.6" thickBot="1" x14ac:dyDescent="0.45">
      <c r="A11" s="217"/>
      <c r="B11" s="217"/>
      <c r="C11" s="217"/>
      <c r="D11" s="217"/>
      <c r="E11" s="225" t="s">
        <v>236</v>
      </c>
      <c r="F11" s="216">
        <v>25</v>
      </c>
      <c r="G11" s="217" t="s">
        <v>237</v>
      </c>
      <c r="H11" s="88"/>
      <c r="I11" s="217"/>
      <c r="J11" s="217"/>
      <c r="K11" s="217"/>
      <c r="L11" s="214"/>
      <c r="M11" s="214"/>
      <c r="N11" s="214"/>
      <c r="O11" s="214"/>
      <c r="P11" s="214"/>
      <c r="Q11" s="214"/>
      <c r="R11" s="214"/>
      <c r="S11" s="214"/>
      <c r="T11" s="214"/>
    </row>
    <row r="12" spans="1:20" x14ac:dyDescent="0.3">
      <c r="A12" s="217"/>
      <c r="B12" s="217"/>
      <c r="C12" s="217"/>
      <c r="D12" s="217"/>
      <c r="E12" s="217"/>
      <c r="F12" s="217"/>
      <c r="G12" s="217"/>
      <c r="H12" s="217"/>
      <c r="I12" s="217"/>
      <c r="J12" s="217"/>
      <c r="K12" s="217"/>
      <c r="L12" s="214"/>
      <c r="M12" s="214"/>
      <c r="N12" s="214"/>
      <c r="O12" s="214"/>
      <c r="P12" s="214"/>
      <c r="Q12" s="214"/>
      <c r="R12" s="214"/>
      <c r="S12" s="214"/>
      <c r="T12" s="214"/>
    </row>
    <row r="13" spans="1:20" x14ac:dyDescent="0.3">
      <c r="A13" s="217"/>
      <c r="B13" s="217"/>
      <c r="C13" s="217"/>
      <c r="D13" s="217"/>
      <c r="E13" s="217"/>
      <c r="F13" s="217"/>
      <c r="G13" s="217"/>
      <c r="H13" s="217"/>
      <c r="I13" s="217"/>
      <c r="J13" s="217"/>
      <c r="K13" s="217"/>
      <c r="L13" s="214"/>
      <c r="M13" s="214"/>
      <c r="N13" s="214"/>
      <c r="O13" s="214"/>
      <c r="P13" s="214"/>
      <c r="Q13" s="214"/>
      <c r="R13" s="214"/>
      <c r="S13" s="214"/>
      <c r="T13" s="214"/>
    </row>
    <row r="14" spans="1:20" hidden="1" x14ac:dyDescent="0.3">
      <c r="A14" s="210"/>
      <c r="B14" s="210"/>
      <c r="C14" s="210"/>
      <c r="D14" s="210"/>
      <c r="E14" s="210"/>
      <c r="F14" s="210"/>
      <c r="G14" s="210"/>
      <c r="H14" s="210"/>
      <c r="I14" s="210"/>
      <c r="J14" s="210"/>
      <c r="K14" s="210"/>
      <c r="L14" s="214"/>
      <c r="M14" s="214"/>
      <c r="N14" s="214"/>
      <c r="O14" s="214"/>
      <c r="P14" s="214"/>
      <c r="Q14" s="214"/>
      <c r="R14" s="214"/>
      <c r="S14" s="214"/>
      <c r="T14" s="214"/>
    </row>
    <row r="15" spans="1:20" hidden="1" x14ac:dyDescent="0.3">
      <c r="A15" s="210"/>
      <c r="B15" s="210"/>
      <c r="C15" s="210"/>
      <c r="D15" s="210"/>
      <c r="E15" s="210"/>
      <c r="F15" s="210"/>
      <c r="G15" s="210"/>
      <c r="H15" s="210"/>
      <c r="I15" s="210"/>
      <c r="J15" s="210"/>
      <c r="K15" s="210"/>
      <c r="L15" s="214"/>
      <c r="M15" s="214"/>
      <c r="N15" s="214"/>
      <c r="O15" s="214"/>
      <c r="P15" s="214"/>
      <c r="Q15" s="214"/>
      <c r="R15" s="214"/>
      <c r="S15" s="214"/>
      <c r="T15" s="214"/>
    </row>
    <row r="16" spans="1:20" hidden="1" x14ac:dyDescent="0.3">
      <c r="A16" s="210"/>
      <c r="B16" s="210"/>
      <c r="C16" s="210"/>
      <c r="D16" s="210"/>
      <c r="E16" s="210"/>
      <c r="F16" s="210"/>
      <c r="G16" s="210"/>
      <c r="H16" s="210"/>
      <c r="I16" s="210"/>
      <c r="J16" s="210"/>
      <c r="K16" s="210"/>
      <c r="L16" s="214"/>
      <c r="M16" s="214"/>
      <c r="N16" s="214"/>
      <c r="O16" s="214"/>
      <c r="P16" s="214"/>
      <c r="Q16" s="214"/>
      <c r="R16" s="214"/>
      <c r="S16" s="214"/>
      <c r="T16" s="214"/>
    </row>
    <row r="17" spans="1:20" hidden="1" x14ac:dyDescent="0.3">
      <c r="A17" s="210"/>
      <c r="B17" s="210"/>
      <c r="C17" s="210"/>
      <c r="D17" s="210"/>
      <c r="E17" s="210"/>
      <c r="F17" s="211">
        <f>'Without Debt'!N7</f>
        <v>0.11002745393177582</v>
      </c>
      <c r="G17" s="210"/>
      <c r="H17" s="210"/>
      <c r="I17" s="210"/>
      <c r="J17" s="210"/>
      <c r="K17" s="210"/>
      <c r="L17" s="214"/>
      <c r="M17" s="214"/>
      <c r="N17" s="214"/>
      <c r="O17" s="214"/>
      <c r="P17" s="214"/>
      <c r="Q17" s="214"/>
      <c r="R17" s="214"/>
      <c r="S17" s="214"/>
      <c r="T17" s="214"/>
    </row>
    <row r="18" spans="1:20" hidden="1" x14ac:dyDescent="0.3">
      <c r="A18" s="210"/>
      <c r="B18" s="210"/>
      <c r="C18" s="210"/>
      <c r="D18" s="210"/>
      <c r="E18" s="210"/>
      <c r="F18" s="210"/>
      <c r="G18" s="210"/>
      <c r="H18" s="210"/>
      <c r="I18" s="210"/>
      <c r="J18" s="210"/>
      <c r="K18" s="210"/>
      <c r="L18" s="214"/>
      <c r="M18" s="214"/>
      <c r="N18" s="214"/>
      <c r="O18" s="214"/>
      <c r="P18" s="214"/>
      <c r="Q18" s="214"/>
      <c r="R18" s="214"/>
      <c r="S18" s="214"/>
      <c r="T18" s="214"/>
    </row>
    <row r="19" spans="1:20" hidden="1" x14ac:dyDescent="0.3">
      <c r="L19" s="214"/>
      <c r="M19" s="214"/>
      <c r="N19" s="214"/>
      <c r="O19" s="214"/>
      <c r="P19" s="214"/>
      <c r="Q19" s="214"/>
      <c r="R19" s="214"/>
      <c r="S19" s="214"/>
      <c r="T19" s="214"/>
    </row>
    <row r="20" spans="1:20" hidden="1" x14ac:dyDescent="0.3">
      <c r="L20" s="214"/>
      <c r="M20" s="214"/>
      <c r="N20" s="214"/>
      <c r="O20" s="214"/>
      <c r="P20" s="214"/>
      <c r="Q20" s="214"/>
      <c r="R20" s="214"/>
      <c r="S20" s="214"/>
      <c r="T20" s="214"/>
    </row>
    <row r="21" spans="1:20" hidden="1" x14ac:dyDescent="0.3">
      <c r="L21" s="214"/>
      <c r="M21" s="214"/>
      <c r="N21" s="214"/>
      <c r="O21" s="214"/>
      <c r="P21" s="214"/>
      <c r="Q21" s="214"/>
      <c r="R21" s="214"/>
      <c r="S21" s="214"/>
      <c r="T21" s="214"/>
    </row>
    <row r="22" spans="1:20" hidden="1" x14ac:dyDescent="0.3">
      <c r="L22" s="214"/>
      <c r="M22" s="214"/>
      <c r="N22" s="214"/>
      <c r="O22" s="214"/>
      <c r="P22" s="214"/>
      <c r="Q22" s="214"/>
      <c r="R22" s="214"/>
      <c r="S22" s="214"/>
      <c r="T22" s="214"/>
    </row>
    <row r="23" spans="1:20" hidden="1" x14ac:dyDescent="0.3">
      <c r="L23" s="214"/>
      <c r="M23" s="214"/>
      <c r="N23" s="214"/>
      <c r="O23" s="214"/>
      <c r="P23" s="214"/>
      <c r="Q23" s="214"/>
      <c r="R23" s="214"/>
      <c r="S23" s="214"/>
      <c r="T23" s="214"/>
    </row>
    <row r="24" spans="1:20" x14ac:dyDescent="0.3">
      <c r="A24" s="214"/>
      <c r="B24" s="214"/>
      <c r="C24" s="214"/>
      <c r="D24" s="214"/>
      <c r="E24" s="214"/>
      <c r="F24" s="214"/>
      <c r="G24" s="214"/>
      <c r="H24" s="214"/>
      <c r="I24" s="214"/>
      <c r="J24" s="214"/>
      <c r="K24" s="214"/>
      <c r="L24" s="214"/>
      <c r="M24" s="214"/>
      <c r="N24" s="214"/>
      <c r="O24" s="214"/>
      <c r="P24" s="214"/>
      <c r="Q24" s="214"/>
      <c r="R24" s="214"/>
      <c r="S24" s="214"/>
      <c r="T24" s="214"/>
    </row>
    <row r="25" spans="1:20" x14ac:dyDescent="0.3">
      <c r="A25" s="214"/>
      <c r="B25" s="214"/>
      <c r="C25" s="214"/>
      <c r="D25" s="214"/>
      <c r="E25" s="214"/>
      <c r="F25" s="214"/>
      <c r="G25" s="214"/>
      <c r="H25" s="214"/>
      <c r="I25" s="214"/>
      <c r="J25" s="214"/>
      <c r="K25" s="214"/>
      <c r="L25" s="214"/>
      <c r="M25" s="214"/>
      <c r="N25" s="214"/>
      <c r="O25" s="214"/>
      <c r="P25" s="214"/>
      <c r="Q25" s="214"/>
      <c r="R25" s="214"/>
      <c r="S25" s="214"/>
      <c r="T25" s="214"/>
    </row>
    <row r="26" spans="1:20" x14ac:dyDescent="0.3">
      <c r="A26" s="214"/>
      <c r="B26" s="214"/>
      <c r="C26" s="214"/>
      <c r="D26" s="214"/>
      <c r="E26" s="214"/>
      <c r="F26" s="214"/>
      <c r="G26" s="214"/>
      <c r="H26" s="214"/>
      <c r="I26" s="214"/>
      <c r="J26" s="214"/>
      <c r="K26" s="214"/>
      <c r="L26" s="214"/>
      <c r="M26" s="214"/>
      <c r="N26" s="214"/>
      <c r="O26" s="214"/>
      <c r="P26" s="214"/>
      <c r="Q26" s="214"/>
      <c r="R26" s="214"/>
      <c r="S26" s="214"/>
      <c r="T26" s="214"/>
    </row>
    <row r="27" spans="1:20" x14ac:dyDescent="0.3">
      <c r="A27" s="214"/>
      <c r="B27" s="214"/>
      <c r="C27" s="214"/>
      <c r="D27" s="214"/>
      <c r="E27" s="214"/>
      <c r="F27" s="214"/>
      <c r="G27" s="214"/>
      <c r="H27" s="214"/>
      <c r="I27" s="214"/>
      <c r="J27" s="214"/>
      <c r="K27" s="214"/>
      <c r="L27" s="214"/>
      <c r="M27" s="214"/>
      <c r="N27" s="214"/>
      <c r="O27" s="214"/>
      <c r="P27" s="214"/>
      <c r="Q27" s="214"/>
      <c r="R27" s="214"/>
      <c r="S27" s="214"/>
      <c r="T27" s="214"/>
    </row>
    <row r="28" spans="1:20" x14ac:dyDescent="0.3">
      <c r="A28" s="214"/>
      <c r="B28" s="214"/>
      <c r="C28" s="214"/>
      <c r="D28" s="214"/>
      <c r="E28" s="214"/>
      <c r="F28" s="214"/>
      <c r="G28" s="214"/>
      <c r="H28" s="214"/>
      <c r="I28" s="214"/>
      <c r="J28" s="214"/>
      <c r="K28" s="214"/>
      <c r="L28" s="214"/>
      <c r="M28" s="214"/>
      <c r="N28" s="214"/>
      <c r="O28" s="214"/>
      <c r="P28" s="214"/>
      <c r="Q28" s="214"/>
      <c r="R28" s="214"/>
      <c r="S28" s="214"/>
      <c r="T28" s="214"/>
    </row>
    <row r="29" spans="1:20" x14ac:dyDescent="0.3">
      <c r="A29" s="214"/>
      <c r="B29" s="214"/>
      <c r="C29" s="214"/>
      <c r="D29" s="214"/>
      <c r="E29" s="214"/>
      <c r="F29" s="214"/>
      <c r="G29" s="214"/>
      <c r="H29" s="214"/>
      <c r="I29" s="224">
        <f>'Without Debt'!$N$7</f>
        <v>0.11002745393177582</v>
      </c>
      <c r="J29" s="214"/>
      <c r="K29" s="214"/>
      <c r="L29" s="214"/>
      <c r="M29" s="214"/>
      <c r="N29" s="214"/>
      <c r="O29" s="214"/>
      <c r="P29" s="214"/>
      <c r="Q29" s="214"/>
      <c r="R29" s="214"/>
      <c r="S29" s="214"/>
      <c r="T29" s="214"/>
    </row>
    <row r="30" spans="1:20" hidden="1" x14ac:dyDescent="0.3">
      <c r="A30" s="214"/>
      <c r="B30" s="214"/>
      <c r="C30" s="214"/>
      <c r="D30" s="214"/>
      <c r="E30" s="214"/>
      <c r="F30" s="214"/>
      <c r="G30" s="214"/>
      <c r="H30" s="214"/>
      <c r="I30" s="214"/>
      <c r="J30" s="214"/>
      <c r="K30" s="214"/>
      <c r="L30" s="214"/>
      <c r="M30" s="214"/>
      <c r="N30" s="214"/>
      <c r="O30" s="214"/>
      <c r="P30" s="214"/>
      <c r="Q30" s="214"/>
      <c r="R30" s="214"/>
      <c r="S30" s="214"/>
      <c r="T30" s="214"/>
    </row>
    <row r="31" spans="1:20" hidden="1" x14ac:dyDescent="0.3">
      <c r="A31" s="214"/>
      <c r="B31" s="214"/>
      <c r="C31" s="214"/>
      <c r="D31" s="214"/>
      <c r="E31" s="214"/>
      <c r="F31" s="214"/>
      <c r="G31" s="214"/>
      <c r="H31" s="214"/>
      <c r="I31" s="214"/>
      <c r="J31" s="214"/>
      <c r="K31" s="214"/>
      <c r="L31" s="214"/>
      <c r="M31" s="214"/>
      <c r="N31" s="214"/>
      <c r="O31" s="214"/>
      <c r="P31" s="214"/>
      <c r="Q31" s="214"/>
      <c r="R31" s="214"/>
      <c r="S31" s="214"/>
      <c r="T31" s="214"/>
    </row>
    <row r="32" spans="1:20" hidden="1" x14ac:dyDescent="0.3">
      <c r="A32" s="214"/>
      <c r="B32" s="214"/>
      <c r="C32" s="214"/>
      <c r="D32" s="214"/>
      <c r="E32" s="214"/>
      <c r="F32" s="214"/>
      <c r="G32" s="214"/>
      <c r="H32" s="214"/>
      <c r="I32" s="214"/>
      <c r="J32" s="214"/>
      <c r="K32" s="214"/>
      <c r="L32" s="214"/>
      <c r="M32" s="214"/>
      <c r="N32" s="214"/>
      <c r="O32" s="214"/>
      <c r="P32" s="214"/>
      <c r="Q32" s="214"/>
      <c r="R32" s="214"/>
      <c r="S32" s="214"/>
      <c r="T32" s="214"/>
    </row>
    <row r="33" spans="1:20" hidden="1" x14ac:dyDescent="0.3">
      <c r="A33" s="214"/>
      <c r="B33" s="214"/>
      <c r="C33" s="214"/>
      <c r="D33" s="214"/>
      <c r="E33" s="214"/>
      <c r="F33" s="214"/>
      <c r="G33" s="214"/>
      <c r="H33" s="214"/>
      <c r="I33" s="214"/>
      <c r="J33" s="214"/>
      <c r="K33" s="214"/>
      <c r="L33" s="214"/>
      <c r="M33" s="214"/>
      <c r="N33" s="214"/>
      <c r="O33" s="214"/>
      <c r="P33" s="214"/>
      <c r="Q33" s="214"/>
      <c r="R33" s="214"/>
      <c r="S33" s="214"/>
      <c r="T33" s="214"/>
    </row>
    <row r="34" spans="1:20" hidden="1" x14ac:dyDescent="0.3">
      <c r="A34" s="214"/>
      <c r="B34" s="214"/>
      <c r="C34" s="214"/>
      <c r="D34" s="214"/>
      <c r="E34" s="214"/>
      <c r="F34" s="214"/>
      <c r="G34" s="214"/>
      <c r="H34" s="214"/>
      <c r="I34" s="214"/>
      <c r="J34" s="214"/>
      <c r="K34" s="214"/>
      <c r="L34" s="214"/>
      <c r="M34" s="214"/>
      <c r="N34" s="214"/>
      <c r="O34" s="214"/>
      <c r="P34" s="214"/>
      <c r="Q34" s="214"/>
      <c r="R34" s="214"/>
      <c r="S34" s="214"/>
    </row>
    <row r="35" spans="1:20" hidden="1" x14ac:dyDescent="0.3">
      <c r="A35" s="214"/>
      <c r="B35" s="214"/>
      <c r="C35" s="214"/>
      <c r="D35" s="214"/>
      <c r="E35" s="214"/>
      <c r="F35" s="214"/>
      <c r="G35" s="214"/>
      <c r="H35" s="214"/>
      <c r="I35" s="214"/>
      <c r="J35" s="214"/>
      <c r="K35" s="214"/>
      <c r="L35" s="214"/>
      <c r="M35" s="214"/>
      <c r="N35" s="214"/>
      <c r="O35" s="214"/>
      <c r="P35" s="214"/>
      <c r="Q35" s="214"/>
      <c r="R35" s="214"/>
      <c r="S35" s="214"/>
    </row>
    <row r="36" spans="1:20" hidden="1" x14ac:dyDescent="0.3">
      <c r="A36" s="214"/>
      <c r="B36" s="214"/>
      <c r="C36" s="214"/>
      <c r="D36" s="214"/>
      <c r="E36" s="214"/>
      <c r="F36" s="214"/>
      <c r="G36" s="214"/>
      <c r="H36" s="214"/>
      <c r="I36" s="214"/>
      <c r="J36" s="214"/>
      <c r="K36" s="214"/>
      <c r="L36" s="214"/>
      <c r="M36" s="214"/>
      <c r="N36" s="214"/>
      <c r="O36" s="214"/>
      <c r="P36" s="214"/>
      <c r="Q36" s="214"/>
      <c r="R36" s="214"/>
      <c r="S36" s="214"/>
    </row>
    <row r="37" spans="1:20" hidden="1" x14ac:dyDescent="0.3">
      <c r="A37" s="214"/>
      <c r="B37" s="214"/>
      <c r="C37" s="214"/>
      <c r="D37" s="214"/>
      <c r="E37" s="214"/>
      <c r="F37" s="214"/>
      <c r="G37" s="214"/>
      <c r="H37" s="214"/>
      <c r="I37" s="214"/>
      <c r="J37" s="214"/>
      <c r="K37" s="214"/>
      <c r="L37" s="214"/>
      <c r="M37" s="214"/>
      <c r="N37" s="214"/>
      <c r="O37" s="214"/>
      <c r="P37" s="214"/>
      <c r="Q37" s="214"/>
      <c r="R37" s="214"/>
      <c r="S37" s="214"/>
    </row>
    <row r="38" spans="1:20" hidden="1" x14ac:dyDescent="0.3">
      <c r="A38" s="214"/>
      <c r="B38" s="214"/>
      <c r="C38" s="214"/>
      <c r="D38" s="214"/>
      <c r="E38" s="214"/>
      <c r="F38" s="214"/>
      <c r="G38" s="214"/>
      <c r="H38" s="214"/>
      <c r="I38" s="214"/>
      <c r="J38" s="214"/>
      <c r="K38" s="214"/>
      <c r="L38" s="214"/>
      <c r="M38" s="214"/>
      <c r="N38" s="214"/>
      <c r="O38" s="214"/>
      <c r="P38" s="214"/>
      <c r="Q38" s="214"/>
      <c r="R38" s="214"/>
      <c r="S38" s="214"/>
    </row>
    <row r="39" spans="1:20" hidden="1" x14ac:dyDescent="0.3">
      <c r="A39" s="214"/>
      <c r="B39" s="214"/>
      <c r="C39" s="214"/>
      <c r="D39" s="214"/>
      <c r="E39" s="214"/>
      <c r="F39" s="214"/>
      <c r="G39" s="214"/>
      <c r="H39" s="214"/>
      <c r="I39" s="214"/>
      <c r="J39" s="214"/>
      <c r="K39" s="214"/>
      <c r="L39" s="214"/>
      <c r="M39" s="214"/>
      <c r="N39" s="214"/>
      <c r="O39" s="214"/>
      <c r="P39" s="214"/>
      <c r="Q39" s="214"/>
      <c r="R39" s="214"/>
      <c r="S39" s="214"/>
    </row>
    <row r="40" spans="1:20" hidden="1" x14ac:dyDescent="0.3">
      <c r="A40" s="214"/>
      <c r="B40" s="214"/>
      <c r="C40" s="214"/>
      <c r="D40" s="214"/>
      <c r="E40" s="214"/>
      <c r="F40" s="214"/>
      <c r="G40" s="214"/>
      <c r="H40" s="214"/>
      <c r="I40" s="214"/>
      <c r="J40" s="214"/>
      <c r="K40" s="214"/>
      <c r="L40" s="214"/>
      <c r="M40" s="214"/>
      <c r="N40" s="214"/>
      <c r="O40" s="214"/>
      <c r="P40" s="214"/>
      <c r="Q40" s="214"/>
      <c r="R40" s="214"/>
      <c r="S40" s="214"/>
    </row>
    <row r="41" spans="1:20" hidden="1" x14ac:dyDescent="0.3">
      <c r="A41" s="214"/>
      <c r="B41" s="214"/>
      <c r="C41" s="214"/>
      <c r="D41" s="214"/>
      <c r="E41" s="214"/>
      <c r="F41" s="214"/>
      <c r="G41" s="214"/>
      <c r="H41" s="214"/>
      <c r="I41" s="214"/>
      <c r="J41" s="214"/>
      <c r="K41" s="214"/>
      <c r="L41" s="214"/>
      <c r="M41" s="214"/>
      <c r="N41" s="214"/>
      <c r="O41" s="214"/>
      <c r="P41" s="214"/>
      <c r="Q41" s="214"/>
      <c r="R41" s="214"/>
      <c r="S41" s="214"/>
    </row>
    <row r="42" spans="1:20" hidden="1" x14ac:dyDescent="0.3">
      <c r="A42" s="214"/>
      <c r="B42" s="214"/>
      <c r="C42" s="214"/>
      <c r="D42" s="214"/>
      <c r="E42" s="214"/>
      <c r="F42" s="214"/>
      <c r="G42" s="214"/>
      <c r="H42" s="214"/>
      <c r="I42" s="214"/>
      <c r="J42" s="214"/>
      <c r="K42" s="214"/>
      <c r="L42" s="214"/>
      <c r="M42" s="214"/>
      <c r="N42" s="214"/>
      <c r="O42" s="214"/>
      <c r="P42" s="214"/>
      <c r="Q42" s="214"/>
      <c r="R42" s="214"/>
      <c r="S42" s="214"/>
    </row>
    <row r="43" spans="1:20" hidden="1" x14ac:dyDescent="0.3">
      <c r="A43" s="214"/>
      <c r="B43" s="214"/>
      <c r="C43" s="214"/>
      <c r="D43" s="214"/>
      <c r="E43" s="214"/>
      <c r="F43" s="214"/>
      <c r="G43" s="214"/>
      <c r="H43" s="214"/>
      <c r="I43" s="214"/>
      <c r="J43" s="214"/>
      <c r="K43" s="214"/>
      <c r="L43" s="214"/>
      <c r="M43" s="214"/>
      <c r="N43" s="214"/>
      <c r="O43" s="214"/>
      <c r="P43" s="214"/>
      <c r="Q43" s="214"/>
      <c r="R43" s="214"/>
      <c r="S43" s="214"/>
    </row>
    <row r="44" spans="1:20" hidden="1" x14ac:dyDescent="0.3">
      <c r="A44" s="214"/>
      <c r="B44" s="214"/>
      <c r="C44" s="214"/>
      <c r="D44" s="214"/>
      <c r="E44" s="214"/>
      <c r="F44" s="214"/>
      <c r="G44" s="214"/>
      <c r="H44" s="214"/>
      <c r="I44" s="214"/>
      <c r="J44" s="214"/>
      <c r="K44" s="214"/>
      <c r="L44" s="214"/>
      <c r="M44" s="214"/>
      <c r="N44" s="214"/>
      <c r="O44" s="214"/>
      <c r="P44" s="214"/>
      <c r="Q44" s="214"/>
      <c r="R44" s="214"/>
      <c r="S44" s="214"/>
    </row>
    <row r="45" spans="1:20" hidden="1" x14ac:dyDescent="0.3">
      <c r="A45" s="214"/>
      <c r="B45" s="214"/>
      <c r="C45" s="214"/>
      <c r="D45" s="214"/>
      <c r="E45" s="214"/>
      <c r="F45" s="214"/>
      <c r="G45" s="214"/>
      <c r="H45" s="214"/>
      <c r="I45" s="214"/>
      <c r="J45" s="214"/>
      <c r="K45" s="214"/>
      <c r="L45" s="214"/>
      <c r="M45" s="214"/>
      <c r="N45" s="214"/>
      <c r="O45" s="214"/>
      <c r="P45" s="214"/>
      <c r="Q45" s="214"/>
      <c r="R45" s="214"/>
      <c r="S45" s="214"/>
    </row>
    <row r="46" spans="1:20" hidden="1" x14ac:dyDescent="0.3">
      <c r="A46" s="214"/>
      <c r="B46" s="214"/>
      <c r="C46" s="214"/>
      <c r="D46" s="214"/>
      <c r="E46" s="214"/>
      <c r="F46" s="214"/>
      <c r="G46" s="214"/>
      <c r="H46" s="214"/>
      <c r="I46" s="214"/>
      <c r="J46" s="214"/>
      <c r="K46" s="214"/>
      <c r="L46" s="214"/>
      <c r="M46" s="214"/>
      <c r="N46" s="214"/>
      <c r="O46" s="214"/>
      <c r="P46" s="214"/>
      <c r="Q46" s="214"/>
      <c r="R46" s="214"/>
      <c r="S46" s="214"/>
    </row>
    <row r="47" spans="1:20" hidden="1" x14ac:dyDescent="0.3">
      <c r="A47" s="214"/>
      <c r="B47" s="214"/>
      <c r="C47" s="214"/>
      <c r="D47" s="214"/>
      <c r="E47" s="214"/>
      <c r="F47" s="214"/>
      <c r="G47" s="214"/>
      <c r="H47" s="214"/>
      <c r="I47" s="214"/>
      <c r="J47" s="214"/>
      <c r="K47" s="214"/>
      <c r="L47" s="214"/>
      <c r="M47" s="214"/>
      <c r="N47" s="214"/>
      <c r="O47" s="214"/>
      <c r="P47" s="214"/>
      <c r="Q47" s="214"/>
      <c r="R47" s="214"/>
      <c r="S47" s="214"/>
    </row>
    <row r="48" spans="1:20" hidden="1" x14ac:dyDescent="0.3">
      <c r="A48" s="214"/>
      <c r="B48" s="214"/>
      <c r="C48" s="214"/>
      <c r="D48" s="214"/>
      <c r="E48" s="214"/>
      <c r="F48" s="214"/>
      <c r="G48" s="214"/>
      <c r="H48" s="214"/>
      <c r="I48" s="214"/>
      <c r="J48" s="214"/>
      <c r="K48" s="214"/>
      <c r="L48" s="214"/>
      <c r="M48" s="214"/>
      <c r="N48" s="214"/>
      <c r="O48" s="214"/>
      <c r="P48" s="214"/>
      <c r="Q48" s="214"/>
      <c r="R48" s="214"/>
      <c r="S48" s="214"/>
    </row>
    <row r="49" spans="1:19" hidden="1" x14ac:dyDescent="0.3">
      <c r="A49" s="214"/>
      <c r="B49" s="214"/>
      <c r="C49" s="214"/>
      <c r="D49" s="214"/>
      <c r="E49" s="214"/>
      <c r="F49" s="214"/>
      <c r="G49" s="214"/>
      <c r="H49" s="214"/>
      <c r="I49" s="214"/>
      <c r="J49" s="214"/>
      <c r="K49" s="214"/>
      <c r="L49" s="214"/>
      <c r="M49" s="214"/>
      <c r="N49" s="214"/>
      <c r="O49" s="214"/>
      <c r="P49" s="214"/>
      <c r="Q49" s="214"/>
      <c r="R49" s="214"/>
      <c r="S49" s="214"/>
    </row>
    <row r="50" spans="1:19" hidden="1" x14ac:dyDescent="0.3">
      <c r="A50" s="214"/>
      <c r="B50" s="214"/>
      <c r="C50" s="214"/>
      <c r="D50" s="214"/>
      <c r="E50" s="214"/>
      <c r="F50" s="214"/>
      <c r="G50" s="214"/>
      <c r="H50" s="214"/>
      <c r="I50" s="214"/>
      <c r="J50" s="214"/>
      <c r="K50" s="214"/>
      <c r="L50" s="214"/>
      <c r="M50" s="214"/>
      <c r="N50" s="214"/>
      <c r="O50" s="214"/>
      <c r="P50" s="214"/>
      <c r="Q50" s="214"/>
      <c r="R50" s="214"/>
      <c r="S50" s="214"/>
    </row>
    <row r="51" spans="1:19" hidden="1" x14ac:dyDescent="0.3">
      <c r="A51" s="214"/>
      <c r="B51" s="214"/>
      <c r="C51" s="214"/>
      <c r="D51" s="214"/>
      <c r="E51" s="214"/>
      <c r="F51" s="214"/>
      <c r="G51" s="214"/>
      <c r="H51" s="214"/>
      <c r="I51" s="214"/>
      <c r="J51" s="214"/>
      <c r="K51" s="214"/>
      <c r="L51" s="214"/>
      <c r="M51" s="214"/>
      <c r="N51" s="214"/>
      <c r="O51" s="214"/>
      <c r="P51" s="214"/>
      <c r="Q51" s="214"/>
      <c r="R51" s="214"/>
      <c r="S51" s="214"/>
    </row>
    <row r="52" spans="1:19" x14ac:dyDescent="0.3">
      <c r="A52" s="214"/>
      <c r="B52" s="214"/>
      <c r="C52" s="214"/>
      <c r="D52" s="214"/>
      <c r="E52" s="214"/>
      <c r="F52" s="214"/>
      <c r="G52" s="214"/>
      <c r="H52" s="214"/>
      <c r="I52" s="214"/>
      <c r="J52" s="214"/>
      <c r="K52" s="214"/>
      <c r="L52" s="214"/>
      <c r="M52" s="214"/>
      <c r="N52" s="214"/>
      <c r="O52" s="214"/>
      <c r="P52" s="214"/>
      <c r="Q52" s="214"/>
      <c r="R52" s="214"/>
      <c r="S52" s="214"/>
    </row>
    <row r="53" spans="1:19" x14ac:dyDescent="0.3">
      <c r="A53" s="214"/>
      <c r="B53" s="214"/>
      <c r="C53" s="214"/>
      <c r="D53" s="214"/>
      <c r="E53" s="214"/>
      <c r="F53" s="214"/>
      <c r="G53" s="214"/>
      <c r="H53" s="214"/>
      <c r="I53" s="214"/>
      <c r="J53" s="214"/>
      <c r="K53" s="214"/>
      <c r="L53" s="214"/>
      <c r="M53" s="214"/>
      <c r="N53" s="214"/>
      <c r="O53" s="214"/>
      <c r="P53" s="214"/>
      <c r="Q53" s="214"/>
      <c r="R53" s="214"/>
      <c r="S53" s="214"/>
    </row>
    <row r="54" spans="1:19" x14ac:dyDescent="0.3">
      <c r="A54" s="214"/>
      <c r="B54" s="214"/>
      <c r="C54" s="214"/>
      <c r="D54" s="214"/>
      <c r="E54" s="214"/>
      <c r="F54" s="214"/>
      <c r="G54" s="214"/>
      <c r="H54" s="214"/>
      <c r="I54" s="214"/>
      <c r="J54" s="214"/>
      <c r="K54" s="214"/>
      <c r="L54" s="214"/>
      <c r="M54" s="214"/>
      <c r="N54" s="214"/>
      <c r="O54" s="214"/>
      <c r="P54" s="214"/>
      <c r="Q54" s="214"/>
      <c r="R54" s="214"/>
      <c r="S54" s="214"/>
    </row>
    <row r="55" spans="1:19" x14ac:dyDescent="0.3">
      <c r="A55" s="214"/>
      <c r="B55" s="214"/>
      <c r="C55" s="214"/>
      <c r="D55" s="214"/>
      <c r="E55" s="214"/>
      <c r="F55" s="214"/>
      <c r="G55" s="214"/>
      <c r="H55" s="214"/>
      <c r="I55" s="214"/>
      <c r="J55" s="214"/>
      <c r="K55" s="214"/>
      <c r="L55" s="214"/>
      <c r="M55" s="214"/>
      <c r="N55" s="214"/>
      <c r="O55" s="214"/>
      <c r="P55" s="214"/>
      <c r="Q55" s="214"/>
      <c r="R55" s="214"/>
      <c r="S55" s="214"/>
    </row>
    <row r="56" spans="1:19" x14ac:dyDescent="0.3">
      <c r="A56" s="214"/>
      <c r="B56" s="214"/>
      <c r="C56" s="214"/>
      <c r="D56" s="214"/>
      <c r="E56" s="214"/>
      <c r="F56" s="214"/>
      <c r="G56" s="214"/>
      <c r="H56" s="214"/>
      <c r="I56" s="214"/>
      <c r="J56" s="214"/>
      <c r="K56" s="214"/>
      <c r="L56" s="214"/>
      <c r="M56" s="214"/>
      <c r="N56" s="214"/>
      <c r="O56" s="214"/>
      <c r="P56" s="214"/>
      <c r="Q56" s="214"/>
      <c r="R56" s="214"/>
      <c r="S56" s="214"/>
    </row>
    <row r="57" spans="1:19" x14ac:dyDescent="0.3">
      <c r="A57" s="214"/>
      <c r="B57" s="214"/>
      <c r="C57" s="214"/>
      <c r="D57" s="214"/>
      <c r="E57" s="214"/>
      <c r="F57" s="214"/>
      <c r="G57" s="214"/>
      <c r="H57" s="214"/>
      <c r="I57" s="214"/>
      <c r="J57" s="214"/>
      <c r="K57" s="214"/>
      <c r="L57" s="214"/>
      <c r="M57" s="214"/>
      <c r="N57" s="214"/>
      <c r="O57" s="214"/>
      <c r="P57" s="214"/>
      <c r="Q57" s="214"/>
      <c r="R57" s="214"/>
      <c r="S57" s="214"/>
    </row>
    <row r="58" spans="1:19" x14ac:dyDescent="0.3">
      <c r="A58" s="214"/>
      <c r="B58" s="214"/>
      <c r="C58" s="214"/>
      <c r="D58" s="214"/>
      <c r="E58" s="214"/>
      <c r="F58" s="214"/>
      <c r="G58" s="214"/>
      <c r="H58" s="214"/>
      <c r="I58" s="214"/>
      <c r="J58" s="214"/>
      <c r="K58" s="214"/>
      <c r="L58" s="214"/>
      <c r="M58" s="214"/>
      <c r="N58" s="214"/>
      <c r="O58" s="214"/>
      <c r="P58" s="214"/>
      <c r="Q58" s="214"/>
      <c r="R58" s="214"/>
      <c r="S58" s="214"/>
    </row>
    <row r="59" spans="1:19" x14ac:dyDescent="0.3">
      <c r="A59" s="214"/>
      <c r="B59" s="214"/>
      <c r="C59" s="214"/>
      <c r="D59" s="214"/>
      <c r="E59" s="214"/>
      <c r="F59" s="214"/>
      <c r="G59" s="214"/>
      <c r="H59" s="214"/>
      <c r="I59" s="214"/>
      <c r="J59" s="214"/>
      <c r="K59" s="214"/>
      <c r="L59" s="214"/>
      <c r="M59" s="214"/>
      <c r="N59" s="214"/>
      <c r="O59" s="214"/>
      <c r="P59" s="214"/>
      <c r="Q59" s="214"/>
      <c r="R59" s="214"/>
      <c r="S59" s="214"/>
    </row>
    <row r="60" spans="1:19" x14ac:dyDescent="0.3">
      <c r="A60" s="214"/>
      <c r="B60" s="214"/>
      <c r="C60" s="214"/>
      <c r="D60" s="214"/>
      <c r="E60" s="214"/>
      <c r="F60" s="214"/>
      <c r="G60" s="214"/>
      <c r="H60" s="214"/>
      <c r="I60" s="214"/>
      <c r="J60" s="214"/>
      <c r="K60" s="214"/>
      <c r="L60" s="214"/>
      <c r="M60" s="214"/>
      <c r="N60" s="214"/>
      <c r="O60" s="214"/>
      <c r="P60" s="214"/>
      <c r="Q60" s="214"/>
      <c r="R60" s="214"/>
      <c r="S60" s="214"/>
    </row>
    <row r="61" spans="1:19" x14ac:dyDescent="0.3">
      <c r="A61" s="214"/>
      <c r="B61" s="214"/>
      <c r="C61" s="214"/>
      <c r="D61" s="214"/>
      <c r="E61" s="214"/>
      <c r="F61" s="214"/>
      <c r="G61" s="214"/>
      <c r="H61" s="214"/>
      <c r="I61" s="214"/>
      <c r="J61" s="214"/>
      <c r="K61" s="214"/>
      <c r="L61" s="214"/>
      <c r="M61" s="214"/>
      <c r="N61" s="214"/>
      <c r="O61" s="214"/>
      <c r="P61" s="214"/>
      <c r="Q61" s="214"/>
      <c r="R61" s="214"/>
      <c r="S61" s="214"/>
    </row>
    <row r="62" spans="1:19" x14ac:dyDescent="0.3">
      <c r="A62" s="214"/>
      <c r="B62" s="214"/>
      <c r="C62" s="214"/>
      <c r="D62" s="214"/>
      <c r="E62" s="214"/>
      <c r="F62" s="214"/>
      <c r="G62" s="214"/>
      <c r="H62" s="214"/>
      <c r="I62" s="214"/>
      <c r="J62" s="214"/>
      <c r="K62" s="214"/>
      <c r="L62" s="214"/>
      <c r="M62" s="214"/>
      <c r="N62" s="214"/>
      <c r="O62" s="214"/>
      <c r="P62" s="214"/>
      <c r="Q62" s="214"/>
      <c r="R62" s="214"/>
      <c r="S62" s="214"/>
    </row>
    <row r="63" spans="1:19" x14ac:dyDescent="0.3">
      <c r="A63" s="214"/>
      <c r="B63" s="214"/>
      <c r="C63" s="214"/>
      <c r="D63" s="214"/>
      <c r="E63" s="214"/>
      <c r="F63" s="214"/>
      <c r="G63" s="214"/>
      <c r="H63" s="214"/>
      <c r="I63" s="214"/>
      <c r="J63" s="214"/>
      <c r="K63" s="214"/>
      <c r="L63" s="214"/>
      <c r="M63" s="214"/>
      <c r="N63" s="214"/>
      <c r="O63" s="214"/>
      <c r="P63" s="214"/>
      <c r="Q63" s="214"/>
      <c r="R63" s="214"/>
      <c r="S63" s="214"/>
    </row>
    <row r="64" spans="1:19" x14ac:dyDescent="0.3">
      <c r="A64" s="214"/>
      <c r="B64" s="214"/>
      <c r="C64" s="214"/>
      <c r="D64" s="214"/>
      <c r="E64" s="214"/>
      <c r="F64" s="214"/>
      <c r="G64" s="214"/>
      <c r="H64" s="214"/>
      <c r="I64" s="214"/>
      <c r="J64" s="214"/>
      <c r="K64" s="214"/>
      <c r="L64" s="214"/>
      <c r="M64" s="214"/>
      <c r="N64" s="214"/>
      <c r="O64" s="214"/>
      <c r="P64" s="214"/>
      <c r="Q64" s="214"/>
      <c r="R64" s="214"/>
      <c r="S64" s="214"/>
    </row>
    <row r="65" spans="1:19" x14ac:dyDescent="0.3">
      <c r="A65" s="214"/>
      <c r="B65" s="214"/>
      <c r="C65" s="214"/>
      <c r="D65" s="214"/>
      <c r="E65" s="214"/>
      <c r="F65" s="214"/>
      <c r="G65" s="214"/>
      <c r="H65" s="214"/>
      <c r="I65" s="214"/>
      <c r="J65" s="214"/>
      <c r="K65" s="214"/>
      <c r="L65" s="214"/>
      <c r="M65" s="214"/>
      <c r="N65" s="214"/>
      <c r="O65" s="214"/>
      <c r="P65" s="214"/>
      <c r="Q65" s="214"/>
      <c r="R65" s="214"/>
      <c r="S65" s="214"/>
    </row>
  </sheetData>
  <sheetProtection algorithmName="SHA-512" hashValue="yWZwwj7lMRyn4w7NOnujep0sY3zKJrfdzW2WumaYspJnL+t6gEUdFwbnLOXAQxdQxd5WxjfKGhnjx6Ocdt1hLQ==" saltValue="i9l34VAzcF0Z+4vr6RCoPg==" spinCount="100000" sheet="1" objects="1" scenarios="1" selectLockedCells="1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B4EA08-2AA8-48D9-B19B-074B43BCB359}">
  <sheetPr codeName="Sheet7"/>
  <dimension ref="A1"/>
  <sheetViews>
    <sheetView workbookViewId="0">
      <selection activeCell="J22" sqref="J22"/>
    </sheetView>
  </sheetViews>
  <sheetFormatPr defaultRowHeight="14.4" x14ac:dyDescent="0.3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8AEBCC-D6DE-4740-86B1-3253FB3566F9}">
  <sheetPr codeName="Sheet4">
    <tabColor theme="8" tint="0.59999389629810485"/>
  </sheetPr>
  <dimension ref="A1:AH179"/>
  <sheetViews>
    <sheetView zoomScale="70" zoomScaleNormal="70" workbookViewId="0">
      <selection activeCell="I3" sqref="I3"/>
    </sheetView>
  </sheetViews>
  <sheetFormatPr defaultColWidth="8.5546875" defaultRowHeight="14.4" outlineLevelRow="1" x14ac:dyDescent="0.3"/>
  <cols>
    <col min="1" max="1" width="1.5546875" customWidth="1"/>
    <col min="2" max="2" width="34.5546875" customWidth="1"/>
    <col min="3" max="3" width="16.33203125" customWidth="1"/>
    <col min="4" max="4" width="22.33203125" customWidth="1"/>
    <col min="5" max="5" width="16.5546875" bestFit="1" customWidth="1"/>
    <col min="6" max="6" width="13.77734375" customWidth="1"/>
    <col min="7" max="7" width="13" bestFit="1" customWidth="1"/>
    <col min="8" max="8" width="13.109375" bestFit="1" customWidth="1"/>
    <col min="9" max="9" width="16.88671875" customWidth="1"/>
    <col min="10" max="10" width="19.77734375" customWidth="1"/>
    <col min="11" max="11" width="21.109375" customWidth="1"/>
    <col min="12" max="12" width="13" bestFit="1" customWidth="1"/>
    <col min="13" max="13" width="17.77734375" customWidth="1"/>
    <col min="14" max="14" width="15.5546875" bestFit="1" customWidth="1"/>
    <col min="15" max="15" width="13.33203125" customWidth="1"/>
    <col min="16" max="16" width="13" bestFit="1" customWidth="1"/>
    <col min="17" max="17" width="13" customWidth="1"/>
    <col min="18" max="18" width="15.44140625" bestFit="1" customWidth="1"/>
    <col min="19" max="19" width="14.109375" customWidth="1"/>
    <col min="20" max="20" width="13" bestFit="1" customWidth="1"/>
    <col min="21" max="21" width="13.44140625" customWidth="1"/>
    <col min="22" max="23" width="12.5546875" bestFit="1" customWidth="1"/>
    <col min="24" max="24" width="16.21875" customWidth="1"/>
    <col min="25" max="25" width="13.5546875" customWidth="1"/>
    <col min="26" max="26" width="12.5546875" bestFit="1" customWidth="1"/>
    <col min="27" max="45" width="12.5546875" customWidth="1"/>
  </cols>
  <sheetData>
    <row r="1" spans="2:16" x14ac:dyDescent="0.3">
      <c r="I1" t="s">
        <v>173</v>
      </c>
    </row>
    <row r="2" spans="2:16" ht="23.4" x14ac:dyDescent="0.45">
      <c r="B2" s="228" t="s">
        <v>139</v>
      </c>
      <c r="C2" s="228"/>
      <c r="D2" s="227" t="str">
        <f>Summary!D6</f>
        <v>Test</v>
      </c>
      <c r="E2" s="227"/>
      <c r="H2" t="s">
        <v>0</v>
      </c>
      <c r="I2" s="85">
        <f>Summary!D14</f>
        <v>36000</v>
      </c>
      <c r="J2" s="31"/>
      <c r="K2" s="111"/>
    </row>
    <row r="3" spans="2:16" x14ac:dyDescent="0.3">
      <c r="H3" t="s">
        <v>1</v>
      </c>
      <c r="I3" s="1">
        <f>H11</f>
        <v>0</v>
      </c>
      <c r="J3" s="31"/>
    </row>
    <row r="4" spans="2:16" x14ac:dyDescent="0.3">
      <c r="B4" s="2" t="s">
        <v>2</v>
      </c>
      <c r="C4" s="2"/>
      <c r="D4" s="2"/>
      <c r="E4" s="2"/>
      <c r="F4" s="2"/>
      <c r="G4" s="2"/>
      <c r="H4" s="2" t="s">
        <v>3</v>
      </c>
      <c r="I4" s="1">
        <f>SUM(I2:I3)</f>
        <v>36000</v>
      </c>
      <c r="J4" s="31"/>
      <c r="K4" s="2" t="s">
        <v>4</v>
      </c>
      <c r="L4" s="2"/>
      <c r="M4" s="2"/>
      <c r="N4" s="2"/>
    </row>
    <row r="5" spans="2:16" x14ac:dyDescent="0.3">
      <c r="B5" s="3" t="s">
        <v>5</v>
      </c>
      <c r="E5" s="4" t="s">
        <v>6</v>
      </c>
      <c r="K5" s="3" t="s">
        <v>7</v>
      </c>
      <c r="N5" s="5">
        <f>SUM(C127)</f>
        <v>38160</v>
      </c>
      <c r="O5" s="1"/>
      <c r="P5" s="6"/>
    </row>
    <row r="6" spans="2:16" x14ac:dyDescent="0.3">
      <c r="B6" t="s">
        <v>8</v>
      </c>
      <c r="C6" s="7">
        <f>IF(Summary!D8&gt;0,Summary!D8,1)</f>
        <v>1</v>
      </c>
      <c r="D6" s="105">
        <f>Summary!H8</f>
        <v>0</v>
      </c>
      <c r="E6" t="s">
        <v>9</v>
      </c>
      <c r="H6" s="8">
        <v>0</v>
      </c>
      <c r="I6" s="9">
        <f>Summary!D11</f>
        <v>750</v>
      </c>
      <c r="J6" s="10" t="s">
        <v>10</v>
      </c>
      <c r="K6" s="11" t="s">
        <v>11</v>
      </c>
      <c r="L6" s="12"/>
      <c r="M6" s="12"/>
      <c r="N6" s="13">
        <f>IRR(C155:AG155)</f>
        <v>4.6750241105562029E-2</v>
      </c>
    </row>
    <row r="7" spans="2:16" x14ac:dyDescent="0.3">
      <c r="B7" t="s">
        <v>12</v>
      </c>
      <c r="C7" s="86">
        <f>Summary!D9+Summary!H9+Summary!W6+Summary!AB6+Summary!AG6+Summary!AL6+Summary!AQ6+Summary!AV6+Summary!BA6+Summary!BF6+Summary!BK6+Summary!M8+Summary!W13+Summary!AB13+Summary!AG13+Summary!AL13+Summary!AQ13+Summary!AV13+Summary!BA13+Summary!BF13+Summary!BK13</f>
        <v>48</v>
      </c>
      <c r="E7" s="14" t="s">
        <v>13</v>
      </c>
      <c r="F7" s="15"/>
      <c r="G7" s="15"/>
      <c r="H7" s="16">
        <f>Summary!R26+Summary!AB26</f>
        <v>2160</v>
      </c>
      <c r="I7" s="106">
        <f>Summary!H11</f>
        <v>0</v>
      </c>
      <c r="J7" t="s">
        <v>159</v>
      </c>
      <c r="K7" s="3" t="s">
        <v>14</v>
      </c>
      <c r="N7" s="17">
        <f>IRR(C156:AG156)</f>
        <v>3.8744381763629043E-2</v>
      </c>
    </row>
    <row r="8" spans="2:16" x14ac:dyDescent="0.3">
      <c r="C8" s="87"/>
      <c r="D8" s="87">
        <v>0.90500000000000003</v>
      </c>
      <c r="E8" t="s">
        <v>15</v>
      </c>
      <c r="H8" s="18">
        <f>I6</f>
        <v>750</v>
      </c>
      <c r="K8" s="3" t="s">
        <v>16</v>
      </c>
      <c r="L8" s="3"/>
      <c r="M8" s="3"/>
      <c r="N8" s="13">
        <f>D67/N5</f>
        <v>-4.1485194731370939E-2</v>
      </c>
    </row>
    <row r="9" spans="2:16" x14ac:dyDescent="0.3">
      <c r="B9" t="s">
        <v>17</v>
      </c>
      <c r="C9" s="153">
        <f>Summary!D10+Summary!H10+Summary!M9+Summary!W7+Summary!W14+Summary!AB7+Summary!AB14+Summary!AG7+Summary!AG14+Summary!AL7+Summary!AL14+Summary!AQ7+Summary!AQ14+Summary!AV7+Summary!AV14+Summary!BA7+Summary!BA14+Summary!BF7+Summary!BF14+Summary!BK7+Summary!BK14</f>
        <v>48000</v>
      </c>
      <c r="D9">
        <f>Summary!H10</f>
        <v>0</v>
      </c>
      <c r="K9" s="3" t="s">
        <v>18</v>
      </c>
      <c r="N9" s="13">
        <f>D52/C127</f>
        <v>0.15706616795206721</v>
      </c>
      <c r="O9" s="19"/>
    </row>
    <row r="10" spans="2:16" x14ac:dyDescent="0.3">
      <c r="B10" t="s">
        <v>19</v>
      </c>
      <c r="C10" s="7">
        <v>5.0000000000000001E-3</v>
      </c>
      <c r="D10" s="7">
        <v>4.0000000000000002E-4</v>
      </c>
      <c r="E10" s="3" t="s">
        <v>20</v>
      </c>
      <c r="K10" s="3" t="s">
        <v>21</v>
      </c>
      <c r="L10" s="3" t="s">
        <v>157</v>
      </c>
      <c r="N10" s="103">
        <f>COUNTIF(C158:AB158,"&lt;0")</f>
        <v>18</v>
      </c>
    </row>
    <row r="11" spans="2:16" x14ac:dyDescent="0.3">
      <c r="B11" t="s">
        <v>22</v>
      </c>
      <c r="C11" s="20">
        <v>0</v>
      </c>
      <c r="D11" s="20">
        <v>0</v>
      </c>
      <c r="E11" t="s">
        <v>23</v>
      </c>
      <c r="H11" s="21">
        <f>Summary!D13</f>
        <v>0</v>
      </c>
      <c r="I11" s="89" t="s">
        <v>174</v>
      </c>
      <c r="J11" s="89" t="s">
        <v>175</v>
      </c>
      <c r="K11" s="89"/>
      <c r="L11" s="3" t="s">
        <v>158</v>
      </c>
      <c r="N11" s="3">
        <f>COUNTIF(C159:AB159,"&lt;0")</f>
        <v>19</v>
      </c>
    </row>
    <row r="12" spans="2:16" x14ac:dyDescent="0.3">
      <c r="B12" t="s">
        <v>24</v>
      </c>
      <c r="C12" s="20">
        <v>7</v>
      </c>
      <c r="D12" s="20">
        <v>10</v>
      </c>
      <c r="E12" t="s">
        <v>25</v>
      </c>
      <c r="H12" s="8">
        <v>12</v>
      </c>
      <c r="I12" s="89">
        <v>3250</v>
      </c>
      <c r="J12" s="89">
        <v>100</v>
      </c>
      <c r="K12" s="89"/>
      <c r="L12" s="12"/>
      <c r="M12" s="22" t="s">
        <v>26</v>
      </c>
      <c r="N12" s="23">
        <v>0.11</v>
      </c>
      <c r="O12" s="12"/>
    </row>
    <row r="13" spans="2:16" x14ac:dyDescent="0.3">
      <c r="B13" s="154" t="s">
        <v>27</v>
      </c>
      <c r="C13" s="158">
        <v>0</v>
      </c>
      <c r="D13" s="20">
        <v>15.5</v>
      </c>
      <c r="E13" t="s">
        <v>28</v>
      </c>
      <c r="H13" s="24">
        <v>0</v>
      </c>
      <c r="I13" s="89">
        <f>(Summary!D9+Summary!H9+Summary!W6+Summary!AB6+Summary!AG6+Summary!AL6+Summary!AQ6+Summary!AV6+Summary!BA6+Summary!BF6+Summary!BK6)/J12</f>
        <v>0.48</v>
      </c>
      <c r="J13" s="89">
        <f>ROUND(I13,0)*I12</f>
        <v>0</v>
      </c>
      <c r="K13" s="89" t="s">
        <v>176</v>
      </c>
    </row>
    <row r="14" spans="2:16" x14ac:dyDescent="0.3">
      <c r="B14" t="s">
        <v>29</v>
      </c>
      <c r="C14" s="7">
        <v>0</v>
      </c>
      <c r="D14" s="7">
        <v>0</v>
      </c>
      <c r="E14" t="s">
        <v>30</v>
      </c>
      <c r="H14" s="8">
        <v>0</v>
      </c>
      <c r="I14" s="89">
        <f>Summary!H9/J12</f>
        <v>0</v>
      </c>
      <c r="J14" s="89">
        <f>ROUND(I14,0)*I12</f>
        <v>0</v>
      </c>
      <c r="K14" s="89" t="s">
        <v>176</v>
      </c>
    </row>
    <row r="15" spans="2:16" x14ac:dyDescent="0.3">
      <c r="B15" t="s">
        <v>31</v>
      </c>
      <c r="C15" s="20">
        <f>Summary!D18</f>
        <v>12.486760352189341</v>
      </c>
      <c r="E15" t="s">
        <v>32</v>
      </c>
      <c r="H15" s="27">
        <f>IFERROR(H11/H12,0)</f>
        <v>0</v>
      </c>
    </row>
    <row r="16" spans="2:16" x14ac:dyDescent="0.3">
      <c r="B16" t="s">
        <v>33</v>
      </c>
      <c r="C16" s="7">
        <v>2.5000000000000001E-2</v>
      </c>
      <c r="D16" s="7">
        <v>2.5000000000000001E-2</v>
      </c>
      <c r="E16" t="s">
        <v>34</v>
      </c>
      <c r="H16" s="27">
        <f>IFERROR(H13/H14,0)</f>
        <v>0</v>
      </c>
    </row>
    <row r="17" spans="1:21" x14ac:dyDescent="0.3">
      <c r="A17" s="226"/>
      <c r="B17" t="s">
        <v>35</v>
      </c>
      <c r="C17" s="7">
        <v>2.5000000000000001E-2</v>
      </c>
      <c r="D17" s="7">
        <v>2.5000000000000001E-2</v>
      </c>
      <c r="J17" s="31">
        <f>$D$7*$H$22*(1+$C$16)^(D42-1)*(D42&lt;=$C$19)</f>
        <v>0</v>
      </c>
    </row>
    <row r="18" spans="1:21" x14ac:dyDescent="0.3">
      <c r="A18" s="226"/>
      <c r="B18" t="s">
        <v>36</v>
      </c>
      <c r="C18" s="7">
        <v>2.5000000000000001E-2</v>
      </c>
      <c r="D18" s="7">
        <v>2.5000000000000001E-2</v>
      </c>
    </row>
    <row r="19" spans="1:21" x14ac:dyDescent="0.3">
      <c r="A19" s="226"/>
      <c r="B19" t="s">
        <v>37</v>
      </c>
      <c r="C19" s="29">
        <f>'Auto Calculate'!F11</f>
        <v>25</v>
      </c>
      <c r="D19" s="29">
        <f>'Auto Calculate'!F11</f>
        <v>25</v>
      </c>
      <c r="E19" s="4" t="s">
        <v>38</v>
      </c>
      <c r="H19" t="s">
        <v>165</v>
      </c>
      <c r="I19" t="s">
        <v>166</v>
      </c>
    </row>
    <row r="20" spans="1:21" x14ac:dyDescent="0.3">
      <c r="B20" t="s">
        <v>39</v>
      </c>
      <c r="C20" s="29">
        <v>1</v>
      </c>
      <c r="E20" t="s">
        <v>40</v>
      </c>
      <c r="H20" s="30">
        <v>400</v>
      </c>
      <c r="I20" s="109">
        <v>100</v>
      </c>
    </row>
    <row r="21" spans="1:21" x14ac:dyDescent="0.3">
      <c r="E21" t="s">
        <v>41</v>
      </c>
      <c r="H21" s="159">
        <v>0</v>
      </c>
    </row>
    <row r="22" spans="1:21" x14ac:dyDescent="0.3">
      <c r="A22" s="33"/>
      <c r="E22" t="s">
        <v>43</v>
      </c>
      <c r="H22" s="30">
        <f>Summary!Q24</f>
        <v>10</v>
      </c>
    </row>
    <row r="23" spans="1:21" x14ac:dyDescent="0.3">
      <c r="E23" t="s">
        <v>44</v>
      </c>
      <c r="H23" s="30">
        <f>3.75*(1+$I$35)</f>
        <v>3.75</v>
      </c>
      <c r="J23" s="34"/>
    </row>
    <row r="24" spans="1:21" ht="15.6" x14ac:dyDescent="0.3">
      <c r="E24" t="s">
        <v>45</v>
      </c>
      <c r="H24" s="159">
        <f>1.215*(1+$I$35)</f>
        <v>1.2150000000000001</v>
      </c>
      <c r="K24" s="12"/>
      <c r="L24" s="12"/>
      <c r="M24" s="12"/>
      <c r="N24" s="12"/>
      <c r="O24" s="12"/>
      <c r="P24" s="12"/>
      <c r="Q24" s="25"/>
      <c r="R24" s="12"/>
      <c r="S24" s="12"/>
      <c r="T24" s="12"/>
      <c r="U24" s="12"/>
    </row>
    <row r="25" spans="1:21" x14ac:dyDescent="0.3">
      <c r="E25" t="s">
        <v>46</v>
      </c>
      <c r="H25" s="24">
        <v>0</v>
      </c>
      <c r="K25" s="12"/>
      <c r="L25" s="26"/>
      <c r="M25" s="11"/>
      <c r="N25" s="11"/>
      <c r="O25" s="11"/>
      <c r="P25" s="11"/>
      <c r="Q25" s="11"/>
      <c r="R25" s="11"/>
      <c r="S25" s="11"/>
      <c r="T25" s="11"/>
      <c r="U25" s="11"/>
    </row>
    <row r="26" spans="1:21" x14ac:dyDescent="0.3">
      <c r="E26" t="s">
        <v>47</v>
      </c>
      <c r="H26" s="24">
        <v>0</v>
      </c>
      <c r="K26" s="12"/>
      <c r="L26" s="163"/>
      <c r="M26" s="164"/>
      <c r="N26" s="164"/>
      <c r="O26" s="164"/>
      <c r="P26" s="164"/>
      <c r="Q26" s="164"/>
      <c r="R26" s="164"/>
      <c r="S26" s="164"/>
      <c r="T26" s="164"/>
      <c r="U26" s="164"/>
    </row>
    <row r="27" spans="1:21" x14ac:dyDescent="0.3">
      <c r="H27" t="s">
        <v>48</v>
      </c>
      <c r="I27" t="s">
        <v>49</v>
      </c>
      <c r="K27" s="28"/>
      <c r="L27" s="163"/>
      <c r="M27" s="164"/>
      <c r="N27" s="164"/>
      <c r="O27" s="164"/>
      <c r="P27" s="164"/>
      <c r="Q27" s="164"/>
      <c r="R27" s="164"/>
      <c r="S27" s="164"/>
      <c r="T27" s="164"/>
      <c r="U27" s="164"/>
    </row>
    <row r="28" spans="1:21" x14ac:dyDescent="0.3">
      <c r="E28" s="15" t="s">
        <v>50</v>
      </c>
      <c r="F28" s="15"/>
      <c r="G28" s="15"/>
      <c r="H28" s="35">
        <v>25</v>
      </c>
      <c r="I28" s="35">
        <f>1/8%</f>
        <v>12.5</v>
      </c>
      <c r="K28" s="28"/>
      <c r="L28" s="163"/>
      <c r="M28" s="164"/>
      <c r="N28" s="164"/>
      <c r="O28" s="164"/>
      <c r="P28" s="164"/>
      <c r="Q28" s="164"/>
      <c r="R28" s="164"/>
      <c r="S28" s="164"/>
      <c r="T28" s="164"/>
      <c r="U28" s="164"/>
    </row>
    <row r="29" spans="1:21" ht="15.6" x14ac:dyDescent="0.3">
      <c r="E29" s="15" t="s">
        <v>51</v>
      </c>
      <c r="F29" s="15"/>
      <c r="G29" s="15"/>
      <c r="H29" s="36">
        <v>1</v>
      </c>
      <c r="I29" s="36">
        <v>1</v>
      </c>
      <c r="K29" s="32"/>
      <c r="L29" s="163"/>
      <c r="M29" s="164"/>
      <c r="N29" s="164"/>
      <c r="O29" s="164"/>
      <c r="P29" s="164"/>
      <c r="Q29" s="164"/>
      <c r="R29" s="164"/>
      <c r="S29" s="164"/>
      <c r="T29" s="164"/>
      <c r="U29" s="164"/>
    </row>
    <row r="30" spans="1:21" x14ac:dyDescent="0.3">
      <c r="C30" s="160"/>
      <c r="E30" s="15" t="s">
        <v>52</v>
      </c>
      <c r="F30" s="15"/>
      <c r="G30" s="15"/>
      <c r="H30" s="35">
        <v>15</v>
      </c>
      <c r="I30" s="35">
        <v>15</v>
      </c>
      <c r="K30" s="12"/>
      <c r="L30" s="163"/>
      <c r="M30" s="164"/>
      <c r="N30" s="164"/>
      <c r="O30" s="164"/>
      <c r="P30" s="164"/>
      <c r="Q30" s="164"/>
      <c r="R30" s="164"/>
      <c r="S30" s="164"/>
      <c r="T30" s="164"/>
      <c r="U30" s="164"/>
    </row>
    <row r="31" spans="1:21" x14ac:dyDescent="0.3">
      <c r="C31" s="160"/>
      <c r="E31" s="15" t="s">
        <v>53</v>
      </c>
      <c r="F31" s="15"/>
      <c r="G31" s="15"/>
      <c r="H31" s="36">
        <v>1</v>
      </c>
      <c r="I31" s="36">
        <v>1</v>
      </c>
      <c r="K31" s="12"/>
      <c r="L31" s="163"/>
      <c r="M31" s="164"/>
      <c r="N31" s="164"/>
      <c r="O31" s="164"/>
      <c r="P31" s="164"/>
      <c r="Q31" s="164"/>
      <c r="R31" s="164"/>
      <c r="S31" s="164"/>
      <c r="T31" s="164"/>
      <c r="U31" s="164"/>
    </row>
    <row r="32" spans="1:21" x14ac:dyDescent="0.3">
      <c r="C32" s="160"/>
      <c r="E32" s="15" t="s">
        <v>54</v>
      </c>
      <c r="H32" s="36">
        <v>0.25</v>
      </c>
      <c r="K32" s="12"/>
      <c r="L32" s="163"/>
      <c r="M32" s="164"/>
      <c r="N32" s="164"/>
      <c r="O32" s="164"/>
      <c r="P32" s="164"/>
      <c r="Q32" s="164"/>
      <c r="R32" s="164"/>
      <c r="S32" s="164"/>
      <c r="T32" s="164"/>
      <c r="U32" s="164"/>
    </row>
    <row r="33" spans="2:33" x14ac:dyDescent="0.3">
      <c r="C33" s="161"/>
      <c r="K33" s="12"/>
      <c r="L33" s="163"/>
      <c r="M33" s="164"/>
      <c r="N33" s="164"/>
      <c r="O33" s="164"/>
      <c r="P33" s="164"/>
      <c r="Q33" s="164"/>
      <c r="R33" s="164"/>
      <c r="S33" s="164"/>
      <c r="T33" s="164"/>
      <c r="U33" s="164"/>
    </row>
    <row r="34" spans="2:33" x14ac:dyDescent="0.3">
      <c r="B34" s="14"/>
      <c r="C34" s="162"/>
      <c r="H34" s="3"/>
      <c r="K34" s="12"/>
      <c r="L34" s="163"/>
      <c r="M34" s="164"/>
      <c r="N34" s="164"/>
      <c r="O34" s="164"/>
      <c r="P34" s="164"/>
      <c r="Q34" s="164"/>
      <c r="R34" s="164"/>
      <c r="S34" s="164"/>
      <c r="T34" s="164"/>
      <c r="U34" s="164"/>
    </row>
    <row r="35" spans="2:33" x14ac:dyDescent="0.3">
      <c r="D35" s="15"/>
      <c r="I35" s="105"/>
      <c r="L35" s="163"/>
      <c r="M35" s="164"/>
      <c r="N35" s="164"/>
      <c r="O35" s="164"/>
      <c r="P35" s="164"/>
      <c r="Q35" s="164"/>
      <c r="R35" s="164"/>
      <c r="S35" s="164"/>
      <c r="T35" s="164"/>
      <c r="U35" s="164"/>
    </row>
    <row r="36" spans="2:33" x14ac:dyDescent="0.3">
      <c r="D36" s="15"/>
      <c r="I36" s="105"/>
      <c r="L36" s="163"/>
      <c r="M36" s="164"/>
      <c r="N36" s="164"/>
      <c r="O36" s="164"/>
      <c r="P36" s="164"/>
      <c r="Q36" s="164"/>
      <c r="R36" s="164"/>
      <c r="S36" s="164"/>
      <c r="T36" s="164"/>
      <c r="U36" s="164"/>
    </row>
    <row r="37" spans="2:33" x14ac:dyDescent="0.3">
      <c r="L37" s="163"/>
      <c r="M37" s="164"/>
      <c r="N37" s="164"/>
      <c r="O37" s="164"/>
      <c r="P37" s="164"/>
      <c r="Q37" s="164"/>
      <c r="R37" s="164"/>
      <c r="S37" s="164"/>
      <c r="T37" s="164"/>
      <c r="U37" s="164"/>
    </row>
    <row r="38" spans="2:33" x14ac:dyDescent="0.3">
      <c r="L38" s="163"/>
      <c r="M38" s="164"/>
      <c r="N38" s="164"/>
      <c r="O38" s="164"/>
      <c r="P38" s="164"/>
      <c r="Q38" s="164"/>
      <c r="R38" s="164"/>
      <c r="S38" s="164"/>
      <c r="T38" s="164"/>
      <c r="U38" s="164"/>
    </row>
    <row r="39" spans="2:33" x14ac:dyDescent="0.3">
      <c r="D39" s="37"/>
      <c r="L39" s="163"/>
      <c r="M39" s="164"/>
      <c r="N39" s="164"/>
      <c r="O39" s="164"/>
      <c r="P39" s="164"/>
      <c r="Q39" s="164"/>
      <c r="R39" s="164"/>
      <c r="S39" s="164"/>
      <c r="T39" s="164"/>
      <c r="U39" s="164"/>
    </row>
    <row r="40" spans="2:33" x14ac:dyDescent="0.3">
      <c r="D40" s="38"/>
      <c r="E40" s="38"/>
      <c r="F40" s="38"/>
      <c r="H40" s="38"/>
      <c r="I40" s="38"/>
      <c r="L40" s="163"/>
      <c r="M40" s="164"/>
      <c r="N40" s="164"/>
      <c r="O40" s="164"/>
      <c r="P40" s="164"/>
      <c r="Q40" s="164"/>
      <c r="R40" s="164"/>
      <c r="S40" s="164"/>
      <c r="T40" s="164"/>
      <c r="U40" s="164"/>
    </row>
    <row r="41" spans="2:33" x14ac:dyDescent="0.3">
      <c r="F41" s="39"/>
      <c r="G41" s="39"/>
    </row>
    <row r="42" spans="2:33" x14ac:dyDescent="0.3">
      <c r="B42" s="40" t="s">
        <v>55</v>
      </c>
      <c r="C42" s="2">
        <v>0</v>
      </c>
      <c r="D42" s="2">
        <v>1</v>
      </c>
      <c r="E42" s="2">
        <v>2</v>
      </c>
      <c r="F42" s="2">
        <v>3</v>
      </c>
      <c r="G42" s="2">
        <v>4</v>
      </c>
      <c r="H42" s="2">
        <v>5</v>
      </c>
      <c r="I42" s="2">
        <v>6</v>
      </c>
      <c r="J42" s="2">
        <v>7</v>
      </c>
      <c r="K42" s="2">
        <v>8</v>
      </c>
      <c r="L42" s="2">
        <v>9</v>
      </c>
      <c r="M42" s="2">
        <v>10</v>
      </c>
      <c r="N42" s="2">
        <v>11</v>
      </c>
      <c r="O42" s="2">
        <v>12</v>
      </c>
      <c r="P42" s="2">
        <v>13</v>
      </c>
      <c r="Q42" s="2">
        <v>14</v>
      </c>
      <c r="R42" s="2">
        <v>15</v>
      </c>
      <c r="S42" s="2">
        <v>16</v>
      </c>
      <c r="T42" s="2">
        <v>17</v>
      </c>
      <c r="U42" s="2">
        <v>18</v>
      </c>
      <c r="V42" s="2">
        <v>19</v>
      </c>
      <c r="W42" s="2">
        <v>20</v>
      </c>
      <c r="X42" s="2">
        <v>21</v>
      </c>
      <c r="Y42" s="2">
        <v>22</v>
      </c>
      <c r="Z42" s="2">
        <v>23</v>
      </c>
      <c r="AA42" s="2">
        <v>24</v>
      </c>
      <c r="AB42" s="2">
        <v>25</v>
      </c>
      <c r="AC42" s="2"/>
      <c r="AD42" s="2"/>
      <c r="AE42" s="2"/>
      <c r="AF42" s="2"/>
      <c r="AG42" s="2"/>
    </row>
    <row r="43" spans="2:33" x14ac:dyDescent="0.3">
      <c r="D43" s="41"/>
      <c r="E43" s="41"/>
      <c r="F43" s="41"/>
      <c r="G43" s="41"/>
      <c r="H43" s="41"/>
      <c r="I43" s="41"/>
      <c r="J43" s="41"/>
      <c r="K43" s="41"/>
    </row>
    <row r="44" spans="2:33" x14ac:dyDescent="0.3">
      <c r="B44" t="s">
        <v>56</v>
      </c>
      <c r="D44" s="42">
        <f>Summary!D10+Summary!H10+Summary!M9+Summary!W7+Summary!AB7+Summary!AG7+Summary!AL7+Summary!AQ7+Summary!AV7+Summary!BA7+Summary!BF7+Summary!BK7+Summary!AQ14+Summary!AV14+Summary!BA14+Summary!BF14+Summary!BK14+Summary!W14+Summary!AB14+Summary!AG14+Summary!AL14</f>
        <v>48000</v>
      </c>
      <c r="E44" s="42">
        <f>('Calculation Debt'!D44-'Calculation Debt'!D44*($C$10))*(E$42&lt;=$C$19)</f>
        <v>47760</v>
      </c>
      <c r="F44" s="42">
        <f t="shared" ref="F44:AB44" si="0">(E44-E44*($C$10))*(F$42&lt;=$C$19)</f>
        <v>47521.2</v>
      </c>
      <c r="G44" s="42">
        <f t="shared" si="0"/>
        <v>47283.593999999997</v>
      </c>
      <c r="H44" s="42">
        <f t="shared" si="0"/>
        <v>47047.176029999995</v>
      </c>
      <c r="I44" s="42">
        <f t="shared" si="0"/>
        <v>46811.940149849994</v>
      </c>
      <c r="J44" s="42">
        <f t="shared" si="0"/>
        <v>46577.880449100747</v>
      </c>
      <c r="K44" s="42">
        <f t="shared" si="0"/>
        <v>46344.991046855241</v>
      </c>
      <c r="L44" s="42">
        <f t="shared" si="0"/>
        <v>46113.266091620964</v>
      </c>
      <c r="M44" s="42">
        <f t="shared" si="0"/>
        <v>45882.699761162861</v>
      </c>
      <c r="N44" s="42">
        <f t="shared" si="0"/>
        <v>45653.286262357047</v>
      </c>
      <c r="O44" s="42">
        <f t="shared" si="0"/>
        <v>45425.019831045262</v>
      </c>
      <c r="P44" s="42">
        <f t="shared" si="0"/>
        <v>45197.894731890032</v>
      </c>
      <c r="Q44" s="42">
        <f t="shared" si="0"/>
        <v>44971.905258230581</v>
      </c>
      <c r="R44" s="42">
        <f t="shared" si="0"/>
        <v>44747.045731939426</v>
      </c>
      <c r="S44" s="42">
        <f t="shared" si="0"/>
        <v>44523.310503279732</v>
      </c>
      <c r="T44" s="42">
        <f t="shared" si="0"/>
        <v>44300.693950763336</v>
      </c>
      <c r="U44" s="42">
        <f t="shared" si="0"/>
        <v>44079.190481009522</v>
      </c>
      <c r="V44" s="42">
        <f t="shared" si="0"/>
        <v>43858.794528604478</v>
      </c>
      <c r="W44" s="42">
        <f t="shared" si="0"/>
        <v>43639.500555961458</v>
      </c>
      <c r="X44" s="42">
        <f t="shared" si="0"/>
        <v>43421.303053181648</v>
      </c>
      <c r="Y44" s="42">
        <f t="shared" si="0"/>
        <v>43204.196537915741</v>
      </c>
      <c r="Z44" s="42">
        <f t="shared" si="0"/>
        <v>42988.17555522616</v>
      </c>
      <c r="AA44" s="42">
        <f t="shared" si="0"/>
        <v>42773.234677450033</v>
      </c>
      <c r="AB44" s="42">
        <f t="shared" si="0"/>
        <v>42559.368504062782</v>
      </c>
      <c r="AC44" s="42"/>
      <c r="AD44" s="42"/>
      <c r="AE44" s="42"/>
      <c r="AF44" s="42"/>
      <c r="AG44" s="42"/>
    </row>
    <row r="45" spans="2:33" x14ac:dyDescent="0.3">
      <c r="B45" t="s">
        <v>57</v>
      </c>
      <c r="C45" s="42"/>
      <c r="D45" s="43">
        <f>'Calculation Debt'!$D$44*$C$6*(D$42&lt;=$C$19)</f>
        <v>48000</v>
      </c>
      <c r="E45" s="43">
        <f>'Calculation Debt'!$D$44*$C$6*(E$42&lt;=$C$19)</f>
        <v>48000</v>
      </c>
      <c r="F45" s="43">
        <f>'Calculation Debt'!$D$44*$C$6*(F$42&lt;=$C$19)</f>
        <v>48000</v>
      </c>
      <c r="G45" s="43">
        <f>'Calculation Debt'!$D$44*$C$6*(G$42&lt;=$C$19)</f>
        <v>48000</v>
      </c>
      <c r="H45" s="43">
        <f>'Calculation Debt'!$D$44*$C$6*(H$42&lt;=$C$19)</f>
        <v>48000</v>
      </c>
      <c r="I45" s="43">
        <f>'Calculation Debt'!$D$44*$C$6*(I$42&lt;=$C$19)</f>
        <v>48000</v>
      </c>
      <c r="J45" s="43">
        <f>'Calculation Debt'!$D$44*$C$6*(J$42&lt;=$C$19)</f>
        <v>48000</v>
      </c>
      <c r="K45" s="43">
        <f>'Calculation Debt'!$D$44*$C$6*(K$42&lt;=$C$19)</f>
        <v>48000</v>
      </c>
      <c r="L45" s="43">
        <f>'Calculation Debt'!$D$44*$C$6*(L$42&lt;=$C$19)</f>
        <v>48000</v>
      </c>
      <c r="M45" s="43">
        <f>'Calculation Debt'!$D$44*$C$6*(M$42&lt;=$C$19)</f>
        <v>48000</v>
      </c>
      <c r="N45" s="43">
        <f>'Calculation Debt'!$D$44*$C$6*(N$42&lt;=$C$19)</f>
        <v>48000</v>
      </c>
      <c r="O45" s="43">
        <f>'Calculation Debt'!$D$44*$C$6*(O$42&lt;=$C$19)</f>
        <v>48000</v>
      </c>
      <c r="P45" s="43">
        <f>'Calculation Debt'!$D$44*$C$6*(P$42&lt;=$C$19)</f>
        <v>48000</v>
      </c>
      <c r="Q45" s="43">
        <f>'Calculation Debt'!$D$44*$C$6*(Q$42&lt;=$C$19)</f>
        <v>48000</v>
      </c>
      <c r="R45" s="43">
        <f>'Calculation Debt'!$D$44*$C$6*(R$42&lt;=$C$19)</f>
        <v>48000</v>
      </c>
      <c r="S45" s="43">
        <f>'Calculation Debt'!$D$44*$C$6*(S$42&lt;=$C$19)</f>
        <v>48000</v>
      </c>
      <c r="T45" s="43">
        <f>'Calculation Debt'!$D$44*$C$6*(T$42&lt;=$C$19)</f>
        <v>48000</v>
      </c>
      <c r="U45" s="43">
        <f>'Calculation Debt'!$D$44*$C$6*(U$42&lt;=$C$19)</f>
        <v>48000</v>
      </c>
      <c r="V45" s="43">
        <f>'Calculation Debt'!$D$44*$C$6*(V$42&lt;=$C$19)</f>
        <v>48000</v>
      </c>
      <c r="W45" s="43">
        <f>'Calculation Debt'!$D$44*$C$6*(W$42&lt;=$C$19)</f>
        <v>48000</v>
      </c>
      <c r="X45" s="43">
        <f>'Calculation Debt'!$D$44*$C$6*(X$42&lt;=$C$19)</f>
        <v>48000</v>
      </c>
      <c r="Y45" s="43">
        <f>'Calculation Debt'!$D$44*$C$6*(Y$42&lt;=$C$19)</f>
        <v>48000</v>
      </c>
      <c r="Z45" s="43">
        <f>'Calculation Debt'!$D$44*$C$6*(Z$42&lt;=$C$19)</f>
        <v>48000</v>
      </c>
      <c r="AA45" s="43">
        <f>'Calculation Debt'!$D$44*$C$6*(AA$42&lt;=$C$19)</f>
        <v>48000</v>
      </c>
      <c r="AB45" s="43">
        <f>'Calculation Debt'!$D$44*$C$6*(AB$42&lt;=$C$19)</f>
        <v>48000</v>
      </c>
      <c r="AC45" s="43"/>
      <c r="AD45" s="43"/>
      <c r="AE45" s="43"/>
      <c r="AF45" s="43"/>
      <c r="AG45" s="43"/>
    </row>
    <row r="46" spans="2:33" x14ac:dyDescent="0.3">
      <c r="B46" t="s">
        <v>58</v>
      </c>
      <c r="C46" s="42"/>
      <c r="D46" s="44">
        <f>MIN(IFERROR(D45/E44,0),100%)*(D$42&lt;=$C$19)</f>
        <v>1</v>
      </c>
      <c r="E46" s="44">
        <f t="shared" ref="E46:AB46" si="1">MIN(IFERROR(E45/E44,0),100%)*(E$42&lt;=$C$19)</f>
        <v>1</v>
      </c>
      <c r="F46" s="44">
        <f t="shared" si="1"/>
        <v>1</v>
      </c>
      <c r="G46" s="44">
        <f t="shared" si="1"/>
        <v>1</v>
      </c>
      <c r="H46" s="44">
        <f t="shared" si="1"/>
        <v>1</v>
      </c>
      <c r="I46" s="44">
        <f t="shared" si="1"/>
        <v>1</v>
      </c>
      <c r="J46" s="44">
        <f t="shared" si="1"/>
        <v>1</v>
      </c>
      <c r="K46" s="44">
        <f t="shared" si="1"/>
        <v>1</v>
      </c>
      <c r="L46" s="44">
        <f t="shared" si="1"/>
        <v>1</v>
      </c>
      <c r="M46" s="44">
        <f t="shared" si="1"/>
        <v>1</v>
      </c>
      <c r="N46" s="44">
        <f t="shared" si="1"/>
        <v>1</v>
      </c>
      <c r="O46" s="44">
        <f t="shared" si="1"/>
        <v>1</v>
      </c>
      <c r="P46" s="44">
        <f t="shared" si="1"/>
        <v>1</v>
      </c>
      <c r="Q46" s="44">
        <f t="shared" si="1"/>
        <v>1</v>
      </c>
      <c r="R46" s="44">
        <f t="shared" si="1"/>
        <v>1</v>
      </c>
      <c r="S46" s="44">
        <f t="shared" si="1"/>
        <v>1</v>
      </c>
      <c r="T46" s="44">
        <f t="shared" si="1"/>
        <v>1</v>
      </c>
      <c r="U46" s="44">
        <f t="shared" si="1"/>
        <v>1</v>
      </c>
      <c r="V46" s="44">
        <f t="shared" si="1"/>
        <v>1</v>
      </c>
      <c r="W46" s="44">
        <f t="shared" si="1"/>
        <v>1</v>
      </c>
      <c r="X46" s="44">
        <f t="shared" si="1"/>
        <v>1</v>
      </c>
      <c r="Y46" s="44">
        <f t="shared" si="1"/>
        <v>1</v>
      </c>
      <c r="Z46" s="44">
        <f t="shared" si="1"/>
        <v>1</v>
      </c>
      <c r="AA46" s="44">
        <f t="shared" si="1"/>
        <v>1</v>
      </c>
      <c r="AB46" s="44">
        <f t="shared" si="1"/>
        <v>1</v>
      </c>
      <c r="AC46" s="44"/>
      <c r="AD46" s="44"/>
      <c r="AE46" s="44"/>
      <c r="AF46" s="44"/>
      <c r="AG46" s="44"/>
    </row>
    <row r="47" spans="2:33" x14ac:dyDescent="0.3">
      <c r="B47" t="s">
        <v>59</v>
      </c>
      <c r="C47" s="45"/>
      <c r="D47" s="45">
        <f>$C$12*((1+$C$17)^(D42-1))*(D$42&lt;=$C$19)</f>
        <v>7</v>
      </c>
      <c r="E47" s="45">
        <f t="shared" ref="E47:AB47" si="2">$C$12*((1+$C$17)^(E42-1))*(E42&lt;=$C$19)</f>
        <v>7.1749999999999989</v>
      </c>
      <c r="F47" s="45">
        <f t="shared" si="2"/>
        <v>7.3543749999999992</v>
      </c>
      <c r="G47" s="45">
        <f t="shared" si="2"/>
        <v>7.5382343749999992</v>
      </c>
      <c r="H47" s="45">
        <f t="shared" si="2"/>
        <v>7.7266902343749981</v>
      </c>
      <c r="I47" s="45">
        <f t="shared" si="2"/>
        <v>7.9198574902343726</v>
      </c>
      <c r="J47" s="45">
        <f t="shared" si="2"/>
        <v>8.1178539274902306</v>
      </c>
      <c r="K47" s="45">
        <f t="shared" si="2"/>
        <v>8.3208002756774881</v>
      </c>
      <c r="L47" s="45">
        <f t="shared" si="2"/>
        <v>8.5288202825694235</v>
      </c>
      <c r="M47" s="45">
        <f t="shared" si="2"/>
        <v>8.7420407896336574</v>
      </c>
      <c r="N47" s="45">
        <f t="shared" si="2"/>
        <v>8.960591809374499</v>
      </c>
      <c r="O47" s="45">
        <f t="shared" si="2"/>
        <v>9.1846066046088612</v>
      </c>
      <c r="P47" s="45">
        <f t="shared" si="2"/>
        <v>9.4142217697240831</v>
      </c>
      <c r="Q47" s="45">
        <f t="shared" si="2"/>
        <v>9.6495773139671837</v>
      </c>
      <c r="R47" s="45">
        <f t="shared" si="2"/>
        <v>9.8908167468163626</v>
      </c>
      <c r="S47" s="45">
        <f t="shared" si="2"/>
        <v>10.138087165486773</v>
      </c>
      <c r="T47" s="45">
        <f t="shared" si="2"/>
        <v>10.391539344623942</v>
      </c>
      <c r="U47" s="45">
        <f t="shared" si="2"/>
        <v>10.651327828239539</v>
      </c>
      <c r="V47" s="45">
        <f t="shared" si="2"/>
        <v>10.917611023945527</v>
      </c>
      <c r="W47" s="45">
        <f t="shared" si="2"/>
        <v>11.190551299544166</v>
      </c>
      <c r="X47" s="45">
        <f t="shared" si="2"/>
        <v>11.470315082032769</v>
      </c>
      <c r="Y47" s="45">
        <f t="shared" si="2"/>
        <v>11.757072959083587</v>
      </c>
      <c r="Z47" s="45">
        <f t="shared" si="2"/>
        <v>12.050999783060677</v>
      </c>
      <c r="AA47" s="45">
        <f t="shared" si="2"/>
        <v>12.352274777637193</v>
      </c>
      <c r="AB47" s="45">
        <f t="shared" si="2"/>
        <v>12.661081647078122</v>
      </c>
      <c r="AC47" s="45"/>
      <c r="AD47" s="45"/>
      <c r="AE47" s="45"/>
      <c r="AF47" s="45"/>
      <c r="AG47" s="45"/>
    </row>
    <row r="48" spans="2:33" x14ac:dyDescent="0.3">
      <c r="B48" t="s">
        <v>60</v>
      </c>
      <c r="C48" s="45"/>
      <c r="D48" s="45">
        <f>IF(Summary!$D$19&lt;1,$C$15*((1+$C$18)^(D42-1))*(D42&lt;=$C$19),Summary!$D$19)</f>
        <v>12.486760352189341</v>
      </c>
      <c r="E48" s="45">
        <f>IF(Summary!$D$19&lt;1,$C$15*((1+$C$18)^(E42-1))*(E42&lt;=$C$19),Summary!$D$19)</f>
        <v>12.798929360994073</v>
      </c>
      <c r="F48" s="45">
        <f>IF(Summary!$D$19&lt;1,$C$15*((1+$C$18)^(F42-1))*(F42&lt;=$C$19),Summary!$D$19)</f>
        <v>13.118902595018925</v>
      </c>
      <c r="G48" s="45">
        <f>IF(Summary!$D$19&lt;1,$C$15*((1+$C$18)^(G42-1))*(G42&lt;=$C$19),Summary!$D$19)</f>
        <v>13.446875159894399</v>
      </c>
      <c r="H48" s="45">
        <f>IF(Summary!$D$19&lt;1,$C$15*((1+$C$18)^(H42-1))*(H42&lt;=$C$19),Summary!$D$19)</f>
        <v>13.783047038891757</v>
      </c>
      <c r="I48" s="45">
        <f>IF(Summary!$D$19&lt;1,$C$15*((1+$C$18)^(I42-1))*(I42&lt;=$C$19),Summary!$D$19)</f>
        <v>14.12762321486405</v>
      </c>
      <c r="J48" s="45">
        <f>IF(Summary!$D$19&lt;1,$C$15*((1+$C$18)^(J42-1))*(J42&lt;=$C$19),Summary!$D$19)</f>
        <v>14.480813795235649</v>
      </c>
      <c r="K48" s="45">
        <f>IF(Summary!$D$19&lt;1,$C$15*((1+$C$18)^(K42-1))*(K42&lt;=$C$19),Summary!$D$19)</f>
        <v>14.842834140116542</v>
      </c>
      <c r="L48" s="45">
        <f>IF(Summary!$D$19&lt;1,$C$15*((1+$C$18)^(L42-1))*(L42&lt;=$C$19),Summary!$D$19)</f>
        <v>15.213904993619453</v>
      </c>
      <c r="M48" s="45">
        <f>IF(Summary!$D$19&lt;1,$C$15*((1+$C$18)^(M42-1))*(M42&lt;=$C$19),Summary!$D$19)</f>
        <v>15.594252618459937</v>
      </c>
      <c r="N48" s="45">
        <f>IF(Summary!$D$19&lt;1,$C$15*((1+$C$18)^(N42-1))*(N42&lt;=$C$19),Summary!$D$19)</f>
        <v>15.984108933921435</v>
      </c>
      <c r="O48" s="45">
        <f>IF(Summary!$D$19&lt;1,$C$15*((1+$C$18)^(O42-1))*(O42&lt;=$C$19),Summary!$D$19)</f>
        <v>16.383711657269473</v>
      </c>
      <c r="P48" s="45">
        <f>IF(Summary!$D$19&lt;1,$C$15*((1+$C$18)^(P42-1))*(P42&lt;=$C$19),Summary!$D$19)</f>
        <v>16.793304448701207</v>
      </c>
      <c r="Q48" s="45">
        <f>IF(Summary!$D$19&lt;1,$C$15*((1+$C$18)^(Q42-1))*(Q42&lt;=$C$19),Summary!$D$19)</f>
        <v>17.213137059918736</v>
      </c>
      <c r="R48" s="45">
        <f>IF(Summary!$D$19&lt;1,$C$15*((1+$C$18)^(R42-1))*(R42&lt;=$C$19),Summary!$D$19)</f>
        <v>17.643465486416702</v>
      </c>
      <c r="S48" s="45">
        <f>IF(Summary!$D$19&lt;1,$C$15*((1+$C$18)^(S42-1))*(S42&lt;=$C$19),Summary!$D$19)</f>
        <v>18.084552123577122</v>
      </c>
      <c r="T48" s="45">
        <f>IF(Summary!$D$19&lt;1,$C$15*((1+$C$18)^(T42-1))*(T42&lt;=$C$19),Summary!$D$19)</f>
        <v>18.536665926666551</v>
      </c>
      <c r="U48" s="45">
        <f>IF(Summary!$D$19&lt;1,$C$15*((1+$C$18)^(U42-1))*(U42&lt;=$C$19),Summary!$D$19)</f>
        <v>19.000082574833211</v>
      </c>
      <c r="V48" s="45">
        <f>IF(Summary!$D$19&lt;1,$C$15*((1+$C$18)^(V42-1))*(V42&lt;=$C$19),Summary!$D$19)</f>
        <v>19.475084639204042</v>
      </c>
      <c r="W48" s="45">
        <f>IF(Summary!$D$19&lt;1,$C$15*((1+$C$18)^(W42-1))*(W42&lt;=$C$19),Summary!$D$19)</f>
        <v>19.961961755184142</v>
      </c>
      <c r="X48" s="45">
        <f>IF(Summary!$D$19&lt;1,$C$15*((1+$C$18)^(X42-1))*(X42&lt;=$C$19),Summary!$D$19)</f>
        <v>20.461010799063743</v>
      </c>
      <c r="Y48" s="45">
        <f>IF(Summary!$D$19&lt;1,$C$15*((1+$C$18)^(Y42-1))*(Y42&lt;=$C$19),Summary!$D$19)</f>
        <v>20.972536069040334</v>
      </c>
      <c r="Z48" s="45">
        <f>IF(Summary!$D$19&lt;1,$C$15*((1+$C$18)^(Z42-1))*(Z42&lt;=$C$19),Summary!$D$19)</f>
        <v>21.496849470766342</v>
      </c>
      <c r="AA48" s="45">
        <f>IF(Summary!$D$19&lt;1,$C$15*((1+$C$18)^(AA42-1))*(AA42&lt;=$C$19),Summary!$D$19)</f>
        <v>22.034270707535502</v>
      </c>
      <c r="AB48" s="45">
        <f>IF(Summary!$D$19&lt;1,$C$15*((1+$C$18)^(AB42-1))*(AB42&lt;=$C$19),Summary!$D$19)</f>
        <v>22.585127475223889</v>
      </c>
      <c r="AC48" s="45"/>
      <c r="AD48" s="45"/>
      <c r="AE48" s="45"/>
      <c r="AF48" s="45"/>
      <c r="AG48" s="45"/>
    </row>
    <row r="49" spans="2:33" x14ac:dyDescent="0.3">
      <c r="C49" s="45"/>
      <c r="D49" s="45"/>
      <c r="E49" s="45"/>
      <c r="F49" s="45"/>
      <c r="G49" s="45"/>
      <c r="H49" s="45"/>
      <c r="I49" s="45"/>
      <c r="J49" s="45"/>
      <c r="K49" s="45"/>
      <c r="L49" s="45"/>
      <c r="M49" s="45"/>
      <c r="N49" s="45"/>
      <c r="O49" s="45"/>
      <c r="P49" s="45"/>
      <c r="Q49" s="45"/>
      <c r="R49" s="45"/>
      <c r="S49" s="45"/>
      <c r="T49" s="45"/>
      <c r="U49" s="45"/>
      <c r="V49" s="45"/>
      <c r="W49" s="45"/>
      <c r="X49" s="45"/>
      <c r="Y49" s="45"/>
      <c r="Z49" s="45"/>
      <c r="AA49" s="45"/>
      <c r="AB49" s="45"/>
      <c r="AC49" s="45"/>
      <c r="AD49" s="45"/>
      <c r="AE49" s="45"/>
      <c r="AF49" s="45"/>
      <c r="AG49" s="45"/>
    </row>
    <row r="50" spans="2:33" x14ac:dyDescent="0.3">
      <c r="B50" t="s">
        <v>61</v>
      </c>
      <c r="C50" s="45"/>
      <c r="D50" s="46">
        <f>('Calculation Debt'!D$44*(1-D$46)*D$47)/100</f>
        <v>0</v>
      </c>
      <c r="E50" s="46">
        <f t="shared" ref="E50:AB50" si="3">(E$44*(1-E$46)*E$47)/100</f>
        <v>0</v>
      </c>
      <c r="F50" s="46">
        <f t="shared" si="3"/>
        <v>0</v>
      </c>
      <c r="G50" s="46">
        <f t="shared" si="3"/>
        <v>0</v>
      </c>
      <c r="H50" s="46">
        <f t="shared" si="3"/>
        <v>0</v>
      </c>
      <c r="I50" s="46">
        <f t="shared" si="3"/>
        <v>0</v>
      </c>
      <c r="J50" s="46">
        <f t="shared" si="3"/>
        <v>0</v>
      </c>
      <c r="K50" s="46">
        <f t="shared" si="3"/>
        <v>0</v>
      </c>
      <c r="L50" s="46">
        <f t="shared" si="3"/>
        <v>0</v>
      </c>
      <c r="M50" s="46">
        <f t="shared" si="3"/>
        <v>0</v>
      </c>
      <c r="N50" s="46">
        <f t="shared" si="3"/>
        <v>0</v>
      </c>
      <c r="O50" s="46">
        <f t="shared" si="3"/>
        <v>0</v>
      </c>
      <c r="P50" s="46">
        <f t="shared" si="3"/>
        <v>0</v>
      </c>
      <c r="Q50" s="46">
        <f t="shared" si="3"/>
        <v>0</v>
      </c>
      <c r="R50" s="46">
        <f t="shared" si="3"/>
        <v>0</v>
      </c>
      <c r="S50" s="46">
        <f t="shared" si="3"/>
        <v>0</v>
      </c>
      <c r="T50" s="46">
        <f t="shared" si="3"/>
        <v>0</v>
      </c>
      <c r="U50" s="46">
        <f t="shared" si="3"/>
        <v>0</v>
      </c>
      <c r="V50" s="46">
        <f t="shared" si="3"/>
        <v>0</v>
      </c>
      <c r="W50" s="46">
        <f t="shared" si="3"/>
        <v>0</v>
      </c>
      <c r="X50" s="46">
        <f t="shared" si="3"/>
        <v>0</v>
      </c>
      <c r="Y50" s="46">
        <f t="shared" si="3"/>
        <v>0</v>
      </c>
      <c r="Z50" s="46">
        <f t="shared" si="3"/>
        <v>0</v>
      </c>
      <c r="AA50" s="46">
        <f t="shared" si="3"/>
        <v>0</v>
      </c>
      <c r="AB50" s="46">
        <f t="shared" si="3"/>
        <v>0</v>
      </c>
      <c r="AC50" s="46"/>
      <c r="AD50" s="46"/>
      <c r="AE50" s="46"/>
      <c r="AF50" s="46"/>
      <c r="AG50" s="46"/>
    </row>
    <row r="51" spans="2:33" x14ac:dyDescent="0.3">
      <c r="B51" t="s">
        <v>62</v>
      </c>
      <c r="C51" s="45"/>
      <c r="D51" s="47">
        <f>(+'Calculation Debt'!D$44*(D$46)*D$48)/100</f>
        <v>5993.6449690508844</v>
      </c>
      <c r="E51" s="47">
        <f t="shared" ref="E51:AB51" si="4">(+E$44*(E$46)*E$48)/100</f>
        <v>6112.7686628107695</v>
      </c>
      <c r="F51" s="47">
        <f t="shared" si="4"/>
        <v>6234.2599399841329</v>
      </c>
      <c r="G51" s="47">
        <f t="shared" si="4"/>
        <v>6358.1658562913181</v>
      </c>
      <c r="H51" s="47">
        <f t="shared" si="4"/>
        <v>6484.5344026851071</v>
      </c>
      <c r="I51" s="47">
        <f t="shared" si="4"/>
        <v>6613.4145239384725</v>
      </c>
      <c r="J51" s="47">
        <f t="shared" si="4"/>
        <v>6744.8561376017497</v>
      </c>
      <c r="K51" s="47">
        <f t="shared" si="4"/>
        <v>6878.9101533365847</v>
      </c>
      <c r="L51" s="47">
        <f t="shared" si="4"/>
        <v>7015.6284926341477</v>
      </c>
      <c r="M51" s="47">
        <f t="shared" si="4"/>
        <v>7155.0641089252513</v>
      </c>
      <c r="N51" s="47">
        <f t="shared" si="4"/>
        <v>7297.2710080901406</v>
      </c>
      <c r="O51" s="47">
        <f t="shared" si="4"/>
        <v>7442.3042693759326</v>
      </c>
      <c r="P51" s="47">
        <f t="shared" si="4"/>
        <v>7590.2200667297766</v>
      </c>
      <c r="Q51" s="47">
        <f t="shared" si="4"/>
        <v>7741.0756905560311</v>
      </c>
      <c r="R51" s="47">
        <f t="shared" si="4"/>
        <v>7894.9295699058302</v>
      </c>
      <c r="S51" s="47">
        <f t="shared" si="4"/>
        <v>8051.8412951077098</v>
      </c>
      <c r="T51" s="47">
        <f t="shared" si="4"/>
        <v>8211.8716408479777</v>
      </c>
      <c r="U51" s="47">
        <f t="shared" si="4"/>
        <v>8375.0825897098293</v>
      </c>
      <c r="V51" s="47">
        <f t="shared" si="4"/>
        <v>8541.5373561803135</v>
      </c>
      <c r="W51" s="47">
        <f t="shared" si="4"/>
        <v>8711.300411134398</v>
      </c>
      <c r="X51" s="47">
        <f t="shared" si="4"/>
        <v>8884.4375068056925</v>
      </c>
      <c r="Y51" s="47">
        <f t="shared" si="4"/>
        <v>9061.0157022534549</v>
      </c>
      <c r="Z51" s="47">
        <f t="shared" si="4"/>
        <v>9241.1033893357417</v>
      </c>
      <c r="AA51" s="47">
        <f t="shared" si="4"/>
        <v>9424.7703191987894</v>
      </c>
      <c r="AB51" s="47">
        <f t="shared" si="4"/>
        <v>9612.087629292866</v>
      </c>
      <c r="AC51" s="47"/>
      <c r="AD51" s="47"/>
      <c r="AE51" s="47"/>
      <c r="AF51" s="47"/>
      <c r="AG51" s="47"/>
    </row>
    <row r="52" spans="2:33" s="3" customFormat="1" x14ac:dyDescent="0.3">
      <c r="B52" s="3" t="s">
        <v>5</v>
      </c>
      <c r="C52" s="48"/>
      <c r="D52" s="48">
        <f>SUM(D50:D51)</f>
        <v>5993.6449690508844</v>
      </c>
      <c r="E52" s="48">
        <f t="shared" ref="E52:AB52" si="5">SUM(E50:E51)</f>
        <v>6112.7686628107695</v>
      </c>
      <c r="F52" s="48">
        <f t="shared" si="5"/>
        <v>6234.2599399841329</v>
      </c>
      <c r="G52" s="48">
        <f t="shared" si="5"/>
        <v>6358.1658562913181</v>
      </c>
      <c r="H52" s="48">
        <f t="shared" si="5"/>
        <v>6484.5344026851071</v>
      </c>
      <c r="I52" s="48">
        <f t="shared" si="5"/>
        <v>6613.4145239384725</v>
      </c>
      <c r="J52" s="48">
        <f t="shared" si="5"/>
        <v>6744.8561376017497</v>
      </c>
      <c r="K52" s="48">
        <f t="shared" si="5"/>
        <v>6878.9101533365847</v>
      </c>
      <c r="L52" s="48">
        <f t="shared" si="5"/>
        <v>7015.6284926341477</v>
      </c>
      <c r="M52" s="48">
        <f t="shared" si="5"/>
        <v>7155.0641089252513</v>
      </c>
      <c r="N52" s="48">
        <f t="shared" si="5"/>
        <v>7297.2710080901406</v>
      </c>
      <c r="O52" s="48">
        <f t="shared" si="5"/>
        <v>7442.3042693759326</v>
      </c>
      <c r="P52" s="48">
        <f t="shared" si="5"/>
        <v>7590.2200667297766</v>
      </c>
      <c r="Q52" s="48">
        <f t="shared" si="5"/>
        <v>7741.0756905560311</v>
      </c>
      <c r="R52" s="48">
        <f t="shared" si="5"/>
        <v>7894.9295699058302</v>
      </c>
      <c r="S52" s="48">
        <f t="shared" si="5"/>
        <v>8051.8412951077098</v>
      </c>
      <c r="T52" s="48">
        <f t="shared" si="5"/>
        <v>8211.8716408479777</v>
      </c>
      <c r="U52" s="48">
        <f t="shared" si="5"/>
        <v>8375.0825897098293</v>
      </c>
      <c r="V52" s="48">
        <f t="shared" si="5"/>
        <v>8541.5373561803135</v>
      </c>
      <c r="W52" s="48">
        <f t="shared" si="5"/>
        <v>8711.300411134398</v>
      </c>
      <c r="X52" s="48">
        <f t="shared" si="5"/>
        <v>8884.4375068056925</v>
      </c>
      <c r="Y52" s="48">
        <f t="shared" si="5"/>
        <v>9061.0157022534549</v>
      </c>
      <c r="Z52" s="48">
        <f t="shared" si="5"/>
        <v>9241.1033893357417</v>
      </c>
      <c r="AA52" s="48">
        <f t="shared" si="5"/>
        <v>9424.7703191987894</v>
      </c>
      <c r="AB52" s="48">
        <f t="shared" si="5"/>
        <v>9612.087629292866</v>
      </c>
      <c r="AC52" s="48"/>
      <c r="AD52" s="48"/>
      <c r="AE52" s="48"/>
      <c r="AF52" s="48"/>
      <c r="AG52" s="48"/>
    </row>
    <row r="53" spans="2:33" x14ac:dyDescent="0.3">
      <c r="C53" s="49"/>
      <c r="D53" s="38"/>
    </row>
    <row r="54" spans="2:33" x14ac:dyDescent="0.3">
      <c r="C54" s="49"/>
      <c r="D54" s="38"/>
      <c r="E54" s="38"/>
      <c r="F54" s="38"/>
      <c r="G54" s="38"/>
      <c r="H54" s="38"/>
    </row>
    <row r="55" spans="2:33" x14ac:dyDescent="0.3">
      <c r="B55" t="s">
        <v>63</v>
      </c>
      <c r="C55" s="49"/>
      <c r="D55" s="42">
        <f t="shared" ref="D55:F55" si="6">$H$20*(1+$C$16)^(D42-1)*(D42&lt;=$C$19)</f>
        <v>400</v>
      </c>
      <c r="E55" s="42">
        <f t="shared" si="6"/>
        <v>409.99999999999994</v>
      </c>
      <c r="F55" s="42">
        <f t="shared" si="6"/>
        <v>420.24999999999994</v>
      </c>
      <c r="G55" s="42">
        <f>$I$20*(1+$C$16)^(G42-1)*(G42&lt;=$C$19)</f>
        <v>107.68906249999999</v>
      </c>
      <c r="H55" s="42">
        <f t="shared" ref="H55:AB55" si="7">$I$20*(1+$C$16)^(H42-1)*(H42&lt;=$C$19)</f>
        <v>110.38128906249997</v>
      </c>
      <c r="I55" s="42">
        <f t="shared" si="7"/>
        <v>113.14082128906247</v>
      </c>
      <c r="J55" s="42">
        <f t="shared" si="7"/>
        <v>115.96934182128902</v>
      </c>
      <c r="K55" s="42">
        <f t="shared" si="7"/>
        <v>118.86857536682125</v>
      </c>
      <c r="L55" s="42">
        <f t="shared" si="7"/>
        <v>121.84028975099177</v>
      </c>
      <c r="M55" s="42">
        <f t="shared" si="7"/>
        <v>124.88629699476654</v>
      </c>
      <c r="N55" s="42">
        <f t="shared" si="7"/>
        <v>128.00845441963571</v>
      </c>
      <c r="O55" s="42">
        <f t="shared" si="7"/>
        <v>131.20866578012661</v>
      </c>
      <c r="P55" s="42">
        <f t="shared" si="7"/>
        <v>134.48888242462976</v>
      </c>
      <c r="Q55" s="42">
        <f t="shared" si="7"/>
        <v>137.85110448524549</v>
      </c>
      <c r="R55" s="42">
        <f t="shared" si="7"/>
        <v>141.29738209737661</v>
      </c>
      <c r="S55" s="42">
        <f t="shared" si="7"/>
        <v>144.82981664981105</v>
      </c>
      <c r="T55" s="42">
        <f t="shared" si="7"/>
        <v>148.45056206605631</v>
      </c>
      <c r="U55" s="42">
        <f t="shared" si="7"/>
        <v>152.1618261177077</v>
      </c>
      <c r="V55" s="42">
        <f t="shared" si="7"/>
        <v>155.96587177065041</v>
      </c>
      <c r="W55" s="42">
        <f t="shared" si="7"/>
        <v>159.86501856491665</v>
      </c>
      <c r="X55" s="42">
        <f t="shared" si="7"/>
        <v>163.86164402903955</v>
      </c>
      <c r="Y55" s="42">
        <f t="shared" si="7"/>
        <v>167.95818512976552</v>
      </c>
      <c r="Z55" s="42">
        <f t="shared" si="7"/>
        <v>172.15713975800966</v>
      </c>
      <c r="AA55" s="42">
        <f t="shared" si="7"/>
        <v>176.46106825195992</v>
      </c>
      <c r="AB55" s="42">
        <f t="shared" si="7"/>
        <v>180.8725949582589</v>
      </c>
      <c r="AC55" s="42"/>
      <c r="AD55" s="42"/>
      <c r="AE55" s="42"/>
      <c r="AF55" s="42"/>
      <c r="AG55" s="42"/>
    </row>
    <row r="56" spans="2:33" x14ac:dyDescent="0.3">
      <c r="B56" t="s">
        <v>64</v>
      </c>
      <c r="C56" s="38"/>
      <c r="D56" s="42">
        <f t="shared" ref="D56:AB56" si="8">$C$7*$H$21*(1+$C$16)^(D42-1)*(D42&lt;=$C$19)</f>
        <v>0</v>
      </c>
      <c r="E56" s="42">
        <f t="shared" si="8"/>
        <v>0</v>
      </c>
      <c r="F56" s="42">
        <f t="shared" si="8"/>
        <v>0</v>
      </c>
      <c r="G56" s="42">
        <f t="shared" si="8"/>
        <v>0</v>
      </c>
      <c r="H56" s="42">
        <f t="shared" si="8"/>
        <v>0</v>
      </c>
      <c r="I56" s="42">
        <f t="shared" si="8"/>
        <v>0</v>
      </c>
      <c r="J56" s="42">
        <f t="shared" si="8"/>
        <v>0</v>
      </c>
      <c r="K56" s="42">
        <f t="shared" si="8"/>
        <v>0</v>
      </c>
      <c r="L56" s="42">
        <f t="shared" si="8"/>
        <v>0</v>
      </c>
      <c r="M56" s="42">
        <f t="shared" si="8"/>
        <v>0</v>
      </c>
      <c r="N56" s="42">
        <f t="shared" si="8"/>
        <v>0</v>
      </c>
      <c r="O56" s="42">
        <f t="shared" si="8"/>
        <v>0</v>
      </c>
      <c r="P56" s="42">
        <f t="shared" si="8"/>
        <v>0</v>
      </c>
      <c r="Q56" s="42">
        <f t="shared" si="8"/>
        <v>0</v>
      </c>
      <c r="R56" s="42">
        <f t="shared" si="8"/>
        <v>0</v>
      </c>
      <c r="S56" s="42">
        <f t="shared" si="8"/>
        <v>0</v>
      </c>
      <c r="T56" s="42">
        <f t="shared" si="8"/>
        <v>0</v>
      </c>
      <c r="U56" s="42">
        <f t="shared" si="8"/>
        <v>0</v>
      </c>
      <c r="V56" s="42">
        <f t="shared" si="8"/>
        <v>0</v>
      </c>
      <c r="W56" s="42">
        <f t="shared" si="8"/>
        <v>0</v>
      </c>
      <c r="X56" s="42">
        <f t="shared" si="8"/>
        <v>0</v>
      </c>
      <c r="Y56" s="42">
        <f t="shared" si="8"/>
        <v>0</v>
      </c>
      <c r="Z56" s="42">
        <f t="shared" si="8"/>
        <v>0</v>
      </c>
      <c r="AA56" s="42">
        <f t="shared" si="8"/>
        <v>0</v>
      </c>
      <c r="AB56" s="42">
        <f t="shared" si="8"/>
        <v>0</v>
      </c>
      <c r="AC56" s="42"/>
      <c r="AD56" s="42"/>
      <c r="AE56" s="42"/>
      <c r="AF56" s="42"/>
      <c r="AG56" s="42"/>
    </row>
    <row r="57" spans="2:33" x14ac:dyDescent="0.3">
      <c r="B57" t="s">
        <v>172</v>
      </c>
      <c r="C57" s="38"/>
      <c r="D57" s="42">
        <f>Summary!M11+Summary!W16+Summary!AB16+Summary!AG16+Summary!AL16+Summary!AQ16+Summary!AV16+Summary!BA16+Summary!BF16</f>
        <v>0</v>
      </c>
      <c r="E57" s="42">
        <f>D57*(1+$C$16)*(E$42&lt;=$C$19)</f>
        <v>0</v>
      </c>
      <c r="F57" s="42">
        <f t="shared" ref="F57:W57" si="9">E57*(1+$C$16)*(F$42&lt;=$C$19)</f>
        <v>0</v>
      </c>
      <c r="G57" s="42">
        <f t="shared" si="9"/>
        <v>0</v>
      </c>
      <c r="H57" s="42">
        <f t="shared" si="9"/>
        <v>0</v>
      </c>
      <c r="I57" s="42">
        <f t="shared" si="9"/>
        <v>0</v>
      </c>
      <c r="J57" s="42">
        <f t="shared" si="9"/>
        <v>0</v>
      </c>
      <c r="K57" s="42">
        <f t="shared" si="9"/>
        <v>0</v>
      </c>
      <c r="L57" s="42">
        <f t="shared" si="9"/>
        <v>0</v>
      </c>
      <c r="M57" s="42">
        <f t="shared" si="9"/>
        <v>0</v>
      </c>
      <c r="N57" s="42">
        <f t="shared" si="9"/>
        <v>0</v>
      </c>
      <c r="O57" s="42">
        <f t="shared" si="9"/>
        <v>0</v>
      </c>
      <c r="P57" s="42">
        <f t="shared" si="9"/>
        <v>0</v>
      </c>
      <c r="Q57" s="42">
        <f t="shared" si="9"/>
        <v>0</v>
      </c>
      <c r="R57" s="42">
        <f t="shared" si="9"/>
        <v>0</v>
      </c>
      <c r="S57" s="42">
        <f t="shared" si="9"/>
        <v>0</v>
      </c>
      <c r="T57" s="42">
        <f t="shared" si="9"/>
        <v>0</v>
      </c>
      <c r="U57" s="42">
        <f t="shared" si="9"/>
        <v>0</v>
      </c>
      <c r="V57" s="42">
        <f t="shared" si="9"/>
        <v>0</v>
      </c>
      <c r="W57" s="42">
        <f t="shared" si="9"/>
        <v>0</v>
      </c>
      <c r="X57" s="42"/>
      <c r="Y57" s="42"/>
      <c r="Z57" s="42"/>
      <c r="AA57" s="42"/>
      <c r="AB57" s="42"/>
      <c r="AC57" s="42"/>
      <c r="AD57" s="42"/>
      <c r="AE57" s="42"/>
      <c r="AF57" s="42"/>
      <c r="AG57" s="42"/>
    </row>
    <row r="58" spans="2:33" x14ac:dyDescent="0.3">
      <c r="B58" t="s">
        <v>65</v>
      </c>
      <c r="C58" s="42"/>
      <c r="D58" s="42">
        <f>$C$7*$H$22*(1+$C$16)^(D42-1)*(D42&lt;=$C$19)+($D$7*$H$22*(1+$C$16)^(D42-1)*(D42&lt;=$C$19))</f>
        <v>480</v>
      </c>
      <c r="E58" s="42">
        <f t="shared" ref="E58:AB58" si="10">$C$7*$H$22*(1+$C$16)^(E42-1)*(E42&lt;=$C$19)+($D$7*$H$22*(1+$C$16)^(E42-1)*(E42&lt;=$C$19))</f>
        <v>491.99999999999994</v>
      </c>
      <c r="F58" s="42">
        <f t="shared" si="10"/>
        <v>504.29999999999995</v>
      </c>
      <c r="G58" s="42">
        <f t="shared" si="10"/>
        <v>516.90749999999991</v>
      </c>
      <c r="H58" s="42">
        <f t="shared" si="10"/>
        <v>529.83018749999985</v>
      </c>
      <c r="I58" s="42">
        <f t="shared" si="10"/>
        <v>543.07594218749978</v>
      </c>
      <c r="J58" s="42">
        <f t="shared" si="10"/>
        <v>556.65284074218732</v>
      </c>
      <c r="K58" s="42">
        <f t="shared" si="10"/>
        <v>570.56916176074196</v>
      </c>
      <c r="L58" s="42">
        <f t="shared" si="10"/>
        <v>584.83339080476048</v>
      </c>
      <c r="M58" s="42">
        <f t="shared" si="10"/>
        <v>599.45422557487939</v>
      </c>
      <c r="N58" s="42">
        <f t="shared" si="10"/>
        <v>614.44058121425144</v>
      </c>
      <c r="O58" s="42">
        <f t="shared" si="10"/>
        <v>629.80159574460765</v>
      </c>
      <c r="P58" s="42">
        <f t="shared" si="10"/>
        <v>645.54663563822282</v>
      </c>
      <c r="Q58" s="42">
        <f t="shared" si="10"/>
        <v>661.68530152917833</v>
      </c>
      <c r="R58" s="42">
        <f t="shared" si="10"/>
        <v>678.22743406740778</v>
      </c>
      <c r="S58" s="42">
        <f t="shared" si="10"/>
        <v>695.18311991909309</v>
      </c>
      <c r="T58" s="42">
        <f t="shared" si="10"/>
        <v>712.5626979170703</v>
      </c>
      <c r="U58" s="42">
        <f t="shared" si="10"/>
        <v>730.37676536499691</v>
      </c>
      <c r="V58" s="42">
        <f t="shared" si="10"/>
        <v>748.6361844991219</v>
      </c>
      <c r="W58" s="42">
        <f t="shared" si="10"/>
        <v>767.35208911159998</v>
      </c>
      <c r="X58" s="42">
        <f t="shared" si="10"/>
        <v>786.53589133938988</v>
      </c>
      <c r="Y58" s="42">
        <f t="shared" si="10"/>
        <v>806.19928862287452</v>
      </c>
      <c r="Z58" s="42">
        <f t="shared" si="10"/>
        <v>826.35427083844638</v>
      </c>
      <c r="AA58" s="42">
        <f t="shared" si="10"/>
        <v>847.01312760940755</v>
      </c>
      <c r="AB58" s="42">
        <f t="shared" si="10"/>
        <v>868.18845579964272</v>
      </c>
      <c r="AC58" s="42"/>
      <c r="AD58" s="42"/>
      <c r="AE58" s="42"/>
      <c r="AF58" s="42"/>
      <c r="AG58" s="42"/>
    </row>
    <row r="59" spans="2:33" x14ac:dyDescent="0.3">
      <c r="B59" t="s">
        <v>66</v>
      </c>
      <c r="C59" s="42"/>
      <c r="D59" s="42">
        <f>((($C$7+$D$7)*($H$24))+($H$25*'Calculation Debt'!D44)+$H$26)*((1+$C$16)^(D42-1))*(D42&lt;=$C$19)</f>
        <v>58.320000000000007</v>
      </c>
      <c r="E59" s="42">
        <f t="shared" ref="E59:AB59" si="11">((($C$7+$D$7)*($H$24))+($H$25*E44)+$H$26)*((1+$C$16)^(E42-1))*(E42&lt;=$C$19)</f>
        <v>59.778000000000006</v>
      </c>
      <c r="F59" s="42">
        <f t="shared" si="11"/>
        <v>61.272450000000006</v>
      </c>
      <c r="G59" s="42">
        <f t="shared" si="11"/>
        <v>62.804261250000003</v>
      </c>
      <c r="H59" s="42">
        <f t="shared" si="11"/>
        <v>64.374367781250001</v>
      </c>
      <c r="I59" s="42">
        <f t="shared" si="11"/>
        <v>65.983726975781238</v>
      </c>
      <c r="J59" s="42">
        <f t="shared" si="11"/>
        <v>67.633320150175763</v>
      </c>
      <c r="K59" s="42">
        <f t="shared" si="11"/>
        <v>69.324153153930155</v>
      </c>
      <c r="L59" s="42">
        <f t="shared" si="11"/>
        <v>71.057256982778412</v>
      </c>
      <c r="M59" s="42">
        <f t="shared" si="11"/>
        <v>72.833688407347864</v>
      </c>
      <c r="N59" s="42">
        <f t="shared" si="11"/>
        <v>74.654530617531549</v>
      </c>
      <c r="O59" s="42">
        <f t="shared" si="11"/>
        <v>76.520893882969844</v>
      </c>
      <c r="P59" s="42">
        <f t="shared" si="11"/>
        <v>78.433916230044076</v>
      </c>
      <c r="Q59" s="42">
        <f t="shared" si="11"/>
        <v>80.394764135795185</v>
      </c>
      <c r="R59" s="42">
        <f t="shared" si="11"/>
        <v>82.404633239190048</v>
      </c>
      <c r="S59" s="42">
        <f t="shared" si="11"/>
        <v>84.464749070169816</v>
      </c>
      <c r="T59" s="42">
        <f t="shared" si="11"/>
        <v>86.576367796924046</v>
      </c>
      <c r="U59" s="42">
        <f t="shared" si="11"/>
        <v>88.740776991847142</v>
      </c>
      <c r="V59" s="42">
        <f t="shared" si="11"/>
        <v>90.959296416643326</v>
      </c>
      <c r="W59" s="42">
        <f t="shared" si="11"/>
        <v>93.233278827059408</v>
      </c>
      <c r="X59" s="42">
        <f t="shared" si="11"/>
        <v>95.564110797735879</v>
      </c>
      <c r="Y59" s="42">
        <f t="shared" si="11"/>
        <v>97.953213567679271</v>
      </c>
      <c r="Z59" s="42">
        <f t="shared" si="11"/>
        <v>100.40204390687124</v>
      </c>
      <c r="AA59" s="42">
        <f t="shared" si="11"/>
        <v>102.91209500454303</v>
      </c>
      <c r="AB59" s="42">
        <f t="shared" si="11"/>
        <v>105.4848973796566</v>
      </c>
      <c r="AC59" s="42"/>
      <c r="AD59" s="42"/>
      <c r="AE59" s="42"/>
      <c r="AF59" s="42"/>
      <c r="AG59" s="42"/>
    </row>
    <row r="60" spans="2:33" x14ac:dyDescent="0.3">
      <c r="B60" t="s">
        <v>178</v>
      </c>
      <c r="C60" s="42"/>
      <c r="D60" s="42">
        <f>Summary!O12</f>
        <v>480</v>
      </c>
      <c r="E60" s="42">
        <f>D60*(E$42&lt;=Summary!$O$13)</f>
        <v>480</v>
      </c>
      <c r="F60" s="42">
        <f>E60*(F$42&lt;=Summary!$O$13)</f>
        <v>480</v>
      </c>
      <c r="G60" s="42">
        <f>F60*(G$42&lt;=Summary!$O$13)</f>
        <v>480</v>
      </c>
      <c r="H60" s="42">
        <f>G60*(H$42&lt;=Summary!$O$13)</f>
        <v>480</v>
      </c>
      <c r="I60" s="42">
        <f>H60*(I$42&lt;=Summary!$O$13)</f>
        <v>480</v>
      </c>
      <c r="J60" s="42">
        <f>I60*(J$42&lt;=Summary!$O$13)</f>
        <v>480</v>
      </c>
      <c r="K60" s="42">
        <f>J60*(K$42&lt;=Summary!$O$13)</f>
        <v>480</v>
      </c>
      <c r="L60" s="42">
        <f>K60*(L$42&lt;=Summary!$O$13)</f>
        <v>480</v>
      </c>
      <c r="M60" s="42">
        <f>L60*(M$42&lt;=Summary!$O$13)</f>
        <v>480</v>
      </c>
      <c r="N60" s="42">
        <f>M60*(N$42&lt;=Summary!$O$13)</f>
        <v>0</v>
      </c>
      <c r="O60" s="42">
        <f>N60*(O$42&lt;=Summary!$O$13)</f>
        <v>0</v>
      </c>
      <c r="P60" s="42">
        <f>O60*(P$42&lt;=Summary!$O$13)</f>
        <v>0</v>
      </c>
      <c r="Q60" s="42">
        <f>P60*(Q$42&lt;=Summary!$O$13)</f>
        <v>0</v>
      </c>
      <c r="R60" s="42">
        <f>Q60*(R$42&lt;=Summary!$O$13)</f>
        <v>0</v>
      </c>
      <c r="S60" s="42">
        <f>R60*(S$42&lt;=Summary!$O$13)</f>
        <v>0</v>
      </c>
      <c r="T60" s="42">
        <f>S60*(T$42&lt;=Summary!$O$13)</f>
        <v>0</v>
      </c>
      <c r="U60" s="42">
        <f>T60*(U$42&lt;=Summary!$O$13)</f>
        <v>0</v>
      </c>
      <c r="V60" s="42">
        <f>U60*(V$42&lt;=Summary!$O$13)</f>
        <v>0</v>
      </c>
      <c r="W60" s="42">
        <f>V60*(W$42&lt;=Summary!$O$13)</f>
        <v>0</v>
      </c>
      <c r="X60" s="42">
        <f>W60*(X$42&lt;=Summary!$O$13)</f>
        <v>0</v>
      </c>
      <c r="Y60" s="42">
        <f>X60*(Y$42&lt;=Summary!$O$13)</f>
        <v>0</v>
      </c>
      <c r="Z60" s="42">
        <f>Y60*(Z$42&lt;=Summary!$O$13)</f>
        <v>0</v>
      </c>
      <c r="AA60" s="42">
        <f>Z60*(AA$42&lt;=Summary!$O$13)</f>
        <v>0</v>
      </c>
      <c r="AB60" s="42">
        <f>AA60*(AB$42&lt;=Summary!$O$13)</f>
        <v>0</v>
      </c>
      <c r="AC60" s="42"/>
      <c r="AD60" s="42"/>
      <c r="AE60" s="42"/>
      <c r="AF60" s="42"/>
      <c r="AG60" s="42"/>
    </row>
    <row r="61" spans="2:33" x14ac:dyDescent="0.3">
      <c r="B61" t="s">
        <v>67</v>
      </c>
      <c r="C61" s="42"/>
      <c r="D61" s="42">
        <f t="shared" ref="D61:AB61" si="12">(($C$7+$D$7)*$H$23)*((1+$C$16)^(D42-1))*(D42&lt;=$C$19)</f>
        <v>180</v>
      </c>
      <c r="E61" s="42">
        <f t="shared" si="12"/>
        <v>184.49999999999997</v>
      </c>
      <c r="F61" s="42">
        <f t="shared" si="12"/>
        <v>189.11249999999998</v>
      </c>
      <c r="G61" s="42">
        <f t="shared" si="12"/>
        <v>193.84031249999998</v>
      </c>
      <c r="H61" s="42">
        <f t="shared" si="12"/>
        <v>198.68632031249996</v>
      </c>
      <c r="I61" s="42">
        <f t="shared" si="12"/>
        <v>203.65347832031244</v>
      </c>
      <c r="J61" s="42">
        <f t="shared" si="12"/>
        <v>208.74481527832023</v>
      </c>
      <c r="K61" s="42">
        <f t="shared" si="12"/>
        <v>213.96343566027824</v>
      </c>
      <c r="L61" s="42">
        <f t="shared" si="12"/>
        <v>219.31252155178518</v>
      </c>
      <c r="M61" s="42">
        <f t="shared" si="12"/>
        <v>224.79533459057978</v>
      </c>
      <c r="N61" s="42">
        <f t="shared" si="12"/>
        <v>230.41521795534427</v>
      </c>
      <c r="O61" s="42">
        <f t="shared" si="12"/>
        <v>236.17559840422788</v>
      </c>
      <c r="P61" s="42">
        <f t="shared" si="12"/>
        <v>242.07998836433356</v>
      </c>
      <c r="Q61" s="42">
        <f t="shared" si="12"/>
        <v>248.13198807344187</v>
      </c>
      <c r="R61" s="42">
        <f t="shared" si="12"/>
        <v>254.33528777527789</v>
      </c>
      <c r="S61" s="42">
        <f t="shared" si="12"/>
        <v>260.69366996965988</v>
      </c>
      <c r="T61" s="42">
        <f t="shared" si="12"/>
        <v>267.21101171890137</v>
      </c>
      <c r="U61" s="42">
        <f t="shared" si="12"/>
        <v>273.89128701187389</v>
      </c>
      <c r="V61" s="42">
        <f t="shared" si="12"/>
        <v>280.7385691871707</v>
      </c>
      <c r="W61" s="42">
        <f t="shared" si="12"/>
        <v>287.75703341684999</v>
      </c>
      <c r="X61" s="42">
        <f t="shared" si="12"/>
        <v>294.95095925227122</v>
      </c>
      <c r="Y61" s="42">
        <f t="shared" si="12"/>
        <v>302.32473323357794</v>
      </c>
      <c r="Z61" s="42">
        <f t="shared" si="12"/>
        <v>309.88285156441736</v>
      </c>
      <c r="AA61" s="42">
        <f t="shared" si="12"/>
        <v>317.62992285352783</v>
      </c>
      <c r="AB61" s="42">
        <f t="shared" si="12"/>
        <v>325.57067092486602</v>
      </c>
      <c r="AC61" s="42"/>
      <c r="AD61" s="42"/>
      <c r="AE61" s="42"/>
      <c r="AF61" s="42"/>
      <c r="AG61" s="42"/>
    </row>
    <row r="62" spans="2:33" x14ac:dyDescent="0.3">
      <c r="B62" t="s">
        <v>188</v>
      </c>
      <c r="C62" s="42"/>
      <c r="D62" s="42">
        <f>Summary!Q16*((1+Summary!$R$16)^(D42-1))*(D42&lt;=$C$19)</f>
        <v>0</v>
      </c>
      <c r="E62" s="42">
        <f>D62*(1+Summary!$R$16)*(E$42&lt;=$C$19)</f>
        <v>0</v>
      </c>
      <c r="F62" s="42">
        <f>E62*(1+Summary!$R$16)*(F$42&lt;=$C$19)</f>
        <v>0</v>
      </c>
      <c r="G62" s="42">
        <f>F62*(1+Summary!$R$16)*(G$42&lt;=$C$19)</f>
        <v>0</v>
      </c>
      <c r="H62" s="42">
        <f>G62*(1+Summary!$R$16)*(H$42&lt;=$C$19)</f>
        <v>0</v>
      </c>
      <c r="I62" s="42">
        <f>H62*(1+Summary!$R$16)*(I$42&lt;=$C$19)</f>
        <v>0</v>
      </c>
      <c r="J62" s="42">
        <f>I62*(1+Summary!$R$16)*(J$42&lt;=$C$19)</f>
        <v>0</v>
      </c>
      <c r="K62" s="42">
        <f>J62*(1+Summary!$R$16)*(K$42&lt;=$C$19)</f>
        <v>0</v>
      </c>
      <c r="L62" s="42">
        <f>K62*(1+Summary!$R$16)*(L$42&lt;=$C$19)</f>
        <v>0</v>
      </c>
      <c r="M62" s="42">
        <f>L62*(1+Summary!$R$16)*(M$42&lt;=$C$19)</f>
        <v>0</v>
      </c>
      <c r="N62" s="42">
        <f>M62*(1+Summary!$R$16)*(N$42&lt;=$C$19)</f>
        <v>0</v>
      </c>
      <c r="O62" s="42">
        <f>N62*(1+Summary!$R$16)*(O$42&lt;=$C$19)</f>
        <v>0</v>
      </c>
      <c r="P62" s="42">
        <f>O62*(1+Summary!$R$16)*(P$42&lt;=$C$19)</f>
        <v>0</v>
      </c>
      <c r="Q62" s="42">
        <f>P62*(1+Summary!$R$16)*(Q$42&lt;=$C$19)</f>
        <v>0</v>
      </c>
      <c r="R62" s="42">
        <f>Q62*(1+Summary!$R$16)*(R$42&lt;=$C$19)</f>
        <v>0</v>
      </c>
      <c r="S62" s="42">
        <f>R62*(1+Summary!$R$16)*(S$42&lt;=$C$19)</f>
        <v>0</v>
      </c>
      <c r="T62" s="42">
        <f>S62*(1+Summary!$R$16)*(T$42&lt;=$C$19)</f>
        <v>0</v>
      </c>
      <c r="U62" s="42">
        <f>T62*(1+Summary!$R$16)*(U$42&lt;=$C$19)</f>
        <v>0</v>
      </c>
      <c r="V62" s="42">
        <f>U62*(1+Summary!$R$16)*(V$42&lt;=$C$19)</f>
        <v>0</v>
      </c>
      <c r="W62" s="42">
        <f>V62*(1+Summary!$R$16)*(W$42&lt;=$C$19)</f>
        <v>0</v>
      </c>
      <c r="X62" s="42">
        <f>W62*(1+Summary!$R$16)*(X$42&lt;=$C$19)</f>
        <v>0</v>
      </c>
      <c r="Y62" s="42">
        <f>X62*(1+Summary!$R$16)*(Y$42&lt;=$C$19)</f>
        <v>0</v>
      </c>
      <c r="Z62" s="42">
        <f>Y62*(1+Summary!$R$16)*(Z$42&lt;=$C$19)</f>
        <v>0</v>
      </c>
      <c r="AA62" s="42">
        <f>Z62*(1+Summary!$R$16)*(AA$42&lt;=$C$19)</f>
        <v>0</v>
      </c>
      <c r="AB62" s="42">
        <f>AA62*(1+Summary!$R$16)*(AB$42&lt;=$C$19)</f>
        <v>0</v>
      </c>
      <c r="AC62" s="42"/>
      <c r="AD62" s="42"/>
      <c r="AE62" s="42"/>
      <c r="AF62" s="42"/>
      <c r="AG62" s="42"/>
    </row>
    <row r="63" spans="2:33" x14ac:dyDescent="0.3">
      <c r="B63" t="s">
        <v>216</v>
      </c>
      <c r="C63" s="42"/>
      <c r="D63" s="42">
        <f>Summary!Q17*((1+Summary!$R$17)^(D42-1))*(D42&lt;=$C$19)</f>
        <v>0</v>
      </c>
      <c r="E63" s="42">
        <f>D63*(1+Summary!$R$17)*(E$42&lt;=$C$19)</f>
        <v>0</v>
      </c>
      <c r="F63" s="42">
        <f>E63*(1+Summary!$R$17)*(F$42&lt;=$C$19)</f>
        <v>0</v>
      </c>
      <c r="G63" s="42">
        <f>F63*(1+Summary!$R$17)*(G$42&lt;=$C$19)</f>
        <v>0</v>
      </c>
      <c r="H63" s="42">
        <f>G63*(1+Summary!$R$17)*(H$42&lt;=$C$19)</f>
        <v>0</v>
      </c>
      <c r="I63" s="42">
        <f>H63*(1+Summary!$R$17)*(I$42&lt;=$C$19)</f>
        <v>0</v>
      </c>
      <c r="J63" s="42">
        <f>I63*(1+Summary!$R$17)*(J$42&lt;=$C$19)</f>
        <v>0</v>
      </c>
      <c r="K63" s="42">
        <f>J63*(1+Summary!$R$17)*(K$42&lt;=$C$19)</f>
        <v>0</v>
      </c>
      <c r="L63" s="42">
        <f>K63*(1+Summary!$R$17)*(L$42&lt;=$C$19)</f>
        <v>0</v>
      </c>
      <c r="M63" s="42">
        <f>L63*(1+Summary!$R$17)*(M$42&lt;=$C$19)</f>
        <v>0</v>
      </c>
      <c r="N63" s="42">
        <f>M63*(1+Summary!$R$17)*(N$42&lt;=$C$19)</f>
        <v>0</v>
      </c>
      <c r="O63" s="42">
        <f>N63*(1+Summary!$R$17)*(O$42&lt;=$C$19)</f>
        <v>0</v>
      </c>
      <c r="P63" s="42">
        <f>O63*(1+Summary!$R$17)*(P$42&lt;=$C$19)</f>
        <v>0</v>
      </c>
      <c r="Q63" s="42">
        <f>P63*(1+Summary!$R$17)*(Q$42&lt;=$C$19)</f>
        <v>0</v>
      </c>
      <c r="R63" s="42">
        <f>Q63*(1+Summary!$R$17)*(R$42&lt;=$C$19)</f>
        <v>0</v>
      </c>
      <c r="S63" s="42">
        <f>R63*(1+Summary!$R$17)*(S$42&lt;=$C$19)</f>
        <v>0</v>
      </c>
      <c r="T63" s="42">
        <f>S63*(1+Summary!$R$17)*(T$42&lt;=$C$19)</f>
        <v>0</v>
      </c>
      <c r="U63" s="42">
        <f>T63*(1+Summary!$R$17)*(U$42&lt;=$C$19)</f>
        <v>0</v>
      </c>
      <c r="V63" s="42">
        <f>U63*(1+Summary!$R$17)*(V$42&lt;=$C$19)</f>
        <v>0</v>
      </c>
      <c r="W63" s="42">
        <f>V63*(1+Summary!$R$17)*(W$42&lt;=$C$19)</f>
        <v>0</v>
      </c>
      <c r="X63" s="42">
        <f>W63*(1+Summary!$R$17)*(X$42&lt;=$C$19)</f>
        <v>0</v>
      </c>
      <c r="Y63" s="42">
        <f>X63*(1+Summary!$R$17)*(Y$42&lt;=$C$19)</f>
        <v>0</v>
      </c>
      <c r="Z63" s="42">
        <f>Y63*(1+Summary!$R$17)*(Z$42&lt;=$C$19)</f>
        <v>0</v>
      </c>
      <c r="AA63" s="42">
        <f>Z63*(1+Summary!$R$17)*(AA$42&lt;=$C$19)</f>
        <v>0</v>
      </c>
      <c r="AB63" s="42">
        <f>AA63*(1+Summary!$R$17)*(AB$42&lt;=$C$19)</f>
        <v>0</v>
      </c>
      <c r="AC63" s="42"/>
      <c r="AD63" s="42"/>
      <c r="AE63" s="42"/>
      <c r="AF63" s="42"/>
      <c r="AG63" s="42"/>
    </row>
    <row r="64" spans="2:33" x14ac:dyDescent="0.3">
      <c r="B64" t="s">
        <v>189</v>
      </c>
      <c r="C64" s="42"/>
      <c r="D64" s="42">
        <f>Summary!Q18*((1+Summary!$R$18)^(D42-1))*(D42&lt;=$C$19)</f>
        <v>0</v>
      </c>
      <c r="E64" s="42">
        <f>D64*(1+Summary!$R$18)*(E$42&lt;=$C$19)</f>
        <v>0</v>
      </c>
      <c r="F64" s="42">
        <f>E64*(1+Summary!$R$18)*(F$42&lt;=$C$19)</f>
        <v>0</v>
      </c>
      <c r="G64" s="42">
        <f>F64*(1+Summary!$R$18)*(G$42&lt;=$C$19)</f>
        <v>0</v>
      </c>
      <c r="H64" s="42">
        <f>G64*(1+Summary!$R$18)*(H$42&lt;=$C$19)</f>
        <v>0</v>
      </c>
      <c r="I64" s="42">
        <f>H64*(1+Summary!$R$18)*(I$42&lt;=$C$19)</f>
        <v>0</v>
      </c>
      <c r="J64" s="42">
        <f>I64*(1+Summary!$R$18)*(J$42&lt;=$C$19)</f>
        <v>0</v>
      </c>
      <c r="K64" s="42">
        <f>J64*(1+Summary!$R$18)*(K$42&lt;=$C$19)</f>
        <v>0</v>
      </c>
      <c r="L64" s="42">
        <f>K64*(1+Summary!$R$18)*(L$42&lt;=$C$19)</f>
        <v>0</v>
      </c>
      <c r="M64" s="42">
        <f>L64*(1+Summary!$R$18)*(M$42&lt;=$C$19)</f>
        <v>0</v>
      </c>
      <c r="N64" s="42">
        <f>M64*(1+Summary!$R$18)*(N$42&lt;=$C$19)</f>
        <v>0</v>
      </c>
      <c r="O64" s="42">
        <f>N64*(1+Summary!$R$18)*(O$42&lt;=$C$19)</f>
        <v>0</v>
      </c>
      <c r="P64" s="42">
        <f>O64*(1+Summary!$R$18)*(P$42&lt;=$C$19)</f>
        <v>0</v>
      </c>
      <c r="Q64" s="42">
        <f>P64*(1+Summary!$R$18)*(Q$42&lt;=$C$19)</f>
        <v>0</v>
      </c>
      <c r="R64" s="42">
        <f>Q64*(1+Summary!$R$18)*(R$42&lt;=$C$19)</f>
        <v>0</v>
      </c>
      <c r="S64" s="42">
        <f>R64*(1+Summary!$R$18)*(S$42&lt;=$C$19)</f>
        <v>0</v>
      </c>
      <c r="T64" s="42">
        <f>S64*(1+Summary!$R$18)*(T$42&lt;=$C$19)</f>
        <v>0</v>
      </c>
      <c r="U64" s="42">
        <f>T64*(1+Summary!$R$18)*(U$42&lt;=$C$19)</f>
        <v>0</v>
      </c>
      <c r="V64" s="42">
        <f>U64*(1+Summary!$R$18)*(V$42&lt;=$C$19)</f>
        <v>0</v>
      </c>
      <c r="W64" s="42">
        <f>V64*(1+Summary!$R$18)*(W$42&lt;=$C$19)</f>
        <v>0</v>
      </c>
      <c r="X64" s="42">
        <f>W64*(1+Summary!$R$18)*(X$42&lt;=$C$19)</f>
        <v>0</v>
      </c>
      <c r="Y64" s="42">
        <f>X64*(1+Summary!$R$18)*(Y$42&lt;=$C$19)</f>
        <v>0</v>
      </c>
      <c r="Z64" s="42">
        <f>Y64*(1+Summary!$R$18)*(Z$42&lt;=$C$19)</f>
        <v>0</v>
      </c>
      <c r="AA64" s="42">
        <f>Z64*(1+Summary!$R$18)*(AA$42&lt;=$C$19)</f>
        <v>0</v>
      </c>
      <c r="AB64" s="42">
        <f>AA64*(1+Summary!$R$18)*(AB$42&lt;=$C$19)</f>
        <v>0</v>
      </c>
      <c r="AC64" s="42"/>
      <c r="AD64" s="42"/>
      <c r="AE64" s="42"/>
      <c r="AF64" s="42"/>
      <c r="AG64" s="42"/>
    </row>
    <row r="65" spans="1:34" x14ac:dyDescent="0.3">
      <c r="B65" t="s">
        <v>222</v>
      </c>
      <c r="C65" s="42"/>
      <c r="D65" s="42">
        <f>Summary!$Q$27*((1+Summary!$R$18)^(D42-1))*(D42&lt;=$C$19)</f>
        <v>0</v>
      </c>
      <c r="E65" s="42">
        <f>D65*(1+Summary!$R$27)*((1+Summary!$R$18)^(E42-1))*(E42&lt;=$C$19)</f>
        <v>0</v>
      </c>
      <c r="F65" s="42">
        <f>E65*(1+Summary!$R$27)*((1+Summary!$R$18)^(F42-1))*(F42&lt;=$C$19)</f>
        <v>0</v>
      </c>
      <c r="G65" s="42">
        <f>F65*(1+Summary!$R$27)*((1+Summary!$R$18)^(G42-1))*(G42&lt;=$C$19)</f>
        <v>0</v>
      </c>
      <c r="H65" s="42">
        <f>G65*(1+Summary!$R$27)*((1+Summary!$R$18)^(H42-1))*(H42&lt;=$C$19)</f>
        <v>0</v>
      </c>
      <c r="I65" s="42">
        <f>H65*(1+Summary!$R$27)*((1+Summary!$R$18)^(I42-1))*(I42&lt;=$C$19)</f>
        <v>0</v>
      </c>
      <c r="J65" s="42">
        <f>I65*(1+Summary!$R$27)*((1+Summary!$R$18)^(J42-1))*(J42&lt;=$C$19)</f>
        <v>0</v>
      </c>
      <c r="K65" s="42">
        <f>J65*(1+Summary!$R$27)*((1+Summary!$R$18)^(K42-1))*(K42&lt;=$C$19)</f>
        <v>0</v>
      </c>
      <c r="L65" s="42">
        <f>K65*(1+Summary!$R$27)*((1+Summary!$R$18)^(L42-1))*(L42&lt;=$C$19)</f>
        <v>0</v>
      </c>
      <c r="M65" s="42">
        <f>L65*(1+Summary!$R$27)*((1+Summary!$R$18)^(M42-1))*(M42&lt;=$C$19)</f>
        <v>0</v>
      </c>
      <c r="N65" s="42">
        <f>M65*(1+Summary!$R$27)*((1+Summary!$R$18)^(N42-1))*(N42&lt;=$C$19)</f>
        <v>0</v>
      </c>
      <c r="O65" s="42">
        <f>N65*(1+Summary!$R$27)*((1+Summary!$R$18)^(O42-1))*(O42&lt;=$C$19)</f>
        <v>0</v>
      </c>
      <c r="P65" s="42">
        <f>O65*(1+Summary!$R$27)*((1+Summary!$R$18)^(P42-1))*(P42&lt;=$C$19)</f>
        <v>0</v>
      </c>
      <c r="Q65" s="42">
        <f>P65*(1+Summary!$R$27)*((1+Summary!$R$18)^(Q42-1))*(Q42&lt;=$C$19)</f>
        <v>0</v>
      </c>
      <c r="R65" s="42">
        <f>Q65*(1+Summary!$R$27)*((1+Summary!$R$18)^(R42-1))*(R42&lt;=$C$19)</f>
        <v>0</v>
      </c>
      <c r="S65" s="42">
        <f>R65*(1+Summary!$R$27)*((1+Summary!$R$18)^(S42-1))*(S42&lt;=$C$19)</f>
        <v>0</v>
      </c>
      <c r="T65" s="42">
        <f>S65*(1+Summary!$R$27)*((1+Summary!$R$18)^(T42-1))*(T42&lt;=$C$19)</f>
        <v>0</v>
      </c>
      <c r="U65" s="42">
        <f>T65*(1+Summary!$R$27)*((1+Summary!$R$18)^(U42-1))*(U42&lt;=$C$19)</f>
        <v>0</v>
      </c>
      <c r="V65" s="42">
        <f>U65*(1+Summary!$R$27)*((1+Summary!$R$18)^(V42-1))*(V42&lt;=$C$19)</f>
        <v>0</v>
      </c>
      <c r="W65" s="42">
        <f>V65*(1+Summary!$R$27)*((1+Summary!$R$18)^(W42-1))*(W42&lt;=$C$19)</f>
        <v>0</v>
      </c>
      <c r="X65" s="42">
        <f>W65*(1+Summary!$R$27)*((1+Summary!$R$18)^(X42-1))*(X42&lt;=$C$19)</f>
        <v>0</v>
      </c>
      <c r="Y65" s="42">
        <f>X65*(1+Summary!$R$27)*((1+Summary!$R$18)^(Y42-1))*(Y42&lt;=$C$19)</f>
        <v>0</v>
      </c>
      <c r="Z65" s="42">
        <f>Y65*(1+Summary!$R$27)*((1+Summary!$R$18)^(Z42-1))*(Z42&lt;=$C$19)</f>
        <v>0</v>
      </c>
      <c r="AA65" s="42">
        <f>Z65*(1+Summary!$R$27)*((1+Summary!$R$18)^(AA42-1))*(AA42&lt;=$C$19)</f>
        <v>0</v>
      </c>
      <c r="AB65" s="42">
        <f>AA65*(1+Summary!$R$27)*((1+Summary!$R$18)^(AB42-1))*(AB42&lt;=$C$19)</f>
        <v>0</v>
      </c>
      <c r="AC65" s="42"/>
      <c r="AD65" s="42"/>
      <c r="AE65" s="42"/>
      <c r="AF65" s="42"/>
      <c r="AG65" s="42"/>
    </row>
    <row r="66" spans="1:34" x14ac:dyDescent="0.3">
      <c r="B66" s="120" t="s">
        <v>199</v>
      </c>
      <c r="C66" s="121"/>
      <c r="D66" s="121">
        <f>SUM(D144:D145)</f>
        <v>5978.4</v>
      </c>
      <c r="E66" s="121">
        <f t="shared" ref="E66:AB66" si="13">SUM(E144:E145)</f>
        <v>5749.4400000000005</v>
      </c>
      <c r="F66" s="121">
        <f t="shared" si="13"/>
        <v>5520.48</v>
      </c>
      <c r="G66" s="121">
        <f t="shared" si="13"/>
        <v>5291.52</v>
      </c>
      <c r="H66" s="121">
        <f t="shared" si="13"/>
        <v>5062.5599999999995</v>
      </c>
      <c r="I66" s="121">
        <f t="shared" si="13"/>
        <v>4833.6000000000004</v>
      </c>
      <c r="J66" s="121">
        <f t="shared" si="13"/>
        <v>4604.6399999999994</v>
      </c>
      <c r="K66" s="121">
        <f t="shared" si="13"/>
        <v>4375.68</v>
      </c>
      <c r="L66" s="121">
        <f t="shared" si="13"/>
        <v>4146.72</v>
      </c>
      <c r="M66" s="121">
        <f t="shared" si="13"/>
        <v>3917.76</v>
      </c>
      <c r="N66" s="121">
        <f t="shared" si="13"/>
        <v>3688.8</v>
      </c>
      <c r="O66" s="121">
        <f t="shared" si="13"/>
        <v>3459.84</v>
      </c>
      <c r="P66" s="121">
        <f t="shared" si="13"/>
        <v>3230.88</v>
      </c>
      <c r="Q66" s="121">
        <f t="shared" si="13"/>
        <v>3001.92</v>
      </c>
      <c r="R66" s="121">
        <f t="shared" si="13"/>
        <v>2772.96</v>
      </c>
      <c r="S66" s="121">
        <f t="shared" si="13"/>
        <v>0</v>
      </c>
      <c r="T66" s="121">
        <f t="shared" si="13"/>
        <v>0</v>
      </c>
      <c r="U66" s="121">
        <f t="shared" si="13"/>
        <v>0</v>
      </c>
      <c r="V66" s="121">
        <f t="shared" si="13"/>
        <v>0</v>
      </c>
      <c r="W66" s="121">
        <f t="shared" si="13"/>
        <v>0</v>
      </c>
      <c r="X66" s="121">
        <f t="shared" si="13"/>
        <v>0</v>
      </c>
      <c r="Y66" s="121">
        <f t="shared" si="13"/>
        <v>0</v>
      </c>
      <c r="Z66" s="121">
        <f t="shared" si="13"/>
        <v>0</v>
      </c>
      <c r="AA66" s="121">
        <f t="shared" si="13"/>
        <v>0</v>
      </c>
      <c r="AB66" s="121">
        <f t="shared" si="13"/>
        <v>0</v>
      </c>
      <c r="AC66" s="42"/>
      <c r="AD66" s="42"/>
      <c r="AE66" s="42"/>
      <c r="AF66" s="42"/>
      <c r="AG66" s="42"/>
    </row>
    <row r="67" spans="1:34" s="50" customFormat="1" x14ac:dyDescent="0.3">
      <c r="A67" s="3"/>
      <c r="B67" s="50" t="s">
        <v>68</v>
      </c>
      <c r="C67" s="51"/>
      <c r="D67" s="51">
        <f>D52-SUM(D55:D66)</f>
        <v>-1583.075030949115</v>
      </c>
      <c r="E67" s="51">
        <f t="shared" ref="E67:AB67" si="14">E52-SUM(E55:E66)</f>
        <v>-1262.9493371892313</v>
      </c>
      <c r="F67" s="51">
        <f t="shared" si="14"/>
        <v>-941.15501001586654</v>
      </c>
      <c r="G67" s="51">
        <f t="shared" si="14"/>
        <v>-294.59527995868211</v>
      </c>
      <c r="H67" s="51">
        <f t="shared" si="14"/>
        <v>38.702238028858119</v>
      </c>
      <c r="I67" s="51">
        <f t="shared" si="14"/>
        <v>373.960555165816</v>
      </c>
      <c r="J67" s="51">
        <f t="shared" si="14"/>
        <v>711.21581960977801</v>
      </c>
      <c r="K67" s="51">
        <f t="shared" si="14"/>
        <v>1050.5048273948123</v>
      </c>
      <c r="L67" s="51">
        <f t="shared" si="14"/>
        <v>1391.8650335438315</v>
      </c>
      <c r="M67" s="51">
        <f t="shared" si="14"/>
        <v>1735.3345633576773</v>
      </c>
      <c r="N67" s="51">
        <f t="shared" si="14"/>
        <v>2560.952223883377</v>
      </c>
      <c r="O67" s="51">
        <f t="shared" si="14"/>
        <v>2908.7575155640006</v>
      </c>
      <c r="P67" s="51">
        <f t="shared" si="14"/>
        <v>3258.7906440725465</v>
      </c>
      <c r="Q67" s="51">
        <f t="shared" si="14"/>
        <v>3611.09253233237</v>
      </c>
      <c r="R67" s="51">
        <f t="shared" si="14"/>
        <v>3965.7048327265779</v>
      </c>
      <c r="S67" s="51">
        <f t="shared" si="14"/>
        <v>6866.6699394989755</v>
      </c>
      <c r="T67" s="51">
        <f t="shared" si="14"/>
        <v>6997.0710013490261</v>
      </c>
      <c r="U67" s="51">
        <f t="shared" si="14"/>
        <v>7129.9119342234035</v>
      </c>
      <c r="V67" s="51">
        <f t="shared" si="14"/>
        <v>7265.2374343067277</v>
      </c>
      <c r="W67" s="51">
        <f t="shared" si="14"/>
        <v>7403.0929912139718</v>
      </c>
      <c r="X67" s="51">
        <f t="shared" si="14"/>
        <v>7543.5249013872563</v>
      </c>
      <c r="Y67" s="51">
        <f t="shared" si="14"/>
        <v>7686.5802816995574</v>
      </c>
      <c r="Z67" s="51">
        <f t="shared" si="14"/>
        <v>7832.3070832679969</v>
      </c>
      <c r="AA67" s="51">
        <f t="shared" si="14"/>
        <v>7980.754105479351</v>
      </c>
      <c r="AB67" s="51">
        <f t="shared" si="14"/>
        <v>8131.9710102304416</v>
      </c>
      <c r="AC67" s="51"/>
      <c r="AD67" s="51"/>
      <c r="AE67" s="51"/>
      <c r="AF67" s="51"/>
      <c r="AG67" s="51"/>
      <c r="AH67" s="51">
        <f>AH52-SUM(AH55:AH61)</f>
        <v>0</v>
      </c>
    </row>
    <row r="68" spans="1:34" x14ac:dyDescent="0.3">
      <c r="C68" s="52"/>
      <c r="D68" s="52">
        <v>0</v>
      </c>
      <c r="E68" s="52">
        <f t="shared" ref="E68:AB68" si="15">IF(ISERR(E67/E52),"n/a",E67/E52)</f>
        <v>-0.2066083974145527</v>
      </c>
      <c r="F68" s="52">
        <f t="shared" si="15"/>
        <v>-0.15096499329129062</v>
      </c>
      <c r="G68" s="52">
        <f t="shared" si="15"/>
        <v>-4.6333374532402945E-2</v>
      </c>
      <c r="H68" s="52">
        <f t="shared" si="15"/>
        <v>5.9683911944136423E-3</v>
      </c>
      <c r="I68" s="52">
        <f t="shared" si="15"/>
        <v>5.654576071289602E-2</v>
      </c>
      <c r="J68" s="52">
        <f t="shared" si="15"/>
        <v>0.10544566186442979</v>
      </c>
      <c r="K68" s="52">
        <f t="shared" si="15"/>
        <v>0.15271384623118964</v>
      </c>
      <c r="L68" s="52">
        <f t="shared" si="15"/>
        <v>0.19839491714893101</v>
      </c>
      <c r="M68" s="52">
        <f t="shared" si="15"/>
        <v>0.24253235707462287</v>
      </c>
      <c r="N68" s="52">
        <f t="shared" si="15"/>
        <v>0.35094656907276295</v>
      </c>
      <c r="O68" s="52">
        <f t="shared" si="15"/>
        <v>0.39084098288390884</v>
      </c>
      <c r="P68" s="52">
        <f t="shared" si="15"/>
        <v>0.42934073260363143</v>
      </c>
      <c r="Q68" s="52">
        <f t="shared" si="15"/>
        <v>0.46648459163599654</v>
      </c>
      <c r="R68" s="52">
        <f t="shared" si="15"/>
        <v>0.50231034965064048</v>
      </c>
      <c r="S68" s="52">
        <f t="shared" si="15"/>
        <v>0.85280741234569002</v>
      </c>
      <c r="T68" s="52">
        <f t="shared" si="15"/>
        <v>0.85206775110119615</v>
      </c>
      <c r="U68" s="52">
        <f t="shared" si="15"/>
        <v>0.85132437296602625</v>
      </c>
      <c r="V68" s="52">
        <f t="shared" si="15"/>
        <v>0.85057725926233796</v>
      </c>
      <c r="W68" s="52">
        <f t="shared" si="15"/>
        <v>0.84982639121843007</v>
      </c>
      <c r="X68" s="52">
        <f t="shared" si="15"/>
        <v>0.84907174996827151</v>
      </c>
      <c r="Y68" s="52">
        <f t="shared" si="15"/>
        <v>0.8483133165510266</v>
      </c>
      <c r="Z68" s="52">
        <f t="shared" si="15"/>
        <v>0.84755107191057943</v>
      </c>
      <c r="AA68" s="52">
        <f t="shared" si="15"/>
        <v>0.84678499689505471</v>
      </c>
      <c r="AB68" s="52">
        <f t="shared" si="15"/>
        <v>0.84601507225633643</v>
      </c>
      <c r="AC68" s="52"/>
      <c r="AD68" s="52"/>
      <c r="AE68" s="52"/>
      <c r="AF68" s="52"/>
      <c r="AG68" s="52"/>
    </row>
    <row r="69" spans="1:34" x14ac:dyDescent="0.3">
      <c r="C69" s="52"/>
      <c r="D69" s="52"/>
      <c r="E69" s="52"/>
      <c r="F69" s="52"/>
      <c r="G69" s="52"/>
      <c r="H69" s="52"/>
      <c r="I69" s="52"/>
      <c r="J69" s="52"/>
      <c r="K69" s="52"/>
      <c r="L69" s="52"/>
      <c r="M69" s="52"/>
      <c r="N69" s="52"/>
      <c r="O69" s="52"/>
      <c r="P69" s="52"/>
      <c r="Q69" s="52"/>
      <c r="R69" s="52"/>
      <c r="S69" s="52"/>
      <c r="T69" s="52"/>
      <c r="U69" s="52"/>
      <c r="V69" s="52"/>
      <c r="W69" s="52"/>
      <c r="X69" s="52"/>
      <c r="Y69" s="52"/>
      <c r="Z69" s="52"/>
      <c r="AA69" s="52"/>
      <c r="AB69" s="52"/>
      <c r="AC69" s="52"/>
      <c r="AD69" s="52"/>
      <c r="AE69" s="52"/>
      <c r="AF69" s="52"/>
      <c r="AG69" s="52"/>
    </row>
    <row r="70" spans="1:34" x14ac:dyDescent="0.3">
      <c r="B70" t="s">
        <v>69</v>
      </c>
      <c r="C70" s="53"/>
      <c r="D70" s="53">
        <f t="shared" ref="D70:AB70" si="16">(D71+D74+D78)*(D42&lt;=$C$19)</f>
        <v>1526.4</v>
      </c>
      <c r="E70" s="53">
        <f t="shared" si="16"/>
        <v>1526.4</v>
      </c>
      <c r="F70" s="53">
        <f t="shared" si="16"/>
        <v>1526.4</v>
      </c>
      <c r="G70" s="53">
        <f t="shared" si="16"/>
        <v>1526.4</v>
      </c>
      <c r="H70" s="53">
        <f t="shared" si="16"/>
        <v>1526.4</v>
      </c>
      <c r="I70" s="53">
        <f t="shared" si="16"/>
        <v>1526.4</v>
      </c>
      <c r="J70" s="53">
        <f t="shared" si="16"/>
        <v>1526.4</v>
      </c>
      <c r="K70" s="53">
        <f t="shared" si="16"/>
        <v>1526.4</v>
      </c>
      <c r="L70" s="53">
        <f t="shared" si="16"/>
        <v>1526.4</v>
      </c>
      <c r="M70" s="53">
        <f t="shared" si="16"/>
        <v>1526.4</v>
      </c>
      <c r="N70" s="53">
        <f t="shared" si="16"/>
        <v>1526.4</v>
      </c>
      <c r="O70" s="53">
        <f t="shared" si="16"/>
        <v>1526.4</v>
      </c>
      <c r="P70" s="53">
        <f t="shared" si="16"/>
        <v>1526.4</v>
      </c>
      <c r="Q70" s="53">
        <f t="shared" si="16"/>
        <v>1526.4</v>
      </c>
      <c r="R70" s="53">
        <f t="shared" si="16"/>
        <v>1526.4</v>
      </c>
      <c r="S70" s="53">
        <f t="shared" si="16"/>
        <v>1526.4</v>
      </c>
      <c r="T70" s="53">
        <f t="shared" si="16"/>
        <v>1526.4</v>
      </c>
      <c r="U70" s="53">
        <f t="shared" si="16"/>
        <v>1526.4</v>
      </c>
      <c r="V70" s="53">
        <f t="shared" si="16"/>
        <v>1526.4</v>
      </c>
      <c r="W70" s="53">
        <f t="shared" si="16"/>
        <v>1526.4</v>
      </c>
      <c r="X70" s="53">
        <f t="shared" si="16"/>
        <v>1526.4</v>
      </c>
      <c r="Y70" s="53">
        <f t="shared" si="16"/>
        <v>1526.4</v>
      </c>
      <c r="Z70" s="53">
        <f t="shared" si="16"/>
        <v>1526.4</v>
      </c>
      <c r="AA70" s="53">
        <f t="shared" si="16"/>
        <v>1526.4</v>
      </c>
      <c r="AB70" s="53">
        <f t="shared" si="16"/>
        <v>1526.3999999999824</v>
      </c>
      <c r="AC70" s="53"/>
      <c r="AD70" s="53"/>
      <c r="AE70" s="53"/>
      <c r="AF70" s="53"/>
      <c r="AG70" s="53"/>
    </row>
    <row r="71" spans="1:34" s="54" customFormat="1" outlineLevel="1" x14ac:dyDescent="0.3">
      <c r="B71" s="54" t="s">
        <v>70</v>
      </c>
      <c r="C71" s="55"/>
      <c r="D71" s="55">
        <f t="shared" ref="D71:AB71" si="17">MIN(D72,$D$72/$H$28)</f>
        <v>1526.4</v>
      </c>
      <c r="E71" s="55">
        <f t="shared" si="17"/>
        <v>1526.4</v>
      </c>
      <c r="F71" s="55">
        <f t="shared" si="17"/>
        <v>1526.4</v>
      </c>
      <c r="G71" s="55">
        <f t="shared" si="17"/>
        <v>1526.4</v>
      </c>
      <c r="H71" s="55">
        <f t="shared" si="17"/>
        <v>1526.4</v>
      </c>
      <c r="I71" s="55">
        <f t="shared" si="17"/>
        <v>1526.4</v>
      </c>
      <c r="J71" s="55">
        <f t="shared" si="17"/>
        <v>1526.4</v>
      </c>
      <c r="K71" s="55">
        <f t="shared" si="17"/>
        <v>1526.4</v>
      </c>
      <c r="L71" s="55">
        <f t="shared" si="17"/>
        <v>1526.4</v>
      </c>
      <c r="M71" s="55">
        <f t="shared" si="17"/>
        <v>1526.4</v>
      </c>
      <c r="N71" s="55">
        <f t="shared" si="17"/>
        <v>1526.4</v>
      </c>
      <c r="O71" s="55">
        <f t="shared" si="17"/>
        <v>1526.4</v>
      </c>
      <c r="P71" s="55">
        <f t="shared" si="17"/>
        <v>1526.4</v>
      </c>
      <c r="Q71" s="55">
        <f t="shared" si="17"/>
        <v>1526.4</v>
      </c>
      <c r="R71" s="55">
        <f t="shared" si="17"/>
        <v>1526.4</v>
      </c>
      <c r="S71" s="55">
        <f t="shared" si="17"/>
        <v>1526.4</v>
      </c>
      <c r="T71" s="55">
        <f t="shared" si="17"/>
        <v>1526.4</v>
      </c>
      <c r="U71" s="55">
        <f t="shared" si="17"/>
        <v>1526.4</v>
      </c>
      <c r="V71" s="55">
        <f t="shared" si="17"/>
        <v>1526.4</v>
      </c>
      <c r="W71" s="55">
        <f t="shared" si="17"/>
        <v>1526.4</v>
      </c>
      <c r="X71" s="55">
        <f t="shared" si="17"/>
        <v>1526.4</v>
      </c>
      <c r="Y71" s="55">
        <f t="shared" si="17"/>
        <v>1526.4</v>
      </c>
      <c r="Z71" s="55">
        <f t="shared" si="17"/>
        <v>1526.4</v>
      </c>
      <c r="AA71" s="55">
        <f t="shared" si="17"/>
        <v>1526.4</v>
      </c>
      <c r="AB71" s="55">
        <f t="shared" si="17"/>
        <v>1526.3999999999824</v>
      </c>
      <c r="AC71" s="55"/>
      <c r="AD71" s="55"/>
      <c r="AE71" s="55"/>
      <c r="AF71" s="55"/>
      <c r="AG71" s="55"/>
    </row>
    <row r="72" spans="1:34" s="54" customFormat="1" outlineLevel="1" x14ac:dyDescent="0.3">
      <c r="B72" s="54" t="s">
        <v>71</v>
      </c>
      <c r="C72" s="56"/>
      <c r="D72" s="56">
        <f>C127*$H$29</f>
        <v>38160</v>
      </c>
      <c r="E72" s="57">
        <f>D73</f>
        <v>36633.599999999999</v>
      </c>
      <c r="F72" s="57">
        <f t="shared" ref="F72:AB72" si="18">E73</f>
        <v>35107.199999999997</v>
      </c>
      <c r="G72" s="57">
        <f t="shared" si="18"/>
        <v>33580.799999999996</v>
      </c>
      <c r="H72" s="57">
        <f t="shared" si="18"/>
        <v>32054.399999999994</v>
      </c>
      <c r="I72" s="57">
        <f t="shared" si="18"/>
        <v>30527.999999999993</v>
      </c>
      <c r="J72" s="57">
        <f t="shared" si="18"/>
        <v>29001.599999999991</v>
      </c>
      <c r="K72" s="57">
        <f>J73</f>
        <v>27475.19999999999</v>
      </c>
      <c r="L72" s="57">
        <f t="shared" si="18"/>
        <v>25948.799999999988</v>
      </c>
      <c r="M72" s="57">
        <f t="shared" si="18"/>
        <v>24422.399999999987</v>
      </c>
      <c r="N72" s="57">
        <f t="shared" si="18"/>
        <v>22895.999999999985</v>
      </c>
      <c r="O72" s="57">
        <f>N73</f>
        <v>21369.599999999984</v>
      </c>
      <c r="P72" s="57">
        <f t="shared" si="18"/>
        <v>19843.199999999983</v>
      </c>
      <c r="Q72" s="57">
        <f t="shared" si="18"/>
        <v>18316.799999999981</v>
      </c>
      <c r="R72" s="57">
        <f t="shared" si="18"/>
        <v>16790.39999999998</v>
      </c>
      <c r="S72" s="57">
        <f t="shared" si="18"/>
        <v>15263.99999999998</v>
      </c>
      <c r="T72" s="57">
        <f t="shared" si="18"/>
        <v>13737.59999999998</v>
      </c>
      <c r="U72" s="57">
        <f t="shared" si="18"/>
        <v>12211.199999999981</v>
      </c>
      <c r="V72" s="57">
        <f t="shared" si="18"/>
        <v>10684.799999999981</v>
      </c>
      <c r="W72" s="57">
        <f t="shared" si="18"/>
        <v>9158.3999999999814</v>
      </c>
      <c r="X72" s="57">
        <f t="shared" si="18"/>
        <v>7631.9999999999818</v>
      </c>
      <c r="Y72" s="57">
        <f t="shared" si="18"/>
        <v>6105.5999999999822</v>
      </c>
      <c r="Z72" s="57">
        <f t="shared" si="18"/>
        <v>4579.1999999999825</v>
      </c>
      <c r="AA72" s="57">
        <f t="shared" si="18"/>
        <v>3052.7999999999824</v>
      </c>
      <c r="AB72" s="57">
        <f t="shared" si="18"/>
        <v>1526.3999999999824</v>
      </c>
      <c r="AC72" s="57"/>
      <c r="AD72" s="57"/>
      <c r="AE72" s="57"/>
      <c r="AF72" s="57"/>
      <c r="AG72" s="57"/>
    </row>
    <row r="73" spans="1:34" s="54" customFormat="1" outlineLevel="1" x14ac:dyDescent="0.3">
      <c r="B73" s="54" t="s">
        <v>72</v>
      </c>
      <c r="C73" s="57"/>
      <c r="D73" s="57">
        <f>D72-D71</f>
        <v>36633.599999999999</v>
      </c>
      <c r="E73" s="57">
        <f>E72-E71</f>
        <v>35107.199999999997</v>
      </c>
      <c r="F73" s="57">
        <f t="shared" ref="F73:AB73" si="19">F72-F71</f>
        <v>33580.799999999996</v>
      </c>
      <c r="G73" s="57">
        <f t="shared" si="19"/>
        <v>32054.399999999994</v>
      </c>
      <c r="H73" s="57">
        <f t="shared" si="19"/>
        <v>30527.999999999993</v>
      </c>
      <c r="I73" s="57">
        <f t="shared" si="19"/>
        <v>29001.599999999991</v>
      </c>
      <c r="J73" s="57">
        <f t="shared" si="19"/>
        <v>27475.19999999999</v>
      </c>
      <c r="K73" s="57">
        <f t="shared" si="19"/>
        <v>25948.799999999988</v>
      </c>
      <c r="L73" s="57">
        <f t="shared" si="19"/>
        <v>24422.399999999987</v>
      </c>
      <c r="M73" s="57">
        <f t="shared" si="19"/>
        <v>22895.999999999985</v>
      </c>
      <c r="N73" s="57">
        <f t="shared" si="19"/>
        <v>21369.599999999984</v>
      </c>
      <c r="O73" s="57">
        <f t="shared" si="19"/>
        <v>19843.199999999983</v>
      </c>
      <c r="P73" s="57">
        <f t="shared" si="19"/>
        <v>18316.799999999981</v>
      </c>
      <c r="Q73" s="57">
        <f t="shared" si="19"/>
        <v>16790.39999999998</v>
      </c>
      <c r="R73" s="57">
        <f t="shared" si="19"/>
        <v>15263.99999999998</v>
      </c>
      <c r="S73" s="57">
        <f t="shared" si="19"/>
        <v>13737.59999999998</v>
      </c>
      <c r="T73" s="57">
        <f t="shared" si="19"/>
        <v>12211.199999999981</v>
      </c>
      <c r="U73" s="57">
        <f t="shared" si="19"/>
        <v>10684.799999999981</v>
      </c>
      <c r="V73" s="57">
        <f t="shared" si="19"/>
        <v>9158.3999999999814</v>
      </c>
      <c r="W73" s="57">
        <f t="shared" si="19"/>
        <v>7631.9999999999818</v>
      </c>
      <c r="X73" s="57">
        <f t="shared" si="19"/>
        <v>6105.5999999999822</v>
      </c>
      <c r="Y73" s="57">
        <f t="shared" si="19"/>
        <v>4579.1999999999825</v>
      </c>
      <c r="Z73" s="57">
        <f t="shared" si="19"/>
        <v>3052.7999999999824</v>
      </c>
      <c r="AA73" s="57">
        <f t="shared" si="19"/>
        <v>1526.3999999999824</v>
      </c>
      <c r="AB73" s="57">
        <f t="shared" si="19"/>
        <v>0</v>
      </c>
      <c r="AC73" s="57"/>
      <c r="AD73" s="57"/>
      <c r="AE73" s="57"/>
      <c r="AF73" s="57"/>
      <c r="AG73" s="57"/>
    </row>
    <row r="74" spans="1:34" s="54" customFormat="1" outlineLevel="1" x14ac:dyDescent="0.3">
      <c r="B74" s="58" t="s">
        <v>73</v>
      </c>
      <c r="C74" s="57"/>
      <c r="D74" s="57">
        <f t="shared" ref="D74:AB74" si="20">IF(D76&gt;0,MIN(D76,$H$11/$H$30),0)</f>
        <v>0</v>
      </c>
      <c r="E74" s="57">
        <f t="shared" si="20"/>
        <v>0</v>
      </c>
      <c r="F74" s="57">
        <f t="shared" si="20"/>
        <v>0</v>
      </c>
      <c r="G74" s="57">
        <f t="shared" si="20"/>
        <v>0</v>
      </c>
      <c r="H74" s="57">
        <f t="shared" si="20"/>
        <v>0</v>
      </c>
      <c r="I74" s="57">
        <f t="shared" si="20"/>
        <v>0</v>
      </c>
      <c r="J74" s="57">
        <f t="shared" si="20"/>
        <v>0</v>
      </c>
      <c r="K74" s="57">
        <f t="shared" si="20"/>
        <v>0</v>
      </c>
      <c r="L74" s="57">
        <f t="shared" si="20"/>
        <v>0</v>
      </c>
      <c r="M74" s="57">
        <f t="shared" si="20"/>
        <v>0</v>
      </c>
      <c r="N74" s="57">
        <f t="shared" si="20"/>
        <v>0</v>
      </c>
      <c r="O74" s="57">
        <f t="shared" si="20"/>
        <v>0</v>
      </c>
      <c r="P74" s="57">
        <f t="shared" si="20"/>
        <v>0</v>
      </c>
      <c r="Q74" s="57">
        <f t="shared" si="20"/>
        <v>0</v>
      </c>
      <c r="R74" s="57">
        <f t="shared" si="20"/>
        <v>0</v>
      </c>
      <c r="S74" s="57">
        <f t="shared" si="20"/>
        <v>0</v>
      </c>
      <c r="T74" s="57">
        <f t="shared" si="20"/>
        <v>0</v>
      </c>
      <c r="U74" s="57">
        <f t="shared" si="20"/>
        <v>0</v>
      </c>
      <c r="V74" s="57">
        <f t="shared" si="20"/>
        <v>0</v>
      </c>
      <c r="W74" s="57">
        <f t="shared" si="20"/>
        <v>0</v>
      </c>
      <c r="X74" s="57">
        <f t="shared" si="20"/>
        <v>0</v>
      </c>
      <c r="Y74" s="57">
        <f t="shared" si="20"/>
        <v>0</v>
      </c>
      <c r="Z74" s="57">
        <f t="shared" si="20"/>
        <v>0</v>
      </c>
      <c r="AA74" s="57">
        <f t="shared" si="20"/>
        <v>0</v>
      </c>
      <c r="AB74" s="57">
        <f t="shared" si="20"/>
        <v>0</v>
      </c>
      <c r="AC74" s="57"/>
      <c r="AD74" s="57"/>
      <c r="AE74" s="57"/>
      <c r="AF74" s="57"/>
      <c r="AG74" s="57"/>
    </row>
    <row r="76" spans="1:34" s="54" customFormat="1" outlineLevel="1" x14ac:dyDescent="0.3">
      <c r="B76" s="54" t="s">
        <v>71</v>
      </c>
      <c r="C76" s="57"/>
      <c r="D76" s="57">
        <f t="shared" ref="D76:AB76" si="21">IF(D133&gt;0,D133*$H$31,C77)</f>
        <v>0</v>
      </c>
      <c r="E76" s="57">
        <f t="shared" si="21"/>
        <v>0</v>
      </c>
      <c r="F76" s="57">
        <f t="shared" si="21"/>
        <v>0</v>
      </c>
      <c r="G76" s="57">
        <f t="shared" si="21"/>
        <v>0</v>
      </c>
      <c r="H76" s="57">
        <f t="shared" si="21"/>
        <v>0</v>
      </c>
      <c r="I76" s="57">
        <f t="shared" si="21"/>
        <v>0</v>
      </c>
      <c r="J76" s="57">
        <f t="shared" si="21"/>
        <v>0</v>
      </c>
      <c r="K76" s="57">
        <f t="shared" si="21"/>
        <v>0</v>
      </c>
      <c r="L76" s="57">
        <f t="shared" si="21"/>
        <v>0</v>
      </c>
      <c r="M76" s="57">
        <f t="shared" si="21"/>
        <v>0</v>
      </c>
      <c r="N76" s="57">
        <f t="shared" si="21"/>
        <v>0</v>
      </c>
      <c r="O76" s="57">
        <f t="shared" si="21"/>
        <v>0</v>
      </c>
      <c r="P76" s="57">
        <f t="shared" si="21"/>
        <v>0</v>
      </c>
      <c r="Q76" s="57">
        <f t="shared" si="21"/>
        <v>0</v>
      </c>
      <c r="R76" s="57">
        <f t="shared" si="21"/>
        <v>0</v>
      </c>
      <c r="S76" s="57">
        <f t="shared" si="21"/>
        <v>0</v>
      </c>
      <c r="T76" s="57">
        <f t="shared" si="21"/>
        <v>0</v>
      </c>
      <c r="U76" s="57">
        <f t="shared" si="21"/>
        <v>0</v>
      </c>
      <c r="V76" s="57">
        <f t="shared" si="21"/>
        <v>0</v>
      </c>
      <c r="W76" s="57">
        <f t="shared" si="21"/>
        <v>0</v>
      </c>
      <c r="X76" s="57">
        <f t="shared" si="21"/>
        <v>0</v>
      </c>
      <c r="Y76" s="57">
        <f t="shared" si="21"/>
        <v>0</v>
      </c>
      <c r="Z76" s="57">
        <f t="shared" si="21"/>
        <v>0</v>
      </c>
      <c r="AA76" s="57">
        <f t="shared" si="21"/>
        <v>0</v>
      </c>
      <c r="AB76" s="57">
        <f t="shared" si="21"/>
        <v>0</v>
      </c>
      <c r="AC76" s="57"/>
      <c r="AD76" s="57"/>
      <c r="AE76" s="57"/>
      <c r="AF76" s="57"/>
      <c r="AG76" s="57"/>
    </row>
    <row r="77" spans="1:34" s="54" customFormat="1" outlineLevel="1" x14ac:dyDescent="0.3">
      <c r="B77" s="54" t="s">
        <v>72</v>
      </c>
      <c r="C77" s="57"/>
      <c r="D77" s="57">
        <f>D76-D74</f>
        <v>0</v>
      </c>
      <c r="E77" s="57">
        <f t="shared" ref="E77:AB77" si="22">E76-E74</f>
        <v>0</v>
      </c>
      <c r="F77" s="57">
        <f t="shared" si="22"/>
        <v>0</v>
      </c>
      <c r="G77" s="57">
        <f t="shared" si="22"/>
        <v>0</v>
      </c>
      <c r="H77" s="57">
        <f t="shared" si="22"/>
        <v>0</v>
      </c>
      <c r="I77" s="57">
        <f t="shared" si="22"/>
        <v>0</v>
      </c>
      <c r="J77" s="57">
        <f t="shared" si="22"/>
        <v>0</v>
      </c>
      <c r="K77" s="57">
        <f t="shared" si="22"/>
        <v>0</v>
      </c>
      <c r="L77" s="57">
        <f t="shared" si="22"/>
        <v>0</v>
      </c>
      <c r="M77" s="57">
        <f t="shared" si="22"/>
        <v>0</v>
      </c>
      <c r="N77" s="57">
        <f t="shared" si="22"/>
        <v>0</v>
      </c>
      <c r="O77" s="57">
        <f t="shared" si="22"/>
        <v>0</v>
      </c>
      <c r="P77" s="57">
        <f t="shared" si="22"/>
        <v>0</v>
      </c>
      <c r="Q77" s="57">
        <f t="shared" si="22"/>
        <v>0</v>
      </c>
      <c r="R77" s="57">
        <f t="shared" si="22"/>
        <v>0</v>
      </c>
      <c r="S77" s="57">
        <f t="shared" si="22"/>
        <v>0</v>
      </c>
      <c r="T77" s="57">
        <f t="shared" si="22"/>
        <v>0</v>
      </c>
      <c r="U77" s="57">
        <f t="shared" si="22"/>
        <v>0</v>
      </c>
      <c r="V77" s="57">
        <f t="shared" si="22"/>
        <v>0</v>
      </c>
      <c r="W77" s="57">
        <f t="shared" si="22"/>
        <v>0</v>
      </c>
      <c r="X77" s="57">
        <f t="shared" si="22"/>
        <v>0</v>
      </c>
      <c r="Y77" s="57">
        <f t="shared" si="22"/>
        <v>0</v>
      </c>
      <c r="Z77" s="57">
        <f t="shared" si="22"/>
        <v>0</v>
      </c>
      <c r="AA77" s="57">
        <f t="shared" si="22"/>
        <v>0</v>
      </c>
      <c r="AB77" s="57">
        <f t="shared" si="22"/>
        <v>0</v>
      </c>
      <c r="AC77" s="57"/>
      <c r="AD77" s="57"/>
      <c r="AE77" s="57"/>
      <c r="AF77" s="57"/>
      <c r="AG77" s="57"/>
    </row>
    <row r="78" spans="1:34" s="54" customFormat="1" outlineLevel="1" x14ac:dyDescent="0.3">
      <c r="B78" s="58" t="s">
        <v>74</v>
      </c>
      <c r="C78" s="57"/>
      <c r="D78" s="57">
        <f>IF(D80&gt;0,MIN(D80,$H$13/$H$30),0)</f>
        <v>0</v>
      </c>
      <c r="E78" s="57">
        <f t="shared" ref="E78:AB78" si="23">IF(E80&gt;0,MIN(E80,$H$13/$H$28),0)</f>
        <v>0</v>
      </c>
      <c r="F78" s="57">
        <f t="shared" si="23"/>
        <v>0</v>
      </c>
      <c r="G78" s="57">
        <f t="shared" si="23"/>
        <v>0</v>
      </c>
      <c r="H78" s="57">
        <f t="shared" si="23"/>
        <v>0</v>
      </c>
      <c r="I78" s="57">
        <f t="shared" si="23"/>
        <v>0</v>
      </c>
      <c r="J78" s="57">
        <f t="shared" si="23"/>
        <v>0</v>
      </c>
      <c r="K78" s="57">
        <f t="shared" si="23"/>
        <v>0</v>
      </c>
      <c r="L78" s="57">
        <f t="shared" si="23"/>
        <v>0</v>
      </c>
      <c r="M78" s="57">
        <f t="shared" si="23"/>
        <v>0</v>
      </c>
      <c r="N78" s="57">
        <f t="shared" si="23"/>
        <v>0</v>
      </c>
      <c r="O78" s="57">
        <f t="shared" si="23"/>
        <v>0</v>
      </c>
      <c r="P78" s="57">
        <f t="shared" si="23"/>
        <v>0</v>
      </c>
      <c r="Q78" s="57">
        <f t="shared" si="23"/>
        <v>0</v>
      </c>
      <c r="R78" s="57">
        <f t="shared" si="23"/>
        <v>0</v>
      </c>
      <c r="S78" s="57">
        <f t="shared" si="23"/>
        <v>0</v>
      </c>
      <c r="T78" s="57">
        <f t="shared" si="23"/>
        <v>0</v>
      </c>
      <c r="U78" s="57">
        <f t="shared" si="23"/>
        <v>0</v>
      </c>
      <c r="V78" s="57">
        <f t="shared" si="23"/>
        <v>0</v>
      </c>
      <c r="W78" s="57">
        <f t="shared" si="23"/>
        <v>0</v>
      </c>
      <c r="X78" s="57">
        <f t="shared" si="23"/>
        <v>0</v>
      </c>
      <c r="Y78" s="57">
        <f t="shared" si="23"/>
        <v>0</v>
      </c>
      <c r="Z78" s="57">
        <f t="shared" si="23"/>
        <v>0</v>
      </c>
      <c r="AA78" s="57">
        <f t="shared" si="23"/>
        <v>0</v>
      </c>
      <c r="AB78" s="57">
        <f t="shared" si="23"/>
        <v>0</v>
      </c>
      <c r="AC78" s="57"/>
      <c r="AD78" s="57"/>
      <c r="AE78" s="57"/>
      <c r="AF78" s="57"/>
      <c r="AG78" s="57"/>
    </row>
    <row r="79" spans="1:34" s="54" customFormat="1" outlineLevel="1" x14ac:dyDescent="0.3">
      <c r="B79" s="58" t="s">
        <v>75</v>
      </c>
      <c r="C79" s="57"/>
      <c r="D79" s="57">
        <f t="shared" ref="D79:AB79" si="24">IF(D$42=$H$14,$H$13,0)</f>
        <v>0</v>
      </c>
      <c r="E79" s="57">
        <f t="shared" si="24"/>
        <v>0</v>
      </c>
      <c r="F79" s="57">
        <f t="shared" si="24"/>
        <v>0</v>
      </c>
      <c r="G79" s="57">
        <f t="shared" si="24"/>
        <v>0</v>
      </c>
      <c r="H79" s="57">
        <f t="shared" si="24"/>
        <v>0</v>
      </c>
      <c r="I79" s="57">
        <f t="shared" si="24"/>
        <v>0</v>
      </c>
      <c r="J79" s="57">
        <f t="shared" si="24"/>
        <v>0</v>
      </c>
      <c r="K79" s="57">
        <f t="shared" si="24"/>
        <v>0</v>
      </c>
      <c r="L79" s="57">
        <f t="shared" si="24"/>
        <v>0</v>
      </c>
      <c r="M79" s="57">
        <f t="shared" si="24"/>
        <v>0</v>
      </c>
      <c r="N79" s="57">
        <f t="shared" si="24"/>
        <v>0</v>
      </c>
      <c r="O79" s="57">
        <f t="shared" si="24"/>
        <v>0</v>
      </c>
      <c r="P79" s="57">
        <f t="shared" si="24"/>
        <v>0</v>
      </c>
      <c r="Q79" s="57">
        <f t="shared" si="24"/>
        <v>0</v>
      </c>
      <c r="R79" s="57">
        <f t="shared" si="24"/>
        <v>0</v>
      </c>
      <c r="S79" s="57">
        <f t="shared" si="24"/>
        <v>0</v>
      </c>
      <c r="T79" s="57">
        <f t="shared" si="24"/>
        <v>0</v>
      </c>
      <c r="U79" s="57">
        <f t="shared" si="24"/>
        <v>0</v>
      </c>
      <c r="V79" s="57">
        <f t="shared" si="24"/>
        <v>0</v>
      </c>
      <c r="W79" s="57">
        <f t="shared" si="24"/>
        <v>0</v>
      </c>
      <c r="X79" s="57">
        <f t="shared" si="24"/>
        <v>0</v>
      </c>
      <c r="Y79" s="57">
        <f t="shared" si="24"/>
        <v>0</v>
      </c>
      <c r="Z79" s="57">
        <f t="shared" si="24"/>
        <v>0</v>
      </c>
      <c r="AA79" s="57">
        <f t="shared" si="24"/>
        <v>0</v>
      </c>
      <c r="AB79" s="57">
        <f t="shared" si="24"/>
        <v>0</v>
      </c>
      <c r="AC79" s="57"/>
      <c r="AD79" s="57"/>
      <c r="AE79" s="57"/>
      <c r="AF79" s="57"/>
      <c r="AG79" s="57"/>
    </row>
    <row r="80" spans="1:34" s="54" customFormat="1" outlineLevel="1" x14ac:dyDescent="0.3">
      <c r="B80" s="54" t="s">
        <v>71</v>
      </c>
      <c r="C80" s="57"/>
      <c r="D80" s="57">
        <f t="shared" ref="D80:AB80" si="25">IF(D79&gt;0,D79*$I$31,C81)</f>
        <v>0</v>
      </c>
      <c r="E80" s="57">
        <f t="shared" si="25"/>
        <v>0</v>
      </c>
      <c r="F80" s="57">
        <f t="shared" si="25"/>
        <v>0</v>
      </c>
      <c r="G80" s="57">
        <f t="shared" si="25"/>
        <v>0</v>
      </c>
      <c r="H80" s="57">
        <f t="shared" si="25"/>
        <v>0</v>
      </c>
      <c r="I80" s="57">
        <f t="shared" si="25"/>
        <v>0</v>
      </c>
      <c r="J80" s="57">
        <f t="shared" si="25"/>
        <v>0</v>
      </c>
      <c r="K80" s="57">
        <f t="shared" si="25"/>
        <v>0</v>
      </c>
      <c r="L80" s="57">
        <f t="shared" si="25"/>
        <v>0</v>
      </c>
      <c r="M80" s="57">
        <f t="shared" si="25"/>
        <v>0</v>
      </c>
      <c r="N80" s="57">
        <f t="shared" si="25"/>
        <v>0</v>
      </c>
      <c r="O80" s="57">
        <f t="shared" si="25"/>
        <v>0</v>
      </c>
      <c r="P80" s="57">
        <f t="shared" si="25"/>
        <v>0</v>
      </c>
      <c r="Q80" s="57">
        <f t="shared" si="25"/>
        <v>0</v>
      </c>
      <c r="R80" s="57">
        <f t="shared" si="25"/>
        <v>0</v>
      </c>
      <c r="S80" s="57">
        <f t="shared" si="25"/>
        <v>0</v>
      </c>
      <c r="T80" s="57">
        <f t="shared" si="25"/>
        <v>0</v>
      </c>
      <c r="U80" s="57">
        <f t="shared" si="25"/>
        <v>0</v>
      </c>
      <c r="V80" s="57">
        <f t="shared" si="25"/>
        <v>0</v>
      </c>
      <c r="W80" s="57">
        <f t="shared" si="25"/>
        <v>0</v>
      </c>
      <c r="X80" s="57">
        <f t="shared" si="25"/>
        <v>0</v>
      </c>
      <c r="Y80" s="57">
        <f t="shared" si="25"/>
        <v>0</v>
      </c>
      <c r="Z80" s="57">
        <f t="shared" si="25"/>
        <v>0</v>
      </c>
      <c r="AA80" s="57">
        <f t="shared" si="25"/>
        <v>0</v>
      </c>
      <c r="AB80" s="57">
        <f t="shared" si="25"/>
        <v>0</v>
      </c>
      <c r="AC80" s="57"/>
      <c r="AD80" s="57"/>
      <c r="AE80" s="57"/>
      <c r="AF80" s="57"/>
      <c r="AG80" s="57"/>
    </row>
    <row r="81" spans="2:33" s="54" customFormat="1" outlineLevel="1" x14ac:dyDescent="0.3">
      <c r="B81" s="54" t="s">
        <v>72</v>
      </c>
      <c r="C81" s="57"/>
      <c r="D81" s="57">
        <f t="shared" ref="D81:AB81" si="26">D80-D78</f>
        <v>0</v>
      </c>
      <c r="E81" s="57">
        <f t="shared" si="26"/>
        <v>0</v>
      </c>
      <c r="F81" s="57">
        <f t="shared" si="26"/>
        <v>0</v>
      </c>
      <c r="G81" s="57">
        <f t="shared" si="26"/>
        <v>0</v>
      </c>
      <c r="H81" s="57">
        <f t="shared" si="26"/>
        <v>0</v>
      </c>
      <c r="I81" s="57">
        <f t="shared" si="26"/>
        <v>0</v>
      </c>
      <c r="J81" s="57">
        <f t="shared" si="26"/>
        <v>0</v>
      </c>
      <c r="K81" s="57">
        <f t="shared" si="26"/>
        <v>0</v>
      </c>
      <c r="L81" s="57">
        <f t="shared" si="26"/>
        <v>0</v>
      </c>
      <c r="M81" s="57">
        <f t="shared" si="26"/>
        <v>0</v>
      </c>
      <c r="N81" s="57">
        <f t="shared" si="26"/>
        <v>0</v>
      </c>
      <c r="O81" s="57">
        <f t="shared" si="26"/>
        <v>0</v>
      </c>
      <c r="P81" s="57">
        <f t="shared" si="26"/>
        <v>0</v>
      </c>
      <c r="Q81" s="57">
        <f t="shared" si="26"/>
        <v>0</v>
      </c>
      <c r="R81" s="57">
        <f t="shared" si="26"/>
        <v>0</v>
      </c>
      <c r="S81" s="57">
        <f t="shared" si="26"/>
        <v>0</v>
      </c>
      <c r="T81" s="57">
        <f t="shared" si="26"/>
        <v>0</v>
      </c>
      <c r="U81" s="57">
        <f t="shared" si="26"/>
        <v>0</v>
      </c>
      <c r="V81" s="57">
        <f t="shared" si="26"/>
        <v>0</v>
      </c>
      <c r="W81" s="57">
        <f t="shared" si="26"/>
        <v>0</v>
      </c>
      <c r="X81" s="57">
        <f t="shared" si="26"/>
        <v>0</v>
      </c>
      <c r="Y81" s="57">
        <f t="shared" si="26"/>
        <v>0</v>
      </c>
      <c r="Z81" s="57">
        <f t="shared" si="26"/>
        <v>0</v>
      </c>
      <c r="AA81" s="57">
        <f t="shared" si="26"/>
        <v>0</v>
      </c>
      <c r="AB81" s="57">
        <f t="shared" si="26"/>
        <v>0</v>
      </c>
      <c r="AC81" s="57"/>
      <c r="AD81" s="57"/>
      <c r="AE81" s="57"/>
      <c r="AF81" s="57"/>
      <c r="AG81" s="57"/>
    </row>
    <row r="82" spans="2:33" s="59" customFormat="1" outlineLevel="1" x14ac:dyDescent="0.3">
      <c r="C82" s="60"/>
      <c r="D82" s="60"/>
      <c r="E82" s="60"/>
      <c r="F82" s="60"/>
      <c r="G82" s="60"/>
      <c r="H82" s="60"/>
      <c r="I82" s="60"/>
      <c r="J82" s="60"/>
      <c r="K82" s="60"/>
      <c r="L82" s="60"/>
      <c r="M82" s="60"/>
      <c r="N82" s="60"/>
      <c r="O82" s="60"/>
      <c r="P82" s="60"/>
      <c r="Q82" s="60"/>
      <c r="R82" s="60"/>
      <c r="S82" s="60"/>
      <c r="T82" s="60"/>
      <c r="U82" s="60"/>
      <c r="V82" s="60"/>
      <c r="W82" s="60"/>
      <c r="X82" s="60"/>
      <c r="Y82" s="60"/>
      <c r="Z82" s="60"/>
      <c r="AA82" s="60"/>
      <c r="AB82" s="60"/>
      <c r="AC82" s="60"/>
      <c r="AD82" s="60"/>
      <c r="AE82" s="60"/>
      <c r="AF82" s="60"/>
      <c r="AG82" s="60"/>
    </row>
    <row r="83" spans="2:33" s="59" customFormat="1" x14ac:dyDescent="0.3">
      <c r="B83" t="s">
        <v>76</v>
      </c>
      <c r="C83" s="60"/>
      <c r="D83" s="53">
        <f t="shared" ref="D83:AB83" si="27">(D84+D87+D90)*(D42&lt;=$C$19)</f>
        <v>3052.8</v>
      </c>
      <c r="E83" s="53">
        <f t="shared" si="27"/>
        <v>3052.8</v>
      </c>
      <c r="F83" s="53">
        <f t="shared" si="27"/>
        <v>3052.8</v>
      </c>
      <c r="G83" s="53">
        <f t="shared" si="27"/>
        <v>3052.8</v>
      </c>
      <c r="H83" s="53">
        <f t="shared" si="27"/>
        <v>3052.8</v>
      </c>
      <c r="I83" s="53">
        <f t="shared" si="27"/>
        <v>3052.8</v>
      </c>
      <c r="J83" s="53">
        <f t="shared" si="27"/>
        <v>3052.8</v>
      </c>
      <c r="K83" s="53">
        <f t="shared" si="27"/>
        <v>3052.8</v>
      </c>
      <c r="L83" s="53">
        <f t="shared" si="27"/>
        <v>3052.8</v>
      </c>
      <c r="M83" s="53">
        <f t="shared" si="27"/>
        <v>3052.8</v>
      </c>
      <c r="N83" s="53">
        <f t="shared" si="27"/>
        <v>3052.8</v>
      </c>
      <c r="O83" s="53">
        <f t="shared" si="27"/>
        <v>3052.8</v>
      </c>
      <c r="P83" s="53">
        <f t="shared" si="27"/>
        <v>1526.4000000000024</v>
      </c>
      <c r="Q83" s="53">
        <f t="shared" si="27"/>
        <v>0</v>
      </c>
      <c r="R83" s="53">
        <f t="shared" si="27"/>
        <v>0</v>
      </c>
      <c r="S83" s="53">
        <f t="shared" si="27"/>
        <v>0</v>
      </c>
      <c r="T83" s="53">
        <f t="shared" si="27"/>
        <v>0</v>
      </c>
      <c r="U83" s="53">
        <f t="shared" si="27"/>
        <v>0</v>
      </c>
      <c r="V83" s="53">
        <f t="shared" si="27"/>
        <v>0</v>
      </c>
      <c r="W83" s="53">
        <f t="shared" si="27"/>
        <v>0</v>
      </c>
      <c r="X83" s="53">
        <f t="shared" si="27"/>
        <v>0</v>
      </c>
      <c r="Y83" s="53">
        <f t="shared" si="27"/>
        <v>0</v>
      </c>
      <c r="Z83" s="53">
        <f t="shared" si="27"/>
        <v>0</v>
      </c>
      <c r="AA83" s="53">
        <f t="shared" si="27"/>
        <v>0</v>
      </c>
      <c r="AB83" s="53">
        <f t="shared" si="27"/>
        <v>0</v>
      </c>
      <c r="AC83" s="53"/>
      <c r="AD83" s="53"/>
      <c r="AE83" s="53"/>
      <c r="AF83" s="53"/>
      <c r="AG83" s="53"/>
    </row>
    <row r="84" spans="2:33" s="54" customFormat="1" outlineLevel="1" x14ac:dyDescent="0.3">
      <c r="B84" s="54" t="s">
        <v>77</v>
      </c>
      <c r="C84" s="55"/>
      <c r="D84" s="55">
        <f t="shared" ref="D84:AB84" si="28">MIN(D85,$D$72/$I$28)</f>
        <v>3052.8</v>
      </c>
      <c r="E84" s="55">
        <f t="shared" si="28"/>
        <v>3052.8</v>
      </c>
      <c r="F84" s="55">
        <f t="shared" si="28"/>
        <v>3052.8</v>
      </c>
      <c r="G84" s="55">
        <f t="shared" si="28"/>
        <v>3052.8</v>
      </c>
      <c r="H84" s="55">
        <f t="shared" si="28"/>
        <v>3052.8</v>
      </c>
      <c r="I84" s="55">
        <f t="shared" si="28"/>
        <v>3052.8</v>
      </c>
      <c r="J84" s="55">
        <f t="shared" si="28"/>
        <v>3052.8</v>
      </c>
      <c r="K84" s="55">
        <f t="shared" si="28"/>
        <v>3052.8</v>
      </c>
      <c r="L84" s="55">
        <f t="shared" si="28"/>
        <v>3052.8</v>
      </c>
      <c r="M84" s="55">
        <f t="shared" si="28"/>
        <v>3052.8</v>
      </c>
      <c r="N84" s="55">
        <f t="shared" si="28"/>
        <v>3052.8</v>
      </c>
      <c r="O84" s="55">
        <f t="shared" si="28"/>
        <v>3052.8</v>
      </c>
      <c r="P84" s="55">
        <f t="shared" si="28"/>
        <v>1526.4000000000024</v>
      </c>
      <c r="Q84" s="55">
        <f t="shared" si="28"/>
        <v>0</v>
      </c>
      <c r="R84" s="55">
        <f t="shared" si="28"/>
        <v>0</v>
      </c>
      <c r="S84" s="55">
        <f t="shared" si="28"/>
        <v>0</v>
      </c>
      <c r="T84" s="55">
        <f t="shared" si="28"/>
        <v>0</v>
      </c>
      <c r="U84" s="55">
        <f t="shared" si="28"/>
        <v>0</v>
      </c>
      <c r="V84" s="55">
        <f t="shared" si="28"/>
        <v>0</v>
      </c>
      <c r="W84" s="55">
        <f t="shared" si="28"/>
        <v>0</v>
      </c>
      <c r="X84" s="55">
        <f t="shared" si="28"/>
        <v>0</v>
      </c>
      <c r="Y84" s="55">
        <f t="shared" si="28"/>
        <v>0</v>
      </c>
      <c r="Z84" s="55">
        <f t="shared" si="28"/>
        <v>0</v>
      </c>
      <c r="AA84" s="55">
        <f t="shared" si="28"/>
        <v>0</v>
      </c>
      <c r="AB84" s="55">
        <f t="shared" si="28"/>
        <v>0</v>
      </c>
      <c r="AC84" s="55"/>
      <c r="AD84" s="55"/>
      <c r="AE84" s="55"/>
      <c r="AF84" s="55"/>
      <c r="AG84" s="55"/>
    </row>
    <row r="85" spans="2:33" s="54" customFormat="1" outlineLevel="1" x14ac:dyDescent="0.3">
      <c r="B85" s="54" t="s">
        <v>71</v>
      </c>
      <c r="C85" s="56"/>
      <c r="D85" s="56">
        <f>C127*$H$29</f>
        <v>38160</v>
      </c>
      <c r="E85" s="57">
        <f>D86</f>
        <v>35107.199999999997</v>
      </c>
      <c r="F85" s="57">
        <f t="shared" ref="F85:AB85" si="29">E86</f>
        <v>32054.399999999998</v>
      </c>
      <c r="G85" s="57">
        <f t="shared" si="29"/>
        <v>29001.599999999999</v>
      </c>
      <c r="H85" s="57">
        <f t="shared" si="29"/>
        <v>25948.799999999999</v>
      </c>
      <c r="I85" s="57">
        <f t="shared" si="29"/>
        <v>22896</v>
      </c>
      <c r="J85" s="57">
        <f t="shared" si="29"/>
        <v>19843.2</v>
      </c>
      <c r="K85" s="57">
        <f t="shared" si="29"/>
        <v>16790.400000000001</v>
      </c>
      <c r="L85" s="57">
        <f t="shared" si="29"/>
        <v>13737.600000000002</v>
      </c>
      <c r="M85" s="57">
        <f t="shared" si="29"/>
        <v>10684.800000000003</v>
      </c>
      <c r="N85" s="57">
        <f t="shared" si="29"/>
        <v>7632.0000000000027</v>
      </c>
      <c r="O85" s="57">
        <f t="shared" si="29"/>
        <v>4579.2000000000025</v>
      </c>
      <c r="P85" s="57">
        <f t="shared" si="29"/>
        <v>1526.4000000000024</v>
      </c>
      <c r="Q85" s="57">
        <f t="shared" si="29"/>
        <v>0</v>
      </c>
      <c r="R85" s="57">
        <f t="shared" si="29"/>
        <v>0</v>
      </c>
      <c r="S85" s="57">
        <f t="shared" si="29"/>
        <v>0</v>
      </c>
      <c r="T85" s="57">
        <f t="shared" si="29"/>
        <v>0</v>
      </c>
      <c r="U85" s="57">
        <f t="shared" si="29"/>
        <v>0</v>
      </c>
      <c r="V85" s="57">
        <f t="shared" si="29"/>
        <v>0</v>
      </c>
      <c r="W85" s="57">
        <f t="shared" si="29"/>
        <v>0</v>
      </c>
      <c r="X85" s="57">
        <f t="shared" si="29"/>
        <v>0</v>
      </c>
      <c r="Y85" s="57">
        <f t="shared" si="29"/>
        <v>0</v>
      </c>
      <c r="Z85" s="57">
        <f t="shared" si="29"/>
        <v>0</v>
      </c>
      <c r="AA85" s="57">
        <f t="shared" si="29"/>
        <v>0</v>
      </c>
      <c r="AB85" s="57">
        <f t="shared" si="29"/>
        <v>0</v>
      </c>
      <c r="AC85" s="57"/>
      <c r="AD85" s="57"/>
      <c r="AE85" s="57"/>
      <c r="AF85" s="57"/>
      <c r="AG85" s="57"/>
    </row>
    <row r="86" spans="2:33" s="54" customFormat="1" outlineLevel="1" x14ac:dyDescent="0.3">
      <c r="B86" s="54" t="s">
        <v>72</v>
      </c>
      <c r="C86" s="57"/>
      <c r="D86" s="57">
        <f>D85-D84</f>
        <v>35107.199999999997</v>
      </c>
      <c r="E86" s="57">
        <f t="shared" ref="E86:AB86" si="30">E85-E84</f>
        <v>32054.399999999998</v>
      </c>
      <c r="F86" s="57">
        <f t="shared" si="30"/>
        <v>29001.599999999999</v>
      </c>
      <c r="G86" s="57">
        <f t="shared" si="30"/>
        <v>25948.799999999999</v>
      </c>
      <c r="H86" s="57">
        <f t="shared" si="30"/>
        <v>22896</v>
      </c>
      <c r="I86" s="57">
        <f t="shared" si="30"/>
        <v>19843.2</v>
      </c>
      <c r="J86" s="57">
        <f t="shared" si="30"/>
        <v>16790.400000000001</v>
      </c>
      <c r="K86" s="57">
        <f t="shared" si="30"/>
        <v>13737.600000000002</v>
      </c>
      <c r="L86" s="57">
        <f t="shared" si="30"/>
        <v>10684.800000000003</v>
      </c>
      <c r="M86" s="57">
        <f t="shared" si="30"/>
        <v>7632.0000000000027</v>
      </c>
      <c r="N86" s="57">
        <f t="shared" si="30"/>
        <v>4579.2000000000025</v>
      </c>
      <c r="O86" s="57">
        <f t="shared" si="30"/>
        <v>1526.4000000000024</v>
      </c>
      <c r="P86" s="57">
        <f t="shared" si="30"/>
        <v>0</v>
      </c>
      <c r="Q86" s="57">
        <f t="shared" si="30"/>
        <v>0</v>
      </c>
      <c r="R86" s="57">
        <f t="shared" si="30"/>
        <v>0</v>
      </c>
      <c r="S86" s="57">
        <f t="shared" si="30"/>
        <v>0</v>
      </c>
      <c r="T86" s="57">
        <f t="shared" si="30"/>
        <v>0</v>
      </c>
      <c r="U86" s="57">
        <f t="shared" si="30"/>
        <v>0</v>
      </c>
      <c r="V86" s="57">
        <f t="shared" si="30"/>
        <v>0</v>
      </c>
      <c r="W86" s="57">
        <f t="shared" si="30"/>
        <v>0</v>
      </c>
      <c r="X86" s="57">
        <f t="shared" si="30"/>
        <v>0</v>
      </c>
      <c r="Y86" s="57">
        <f t="shared" si="30"/>
        <v>0</v>
      </c>
      <c r="Z86" s="57">
        <f t="shared" si="30"/>
        <v>0</v>
      </c>
      <c r="AA86" s="57">
        <f t="shared" si="30"/>
        <v>0</v>
      </c>
      <c r="AB86" s="57">
        <f t="shared" si="30"/>
        <v>0</v>
      </c>
      <c r="AC86" s="57"/>
      <c r="AD86" s="57"/>
      <c r="AE86" s="57"/>
      <c r="AF86" s="57"/>
      <c r="AG86" s="57"/>
    </row>
    <row r="87" spans="2:33" s="54" customFormat="1" outlineLevel="1" x14ac:dyDescent="0.3">
      <c r="B87" s="58" t="s">
        <v>78</v>
      </c>
      <c r="C87" s="57"/>
      <c r="D87" s="57">
        <f t="shared" ref="D87:AB87" si="31">IF(D88&gt;0,MIN(D88,$H$11/$I$30),0)</f>
        <v>0</v>
      </c>
      <c r="E87" s="57">
        <f t="shared" si="31"/>
        <v>0</v>
      </c>
      <c r="F87" s="57">
        <f t="shared" si="31"/>
        <v>0</v>
      </c>
      <c r="G87" s="57">
        <f t="shared" si="31"/>
        <v>0</v>
      </c>
      <c r="H87" s="57">
        <f t="shared" si="31"/>
        <v>0</v>
      </c>
      <c r="I87" s="57">
        <f t="shared" si="31"/>
        <v>0</v>
      </c>
      <c r="J87" s="57">
        <f t="shared" si="31"/>
        <v>0</v>
      </c>
      <c r="K87" s="57">
        <f t="shared" si="31"/>
        <v>0</v>
      </c>
      <c r="L87" s="57">
        <f t="shared" si="31"/>
        <v>0</v>
      </c>
      <c r="M87" s="57">
        <f t="shared" si="31"/>
        <v>0</v>
      </c>
      <c r="N87" s="57">
        <f t="shared" si="31"/>
        <v>0</v>
      </c>
      <c r="O87" s="57">
        <f t="shared" si="31"/>
        <v>0</v>
      </c>
      <c r="P87" s="57">
        <f t="shared" si="31"/>
        <v>0</v>
      </c>
      <c r="Q87" s="57">
        <f t="shared" si="31"/>
        <v>0</v>
      </c>
      <c r="R87" s="57">
        <f t="shared" si="31"/>
        <v>0</v>
      </c>
      <c r="S87" s="57">
        <f t="shared" si="31"/>
        <v>0</v>
      </c>
      <c r="T87" s="57">
        <f t="shared" si="31"/>
        <v>0</v>
      </c>
      <c r="U87" s="57">
        <f t="shared" si="31"/>
        <v>0</v>
      </c>
      <c r="V87" s="57">
        <f t="shared" si="31"/>
        <v>0</v>
      </c>
      <c r="W87" s="57">
        <f t="shared" si="31"/>
        <v>0</v>
      </c>
      <c r="X87" s="57">
        <f t="shared" si="31"/>
        <v>0</v>
      </c>
      <c r="Y87" s="57">
        <f t="shared" si="31"/>
        <v>0</v>
      </c>
      <c r="Z87" s="57">
        <f t="shared" si="31"/>
        <v>0</v>
      </c>
      <c r="AA87" s="57">
        <f t="shared" si="31"/>
        <v>0</v>
      </c>
      <c r="AB87" s="57">
        <f t="shared" si="31"/>
        <v>0</v>
      </c>
      <c r="AC87" s="57"/>
      <c r="AD87" s="57"/>
      <c r="AE87" s="57"/>
      <c r="AF87" s="57"/>
      <c r="AG87" s="57"/>
    </row>
    <row r="88" spans="2:33" s="54" customFormat="1" outlineLevel="1" x14ac:dyDescent="0.3">
      <c r="B88" s="54" t="s">
        <v>71</v>
      </c>
      <c r="C88" s="57"/>
      <c r="D88" s="57">
        <f t="shared" ref="D88:AB88" si="32">IF(D135&gt;0,D135*$I$31,C89)</f>
        <v>0</v>
      </c>
      <c r="E88" s="57">
        <f t="shared" si="32"/>
        <v>0</v>
      </c>
      <c r="F88" s="57">
        <f t="shared" si="32"/>
        <v>0</v>
      </c>
      <c r="G88" s="57">
        <f t="shared" si="32"/>
        <v>0</v>
      </c>
      <c r="H88" s="57">
        <f t="shared" si="32"/>
        <v>0</v>
      </c>
      <c r="I88" s="57">
        <f t="shared" si="32"/>
        <v>0</v>
      </c>
      <c r="J88" s="57">
        <f t="shared" si="32"/>
        <v>0</v>
      </c>
      <c r="K88" s="57">
        <f t="shared" si="32"/>
        <v>0</v>
      </c>
      <c r="L88" s="57">
        <f t="shared" si="32"/>
        <v>0</v>
      </c>
      <c r="M88" s="57">
        <f t="shared" si="32"/>
        <v>0</v>
      </c>
      <c r="N88" s="57">
        <f t="shared" si="32"/>
        <v>0</v>
      </c>
      <c r="O88" s="57">
        <f t="shared" si="32"/>
        <v>0</v>
      </c>
      <c r="P88" s="57">
        <f t="shared" si="32"/>
        <v>0</v>
      </c>
      <c r="Q88" s="57">
        <f t="shared" si="32"/>
        <v>0</v>
      </c>
      <c r="R88" s="57">
        <f t="shared" si="32"/>
        <v>0</v>
      </c>
      <c r="S88" s="57">
        <f t="shared" si="32"/>
        <v>0</v>
      </c>
      <c r="T88" s="57">
        <f t="shared" si="32"/>
        <v>0</v>
      </c>
      <c r="U88" s="57">
        <f t="shared" si="32"/>
        <v>0</v>
      </c>
      <c r="V88" s="57">
        <f t="shared" si="32"/>
        <v>0</v>
      </c>
      <c r="W88" s="57">
        <f t="shared" si="32"/>
        <v>0</v>
      </c>
      <c r="X88" s="57">
        <f t="shared" si="32"/>
        <v>0</v>
      </c>
      <c r="Y88" s="57">
        <f t="shared" si="32"/>
        <v>0</v>
      </c>
      <c r="Z88" s="57">
        <f t="shared" si="32"/>
        <v>0</v>
      </c>
      <c r="AA88" s="57">
        <f t="shared" si="32"/>
        <v>0</v>
      </c>
      <c r="AB88" s="57">
        <f t="shared" si="32"/>
        <v>0</v>
      </c>
      <c r="AC88" s="57"/>
      <c r="AD88" s="57"/>
      <c r="AE88" s="57"/>
      <c r="AF88" s="57"/>
      <c r="AG88" s="57"/>
    </row>
    <row r="89" spans="2:33" s="54" customFormat="1" outlineLevel="1" x14ac:dyDescent="0.3">
      <c r="B89" s="54" t="s">
        <v>72</v>
      </c>
      <c r="C89" s="57"/>
      <c r="D89" s="57">
        <f t="shared" ref="D89:AB89" si="33">D88-D87</f>
        <v>0</v>
      </c>
      <c r="E89" s="57">
        <f t="shared" si="33"/>
        <v>0</v>
      </c>
      <c r="F89" s="57">
        <f t="shared" si="33"/>
        <v>0</v>
      </c>
      <c r="G89" s="57">
        <f t="shared" si="33"/>
        <v>0</v>
      </c>
      <c r="H89" s="57">
        <f t="shared" si="33"/>
        <v>0</v>
      </c>
      <c r="I89" s="57">
        <f t="shared" si="33"/>
        <v>0</v>
      </c>
      <c r="J89" s="57">
        <f t="shared" si="33"/>
        <v>0</v>
      </c>
      <c r="K89" s="57">
        <f t="shared" si="33"/>
        <v>0</v>
      </c>
      <c r="L89" s="57">
        <f t="shared" si="33"/>
        <v>0</v>
      </c>
      <c r="M89" s="57">
        <f t="shared" si="33"/>
        <v>0</v>
      </c>
      <c r="N89" s="57">
        <f t="shared" si="33"/>
        <v>0</v>
      </c>
      <c r="O89" s="57">
        <f t="shared" si="33"/>
        <v>0</v>
      </c>
      <c r="P89" s="57">
        <f t="shared" si="33"/>
        <v>0</v>
      </c>
      <c r="Q89" s="57">
        <f t="shared" si="33"/>
        <v>0</v>
      </c>
      <c r="R89" s="57">
        <f t="shared" si="33"/>
        <v>0</v>
      </c>
      <c r="S89" s="57">
        <f t="shared" si="33"/>
        <v>0</v>
      </c>
      <c r="T89" s="57">
        <f t="shared" si="33"/>
        <v>0</v>
      </c>
      <c r="U89" s="57">
        <f t="shared" si="33"/>
        <v>0</v>
      </c>
      <c r="V89" s="57">
        <f t="shared" si="33"/>
        <v>0</v>
      </c>
      <c r="W89" s="57">
        <f t="shared" si="33"/>
        <v>0</v>
      </c>
      <c r="X89" s="57">
        <f t="shared" si="33"/>
        <v>0</v>
      </c>
      <c r="Y89" s="57">
        <f t="shared" si="33"/>
        <v>0</v>
      </c>
      <c r="Z89" s="57">
        <f t="shared" si="33"/>
        <v>0</v>
      </c>
      <c r="AA89" s="57">
        <f t="shared" si="33"/>
        <v>0</v>
      </c>
      <c r="AB89" s="57">
        <f t="shared" si="33"/>
        <v>0</v>
      </c>
      <c r="AC89" s="57"/>
      <c r="AD89" s="57"/>
      <c r="AE89" s="57"/>
      <c r="AF89" s="57"/>
      <c r="AG89" s="57"/>
    </row>
    <row r="90" spans="2:33" s="54" customFormat="1" outlineLevel="1" x14ac:dyDescent="0.3">
      <c r="B90" s="58" t="s">
        <v>79</v>
      </c>
      <c r="C90" s="57"/>
      <c r="D90" s="57">
        <f t="shared" ref="D90:AB90" si="34">IF(D92&gt;0,MIN(D92,$H$13/$I$30),0)</f>
        <v>0</v>
      </c>
      <c r="E90" s="57">
        <f t="shared" si="34"/>
        <v>0</v>
      </c>
      <c r="F90" s="57">
        <f t="shared" si="34"/>
        <v>0</v>
      </c>
      <c r="G90" s="57">
        <f t="shared" si="34"/>
        <v>0</v>
      </c>
      <c r="H90" s="57">
        <f t="shared" si="34"/>
        <v>0</v>
      </c>
      <c r="I90" s="57">
        <f t="shared" si="34"/>
        <v>0</v>
      </c>
      <c r="J90" s="57">
        <f t="shared" si="34"/>
        <v>0</v>
      </c>
      <c r="K90" s="57">
        <f t="shared" si="34"/>
        <v>0</v>
      </c>
      <c r="L90" s="57">
        <f t="shared" si="34"/>
        <v>0</v>
      </c>
      <c r="M90" s="57">
        <f t="shared" si="34"/>
        <v>0</v>
      </c>
      <c r="N90" s="57">
        <f t="shared" si="34"/>
        <v>0</v>
      </c>
      <c r="O90" s="57">
        <f t="shared" si="34"/>
        <v>0</v>
      </c>
      <c r="P90" s="57">
        <f t="shared" si="34"/>
        <v>0</v>
      </c>
      <c r="Q90" s="57">
        <f t="shared" si="34"/>
        <v>0</v>
      </c>
      <c r="R90" s="57">
        <f t="shared" si="34"/>
        <v>0</v>
      </c>
      <c r="S90" s="57">
        <f t="shared" si="34"/>
        <v>0</v>
      </c>
      <c r="T90" s="57">
        <f t="shared" si="34"/>
        <v>0</v>
      </c>
      <c r="U90" s="57">
        <f t="shared" si="34"/>
        <v>0</v>
      </c>
      <c r="V90" s="57">
        <f t="shared" si="34"/>
        <v>0</v>
      </c>
      <c r="W90" s="57">
        <f t="shared" si="34"/>
        <v>0</v>
      </c>
      <c r="X90" s="57">
        <f t="shared" si="34"/>
        <v>0</v>
      </c>
      <c r="Y90" s="57">
        <f t="shared" si="34"/>
        <v>0</v>
      </c>
      <c r="Z90" s="57">
        <f t="shared" si="34"/>
        <v>0</v>
      </c>
      <c r="AA90" s="57">
        <f t="shared" si="34"/>
        <v>0</v>
      </c>
      <c r="AB90" s="57">
        <f t="shared" si="34"/>
        <v>0</v>
      </c>
      <c r="AC90" s="57"/>
      <c r="AD90" s="57"/>
      <c r="AE90" s="57"/>
      <c r="AF90" s="57"/>
      <c r="AG90" s="57"/>
    </row>
    <row r="91" spans="2:33" s="54" customFormat="1" outlineLevel="1" x14ac:dyDescent="0.3">
      <c r="B91" s="58" t="s">
        <v>75</v>
      </c>
      <c r="C91" s="57"/>
      <c r="D91" s="57">
        <f t="shared" ref="D91:AB91" si="35">IF(D$42=$H$14,$H$13,0)</f>
        <v>0</v>
      </c>
      <c r="E91" s="57">
        <f t="shared" si="35"/>
        <v>0</v>
      </c>
      <c r="F91" s="57">
        <f t="shared" si="35"/>
        <v>0</v>
      </c>
      <c r="G91" s="57">
        <f t="shared" si="35"/>
        <v>0</v>
      </c>
      <c r="H91" s="57">
        <f t="shared" si="35"/>
        <v>0</v>
      </c>
      <c r="I91" s="57">
        <f t="shared" si="35"/>
        <v>0</v>
      </c>
      <c r="J91" s="57">
        <f t="shared" si="35"/>
        <v>0</v>
      </c>
      <c r="K91" s="57">
        <f t="shared" si="35"/>
        <v>0</v>
      </c>
      <c r="L91" s="57">
        <f t="shared" si="35"/>
        <v>0</v>
      </c>
      <c r="M91" s="57">
        <f t="shared" si="35"/>
        <v>0</v>
      </c>
      <c r="N91" s="57">
        <f t="shared" si="35"/>
        <v>0</v>
      </c>
      <c r="O91" s="57">
        <f t="shared" si="35"/>
        <v>0</v>
      </c>
      <c r="P91" s="57">
        <f t="shared" si="35"/>
        <v>0</v>
      </c>
      <c r="Q91" s="57">
        <f t="shared" si="35"/>
        <v>0</v>
      </c>
      <c r="R91" s="57">
        <f t="shared" si="35"/>
        <v>0</v>
      </c>
      <c r="S91" s="57">
        <f t="shared" si="35"/>
        <v>0</v>
      </c>
      <c r="T91" s="57">
        <f t="shared" si="35"/>
        <v>0</v>
      </c>
      <c r="U91" s="57">
        <f t="shared" si="35"/>
        <v>0</v>
      </c>
      <c r="V91" s="57">
        <f t="shared" si="35"/>
        <v>0</v>
      </c>
      <c r="W91" s="57">
        <f t="shared" si="35"/>
        <v>0</v>
      </c>
      <c r="X91" s="57">
        <f t="shared" si="35"/>
        <v>0</v>
      </c>
      <c r="Y91" s="57">
        <f t="shared" si="35"/>
        <v>0</v>
      </c>
      <c r="Z91" s="57">
        <f t="shared" si="35"/>
        <v>0</v>
      </c>
      <c r="AA91" s="57">
        <f t="shared" si="35"/>
        <v>0</v>
      </c>
      <c r="AB91" s="57">
        <f t="shared" si="35"/>
        <v>0</v>
      </c>
      <c r="AC91" s="57"/>
      <c r="AD91" s="57"/>
      <c r="AE91" s="57"/>
      <c r="AF91" s="57"/>
      <c r="AG91" s="57"/>
    </row>
    <row r="92" spans="2:33" s="54" customFormat="1" outlineLevel="1" x14ac:dyDescent="0.3">
      <c r="B92" s="54" t="s">
        <v>71</v>
      </c>
      <c r="C92" s="57"/>
      <c r="D92" s="57">
        <f t="shared" ref="D92:AB92" si="36">IF(D91&gt;0,D91*$I$31,C93)</f>
        <v>0</v>
      </c>
      <c r="E92" s="57">
        <f t="shared" si="36"/>
        <v>0</v>
      </c>
      <c r="F92" s="57">
        <f t="shared" si="36"/>
        <v>0</v>
      </c>
      <c r="G92" s="57">
        <f t="shared" si="36"/>
        <v>0</v>
      </c>
      <c r="H92" s="57">
        <f t="shared" si="36"/>
        <v>0</v>
      </c>
      <c r="I92" s="57">
        <f t="shared" si="36"/>
        <v>0</v>
      </c>
      <c r="J92" s="57">
        <f t="shared" si="36"/>
        <v>0</v>
      </c>
      <c r="K92" s="57">
        <f t="shared" si="36"/>
        <v>0</v>
      </c>
      <c r="L92" s="57">
        <f t="shared" si="36"/>
        <v>0</v>
      </c>
      <c r="M92" s="57">
        <f t="shared" si="36"/>
        <v>0</v>
      </c>
      <c r="N92" s="57">
        <f t="shared" si="36"/>
        <v>0</v>
      </c>
      <c r="O92" s="57">
        <f t="shared" si="36"/>
        <v>0</v>
      </c>
      <c r="P92" s="57">
        <f t="shared" si="36"/>
        <v>0</v>
      </c>
      <c r="Q92" s="57">
        <f t="shared" si="36"/>
        <v>0</v>
      </c>
      <c r="R92" s="57">
        <f t="shared" si="36"/>
        <v>0</v>
      </c>
      <c r="S92" s="57">
        <f t="shared" si="36"/>
        <v>0</v>
      </c>
      <c r="T92" s="57">
        <f t="shared" si="36"/>
        <v>0</v>
      </c>
      <c r="U92" s="57">
        <f t="shared" si="36"/>
        <v>0</v>
      </c>
      <c r="V92" s="57">
        <f t="shared" si="36"/>
        <v>0</v>
      </c>
      <c r="W92" s="57">
        <f t="shared" si="36"/>
        <v>0</v>
      </c>
      <c r="X92" s="57">
        <f t="shared" si="36"/>
        <v>0</v>
      </c>
      <c r="Y92" s="57">
        <f t="shared" si="36"/>
        <v>0</v>
      </c>
      <c r="Z92" s="57">
        <f t="shared" si="36"/>
        <v>0</v>
      </c>
      <c r="AA92" s="57">
        <f t="shared" si="36"/>
        <v>0</v>
      </c>
      <c r="AB92" s="57">
        <f t="shared" si="36"/>
        <v>0</v>
      </c>
      <c r="AC92" s="57"/>
      <c r="AD92" s="57"/>
      <c r="AE92" s="57"/>
      <c r="AF92" s="57"/>
      <c r="AG92" s="57"/>
    </row>
    <row r="93" spans="2:33" s="54" customFormat="1" outlineLevel="1" x14ac:dyDescent="0.3">
      <c r="B93" s="54" t="s">
        <v>72</v>
      </c>
      <c r="C93" s="57"/>
      <c r="D93" s="57">
        <f t="shared" ref="D93:AB93" si="37">D92-D90</f>
        <v>0</v>
      </c>
      <c r="E93" s="57">
        <f t="shared" si="37"/>
        <v>0</v>
      </c>
      <c r="F93" s="57">
        <f t="shared" si="37"/>
        <v>0</v>
      </c>
      <c r="G93" s="57">
        <f t="shared" si="37"/>
        <v>0</v>
      </c>
      <c r="H93" s="57">
        <f t="shared" si="37"/>
        <v>0</v>
      </c>
      <c r="I93" s="57">
        <f t="shared" si="37"/>
        <v>0</v>
      </c>
      <c r="J93" s="57">
        <f t="shared" si="37"/>
        <v>0</v>
      </c>
      <c r="K93" s="57">
        <f t="shared" si="37"/>
        <v>0</v>
      </c>
      <c r="L93" s="57">
        <f t="shared" si="37"/>
        <v>0</v>
      </c>
      <c r="M93" s="57">
        <f t="shared" si="37"/>
        <v>0</v>
      </c>
      <c r="N93" s="57">
        <f t="shared" si="37"/>
        <v>0</v>
      </c>
      <c r="O93" s="57">
        <f t="shared" si="37"/>
        <v>0</v>
      </c>
      <c r="P93" s="57">
        <f t="shared" si="37"/>
        <v>0</v>
      </c>
      <c r="Q93" s="57">
        <f t="shared" si="37"/>
        <v>0</v>
      </c>
      <c r="R93" s="57">
        <f t="shared" si="37"/>
        <v>0</v>
      </c>
      <c r="S93" s="57">
        <f t="shared" si="37"/>
        <v>0</v>
      </c>
      <c r="T93" s="57">
        <f t="shared" si="37"/>
        <v>0</v>
      </c>
      <c r="U93" s="57">
        <f t="shared" si="37"/>
        <v>0</v>
      </c>
      <c r="V93" s="57">
        <f t="shared" si="37"/>
        <v>0</v>
      </c>
      <c r="W93" s="57">
        <f t="shared" si="37"/>
        <v>0</v>
      </c>
      <c r="X93" s="57">
        <f t="shared" si="37"/>
        <v>0</v>
      </c>
      <c r="Y93" s="57">
        <f t="shared" si="37"/>
        <v>0</v>
      </c>
      <c r="Z93" s="57">
        <f t="shared" si="37"/>
        <v>0</v>
      </c>
      <c r="AA93" s="57">
        <f t="shared" si="37"/>
        <v>0</v>
      </c>
      <c r="AB93" s="57">
        <f t="shared" si="37"/>
        <v>0</v>
      </c>
      <c r="AC93" s="57"/>
      <c r="AD93" s="57"/>
      <c r="AE93" s="57"/>
      <c r="AF93" s="57"/>
      <c r="AG93" s="57"/>
    </row>
    <row r="94" spans="2:33" s="3" customFormat="1" x14ac:dyDescent="0.3">
      <c r="B94" s="3" t="s">
        <v>80</v>
      </c>
      <c r="C94" s="61"/>
      <c r="D94" s="61">
        <f>D67-D70</f>
        <v>-3109.4750309491151</v>
      </c>
      <c r="E94" s="61">
        <f t="shared" ref="E94:AB94" si="38">E67-E70</f>
        <v>-2789.3493371892314</v>
      </c>
      <c r="F94" s="61">
        <f t="shared" si="38"/>
        <v>-2467.5550100158666</v>
      </c>
      <c r="G94" s="61">
        <f t="shared" si="38"/>
        <v>-1820.9952799586822</v>
      </c>
      <c r="H94" s="61">
        <f t="shared" si="38"/>
        <v>-1487.697761971142</v>
      </c>
      <c r="I94" s="61">
        <f t="shared" si="38"/>
        <v>-1152.4394448341841</v>
      </c>
      <c r="J94" s="61">
        <f t="shared" si="38"/>
        <v>-815.18418039022208</v>
      </c>
      <c r="K94" s="61">
        <f t="shared" si="38"/>
        <v>-475.89517260518778</v>
      </c>
      <c r="L94" s="61">
        <f t="shared" si="38"/>
        <v>-134.5349664561686</v>
      </c>
      <c r="M94" s="61">
        <f t="shared" si="38"/>
        <v>208.93456335767723</v>
      </c>
      <c r="N94" s="61">
        <f t="shared" si="38"/>
        <v>1034.5522238833769</v>
      </c>
      <c r="O94" s="61">
        <f t="shared" si="38"/>
        <v>1382.3575155640006</v>
      </c>
      <c r="P94" s="61">
        <f t="shared" si="38"/>
        <v>1732.3906440725464</v>
      </c>
      <c r="Q94" s="61">
        <f t="shared" si="38"/>
        <v>2084.6925323323699</v>
      </c>
      <c r="R94" s="61">
        <f t="shared" si="38"/>
        <v>2439.3048327265778</v>
      </c>
      <c r="S94" s="61">
        <f t="shared" si="38"/>
        <v>5340.2699394989759</v>
      </c>
      <c r="T94" s="61">
        <f t="shared" si="38"/>
        <v>5470.6710013490265</v>
      </c>
      <c r="U94" s="61">
        <f t="shared" si="38"/>
        <v>5603.5119342234029</v>
      </c>
      <c r="V94" s="61">
        <f t="shared" si="38"/>
        <v>5738.837434306728</v>
      </c>
      <c r="W94" s="61">
        <f t="shared" si="38"/>
        <v>5876.6929912139713</v>
      </c>
      <c r="X94" s="61">
        <f t="shared" si="38"/>
        <v>6017.1249013872566</v>
      </c>
      <c r="Y94" s="61">
        <f t="shared" si="38"/>
        <v>6160.1802816995569</v>
      </c>
      <c r="Z94" s="61">
        <f t="shared" si="38"/>
        <v>6305.9070832679972</v>
      </c>
      <c r="AA94" s="61">
        <f t="shared" si="38"/>
        <v>6454.3541054793513</v>
      </c>
      <c r="AB94" s="61">
        <f t="shared" si="38"/>
        <v>6605.5710102304593</v>
      </c>
      <c r="AC94" s="61"/>
      <c r="AD94" s="61"/>
      <c r="AE94" s="61"/>
      <c r="AF94" s="61"/>
      <c r="AG94" s="61"/>
    </row>
    <row r="95" spans="2:33" s="59" customFormat="1" x14ac:dyDescent="0.3">
      <c r="B95" s="59" t="s">
        <v>81</v>
      </c>
      <c r="C95" s="60"/>
      <c r="D95" s="60">
        <f>D94</f>
        <v>-3109.4750309491151</v>
      </c>
      <c r="E95" s="60">
        <f t="shared" ref="E95:AB95" si="39">(D95+E94)*(E42&lt;=$C$19)</f>
        <v>-5898.8243681383465</v>
      </c>
      <c r="F95" s="60">
        <f t="shared" si="39"/>
        <v>-8366.3793781542136</v>
      </c>
      <c r="G95" s="60">
        <f t="shared" si="39"/>
        <v>-10187.374658112896</v>
      </c>
      <c r="H95" s="60">
        <f t="shared" si="39"/>
        <v>-11675.072420084038</v>
      </c>
      <c r="I95" s="60">
        <f t="shared" si="39"/>
        <v>-12827.511864918222</v>
      </c>
      <c r="J95" s="60">
        <f t="shared" si="39"/>
        <v>-13642.696045308445</v>
      </c>
      <c r="K95" s="60">
        <f t="shared" si="39"/>
        <v>-14118.591217913632</v>
      </c>
      <c r="L95" s="60">
        <f t="shared" si="39"/>
        <v>-14253.126184369801</v>
      </c>
      <c r="M95" s="60">
        <f t="shared" si="39"/>
        <v>-14044.191621012124</v>
      </c>
      <c r="N95" s="60">
        <f t="shared" si="39"/>
        <v>-13009.639397128747</v>
      </c>
      <c r="O95" s="60">
        <f t="shared" si="39"/>
        <v>-11627.281881564746</v>
      </c>
      <c r="P95" s="60">
        <f t="shared" si="39"/>
        <v>-9894.8912374922002</v>
      </c>
      <c r="Q95" s="60">
        <f t="shared" si="39"/>
        <v>-7810.1987051598298</v>
      </c>
      <c r="R95" s="60">
        <f t="shared" si="39"/>
        <v>-5370.893872433252</v>
      </c>
      <c r="S95" s="60">
        <f t="shared" si="39"/>
        <v>-30.623932934276127</v>
      </c>
      <c r="T95" s="60">
        <f t="shared" si="39"/>
        <v>5440.0470684147504</v>
      </c>
      <c r="U95" s="60">
        <f t="shared" si="39"/>
        <v>11043.559002638154</v>
      </c>
      <c r="V95" s="60">
        <f t="shared" si="39"/>
        <v>16782.39643694488</v>
      </c>
      <c r="W95" s="60">
        <f t="shared" si="39"/>
        <v>22659.089428158852</v>
      </c>
      <c r="X95" s="60">
        <f t="shared" si="39"/>
        <v>28676.214329546106</v>
      </c>
      <c r="Y95" s="60">
        <f t="shared" si="39"/>
        <v>34836.394611245662</v>
      </c>
      <c r="Z95" s="60">
        <f t="shared" si="39"/>
        <v>41142.301694513662</v>
      </c>
      <c r="AA95" s="60">
        <f t="shared" si="39"/>
        <v>47596.655799993016</v>
      </c>
      <c r="AB95" s="60">
        <f t="shared" si="39"/>
        <v>54202.226810223474</v>
      </c>
      <c r="AC95" s="60"/>
      <c r="AD95" s="60"/>
      <c r="AE95" s="60"/>
      <c r="AF95" s="60"/>
      <c r="AG95" s="60"/>
    </row>
    <row r="96" spans="2:33" s="59" customFormat="1" x14ac:dyDescent="0.3">
      <c r="B96" s="59" t="s">
        <v>82</v>
      </c>
      <c r="C96" s="60"/>
      <c r="D96" s="60">
        <f t="shared" ref="D96:AB96" si="40">IF((C95+D94)&lt;0,0,(D94+MIN(0,C95))*$H$32)</f>
        <v>0</v>
      </c>
      <c r="E96" s="60">
        <f t="shared" si="40"/>
        <v>0</v>
      </c>
      <c r="F96" s="60">
        <f t="shared" si="40"/>
        <v>0</v>
      </c>
      <c r="G96" s="60">
        <f t="shared" si="40"/>
        <v>0</v>
      </c>
      <c r="H96" s="60">
        <f t="shared" si="40"/>
        <v>0</v>
      </c>
      <c r="I96" s="60">
        <f t="shared" si="40"/>
        <v>0</v>
      </c>
      <c r="J96" s="60">
        <f t="shared" si="40"/>
        <v>0</v>
      </c>
      <c r="K96" s="60">
        <f t="shared" si="40"/>
        <v>0</v>
      </c>
      <c r="L96" s="60">
        <f t="shared" si="40"/>
        <v>0</v>
      </c>
      <c r="M96" s="60">
        <f t="shared" si="40"/>
        <v>0</v>
      </c>
      <c r="N96" s="60">
        <f t="shared" si="40"/>
        <v>0</v>
      </c>
      <c r="O96" s="60">
        <f t="shared" si="40"/>
        <v>0</v>
      </c>
      <c r="P96" s="60">
        <f t="shared" si="40"/>
        <v>0</v>
      </c>
      <c r="Q96" s="60">
        <f t="shared" si="40"/>
        <v>0</v>
      </c>
      <c r="R96" s="60">
        <f t="shared" si="40"/>
        <v>0</v>
      </c>
      <c r="S96" s="60">
        <f t="shared" si="40"/>
        <v>0</v>
      </c>
      <c r="T96" s="60">
        <f t="shared" si="40"/>
        <v>1360.0117671036876</v>
      </c>
      <c r="U96" s="60">
        <f t="shared" si="40"/>
        <v>1400.8779835558507</v>
      </c>
      <c r="V96" s="60">
        <f t="shared" si="40"/>
        <v>1434.709358576682</v>
      </c>
      <c r="W96" s="60">
        <f t="shared" si="40"/>
        <v>1469.1732478034928</v>
      </c>
      <c r="X96" s="60">
        <f t="shared" si="40"/>
        <v>1504.2812253468142</v>
      </c>
      <c r="Y96" s="60">
        <f t="shared" si="40"/>
        <v>1540.0450704248892</v>
      </c>
      <c r="Z96" s="60">
        <f t="shared" si="40"/>
        <v>1576.4767708169993</v>
      </c>
      <c r="AA96" s="60">
        <f t="shared" si="40"/>
        <v>1613.5885263698378</v>
      </c>
      <c r="AB96" s="60">
        <f t="shared" si="40"/>
        <v>1651.3927525576148</v>
      </c>
      <c r="AC96" s="60"/>
      <c r="AD96" s="60"/>
      <c r="AE96" s="60"/>
      <c r="AF96" s="60"/>
      <c r="AG96" s="60"/>
    </row>
    <row r="97" spans="2:33" x14ac:dyDescent="0.3">
      <c r="C97" s="52"/>
      <c r="D97" s="52">
        <f t="shared" ref="D97:AB97" si="41">IF(ISERR(D94/D52),"n/a",D94/D52)</f>
        <v>-0.518795331889922</v>
      </c>
      <c r="E97" s="52">
        <f t="shared" si="41"/>
        <v>-0.45631521345789561</v>
      </c>
      <c r="F97" s="52">
        <f t="shared" si="41"/>
        <v>-0.39580560223193822</v>
      </c>
      <c r="G97" s="52">
        <f t="shared" si="41"/>
        <v>-0.28640260746844665</v>
      </c>
      <c r="H97" s="52">
        <f t="shared" si="41"/>
        <v>-0.22942244879680462</v>
      </c>
      <c r="I97" s="52">
        <f t="shared" si="41"/>
        <v>-0.17425785736894567</v>
      </c>
      <c r="J97" s="52">
        <f t="shared" si="41"/>
        <v>-0.12086012863130909</v>
      </c>
      <c r="K97" s="52">
        <f t="shared" si="41"/>
        <v>-6.9181768913547589E-2</v>
      </c>
      <c r="L97" s="52">
        <f t="shared" si="41"/>
        <v>-1.9176466740993998E-2</v>
      </c>
      <c r="M97" s="52">
        <f t="shared" si="41"/>
        <v>2.9200935194564022E-2</v>
      </c>
      <c r="N97" s="52">
        <f t="shared" si="41"/>
        <v>0.14177248216989852</v>
      </c>
      <c r="O97" s="52">
        <f t="shared" si="41"/>
        <v>0.18574321413493039</v>
      </c>
      <c r="P97" s="52">
        <f t="shared" si="41"/>
        <v>0.22823984401534508</v>
      </c>
      <c r="Q97" s="52">
        <f t="shared" si="41"/>
        <v>0.26930269327758366</v>
      </c>
      <c r="R97" s="52">
        <f t="shared" si="41"/>
        <v>0.30897106948550951</v>
      </c>
      <c r="S97" s="52">
        <f t="shared" si="41"/>
        <v>0.66323586665123646</v>
      </c>
      <c r="T97" s="52">
        <f t="shared" si="41"/>
        <v>0.66619051546501185</v>
      </c>
      <c r="U97" s="52">
        <f t="shared" si="41"/>
        <v>0.66906945384732586</v>
      </c>
      <c r="V97" s="52">
        <f t="shared" si="41"/>
        <v>0.67187406610758837</v>
      </c>
      <c r="W97" s="52">
        <f t="shared" si="41"/>
        <v>0.6746057091203792</v>
      </c>
      <c r="X97" s="52">
        <f t="shared" si="41"/>
        <v>0.67726571285779147</v>
      </c>
      <c r="Y97" s="52">
        <f t="shared" si="41"/>
        <v>0.67985538091138431</v>
      </c>
      <c r="Z97" s="52">
        <f t="shared" si="41"/>
        <v>0.68237599100395641</v>
      </c>
      <c r="AA97" s="52">
        <f t="shared" si="41"/>
        <v>0.68482879549133069</v>
      </c>
      <c r="AB97" s="52">
        <f t="shared" si="41"/>
        <v>0.68721502185435368</v>
      </c>
      <c r="AC97" s="52"/>
      <c r="AD97" s="52"/>
      <c r="AE97" s="52"/>
      <c r="AF97" s="52"/>
      <c r="AG97" s="52"/>
    </row>
    <row r="99" spans="2:33" s="154" customFormat="1" x14ac:dyDescent="0.3">
      <c r="B99" s="154" t="s">
        <v>83</v>
      </c>
      <c r="D99" s="155"/>
      <c r="E99" s="155"/>
      <c r="F99" s="155"/>
      <c r="G99" s="155"/>
      <c r="H99" s="155"/>
      <c r="I99" s="155"/>
      <c r="J99" s="155"/>
      <c r="K99" s="155"/>
      <c r="L99" s="155"/>
      <c r="M99" s="155"/>
      <c r="N99" s="155"/>
      <c r="O99" s="155"/>
      <c r="P99" s="155"/>
      <c r="Q99" s="155"/>
      <c r="R99" s="155"/>
      <c r="S99" s="155"/>
      <c r="T99" s="155"/>
      <c r="U99" s="155"/>
      <c r="V99" s="155"/>
      <c r="W99" s="155"/>
      <c r="X99" s="155"/>
      <c r="Y99" s="155"/>
      <c r="Z99" s="155"/>
      <c r="AA99" s="155"/>
      <c r="AB99" s="155"/>
      <c r="AC99" s="155"/>
      <c r="AD99" s="155"/>
      <c r="AE99" s="155"/>
      <c r="AF99" s="155"/>
      <c r="AG99" s="155"/>
    </row>
    <row r="100" spans="2:33" x14ac:dyDescent="0.3">
      <c r="B100" t="s">
        <v>84</v>
      </c>
      <c r="D100" s="38"/>
      <c r="E100" s="38"/>
      <c r="F100" s="38"/>
      <c r="G100" s="38"/>
      <c r="H100" s="38"/>
      <c r="I100" s="38"/>
      <c r="J100" s="38"/>
      <c r="K100" s="38"/>
      <c r="L100" s="38"/>
      <c r="M100" s="38"/>
      <c r="N100" s="38"/>
      <c r="O100" s="38"/>
      <c r="P100" s="38"/>
      <c r="Q100" s="38"/>
      <c r="R100" s="38"/>
      <c r="S100" s="38"/>
      <c r="T100" s="38"/>
      <c r="U100" s="38"/>
      <c r="V100" s="38"/>
      <c r="W100" s="38"/>
      <c r="X100" s="38"/>
      <c r="Y100" s="38"/>
      <c r="Z100" s="38"/>
      <c r="AA100" s="38"/>
      <c r="AB100" s="38"/>
      <c r="AC100" s="38"/>
      <c r="AD100" s="38"/>
      <c r="AE100" s="38"/>
      <c r="AF100" s="38"/>
      <c r="AG100" s="38"/>
    </row>
    <row r="101" spans="2:33" s="3" customFormat="1" x14ac:dyDescent="0.3">
      <c r="B101" s="3" t="s">
        <v>85</v>
      </c>
      <c r="D101" s="61">
        <f>D94-D99+D100</f>
        <v>-3109.4750309491151</v>
      </c>
      <c r="E101" s="61">
        <f t="shared" ref="E101:AB101" si="42">E94-E99+E100</f>
        <v>-2789.3493371892314</v>
      </c>
      <c r="F101" s="61">
        <f t="shared" si="42"/>
        <v>-2467.5550100158666</v>
      </c>
      <c r="G101" s="61">
        <f t="shared" si="42"/>
        <v>-1820.9952799586822</v>
      </c>
      <c r="H101" s="61">
        <f t="shared" si="42"/>
        <v>-1487.697761971142</v>
      </c>
      <c r="I101" s="61">
        <f t="shared" si="42"/>
        <v>-1152.4394448341841</v>
      </c>
      <c r="J101" s="61">
        <f t="shared" si="42"/>
        <v>-815.18418039022208</v>
      </c>
      <c r="K101" s="61">
        <f t="shared" si="42"/>
        <v>-475.89517260518778</v>
      </c>
      <c r="L101" s="61">
        <f t="shared" si="42"/>
        <v>-134.5349664561686</v>
      </c>
      <c r="M101" s="61">
        <f t="shared" si="42"/>
        <v>208.93456335767723</v>
      </c>
      <c r="N101" s="61">
        <f t="shared" si="42"/>
        <v>1034.5522238833769</v>
      </c>
      <c r="O101" s="61">
        <f t="shared" si="42"/>
        <v>1382.3575155640006</v>
      </c>
      <c r="P101" s="61">
        <f t="shared" si="42"/>
        <v>1732.3906440725464</v>
      </c>
      <c r="Q101" s="61">
        <f t="shared" si="42"/>
        <v>2084.6925323323699</v>
      </c>
      <c r="R101" s="61">
        <f t="shared" si="42"/>
        <v>2439.3048327265778</v>
      </c>
      <c r="S101" s="61">
        <f t="shared" si="42"/>
        <v>5340.2699394989759</v>
      </c>
      <c r="T101" s="61">
        <f t="shared" si="42"/>
        <v>5470.6710013490265</v>
      </c>
      <c r="U101" s="61">
        <f t="shared" si="42"/>
        <v>5603.5119342234029</v>
      </c>
      <c r="V101" s="61">
        <f t="shared" si="42"/>
        <v>5738.837434306728</v>
      </c>
      <c r="W101" s="61">
        <f t="shared" si="42"/>
        <v>5876.6929912139713</v>
      </c>
      <c r="X101" s="61">
        <f t="shared" si="42"/>
        <v>6017.1249013872566</v>
      </c>
      <c r="Y101" s="61">
        <f t="shared" si="42"/>
        <v>6160.1802816995569</v>
      </c>
      <c r="Z101" s="61">
        <f t="shared" si="42"/>
        <v>6305.9070832679972</v>
      </c>
      <c r="AA101" s="61">
        <f t="shared" si="42"/>
        <v>6454.3541054793513</v>
      </c>
      <c r="AB101" s="61">
        <f t="shared" si="42"/>
        <v>6605.5710102304593</v>
      </c>
      <c r="AC101" s="61"/>
      <c r="AD101" s="61"/>
      <c r="AE101" s="61"/>
      <c r="AF101" s="61"/>
      <c r="AG101" s="61"/>
    </row>
    <row r="102" spans="2:33" s="3" customFormat="1" x14ac:dyDescent="0.3">
      <c r="B102" s="3" t="s">
        <v>86</v>
      </c>
      <c r="D102" s="61">
        <f>D67-D83-D99+D100</f>
        <v>-4635.8750309491152</v>
      </c>
      <c r="E102" s="61">
        <f t="shared" ref="E102:AB102" si="43">E67-E83-E99+E100</f>
        <v>-4315.7493371892315</v>
      </c>
      <c r="F102" s="61">
        <f t="shared" si="43"/>
        <v>-3993.9550100158667</v>
      </c>
      <c r="G102" s="61">
        <f t="shared" si="43"/>
        <v>-3347.3952799586823</v>
      </c>
      <c r="H102" s="61">
        <f t="shared" si="43"/>
        <v>-3014.0977619711421</v>
      </c>
      <c r="I102" s="61">
        <f t="shared" si="43"/>
        <v>-2678.8394448341842</v>
      </c>
      <c r="J102" s="61">
        <f t="shared" si="43"/>
        <v>-2341.5841803902222</v>
      </c>
      <c r="K102" s="61">
        <f t="shared" si="43"/>
        <v>-2002.2951726051879</v>
      </c>
      <c r="L102" s="61">
        <f t="shared" si="43"/>
        <v>-1660.9349664561687</v>
      </c>
      <c r="M102" s="61">
        <f t="shared" si="43"/>
        <v>-1317.4654366423229</v>
      </c>
      <c r="N102" s="61">
        <f t="shared" si="43"/>
        <v>-491.84777611662321</v>
      </c>
      <c r="O102" s="61">
        <f t="shared" si="43"/>
        <v>-144.04248443599954</v>
      </c>
      <c r="P102" s="61">
        <f t="shared" si="43"/>
        <v>1732.3906440725441</v>
      </c>
      <c r="Q102" s="61">
        <f t="shared" si="43"/>
        <v>3611.09253233237</v>
      </c>
      <c r="R102" s="61">
        <f t="shared" si="43"/>
        <v>3965.7048327265779</v>
      </c>
      <c r="S102" s="61">
        <f t="shared" si="43"/>
        <v>6866.6699394989755</v>
      </c>
      <c r="T102" s="61">
        <f t="shared" si="43"/>
        <v>6997.0710013490261</v>
      </c>
      <c r="U102" s="61">
        <f t="shared" si="43"/>
        <v>7129.9119342234035</v>
      </c>
      <c r="V102" s="61">
        <f t="shared" si="43"/>
        <v>7265.2374343067277</v>
      </c>
      <c r="W102" s="61">
        <f t="shared" si="43"/>
        <v>7403.0929912139718</v>
      </c>
      <c r="X102" s="61">
        <f t="shared" si="43"/>
        <v>7543.5249013872563</v>
      </c>
      <c r="Y102" s="61">
        <f t="shared" si="43"/>
        <v>7686.5802816995574</v>
      </c>
      <c r="Z102" s="61">
        <f t="shared" si="43"/>
        <v>7832.3070832679969</v>
      </c>
      <c r="AA102" s="61">
        <f t="shared" si="43"/>
        <v>7980.754105479351</v>
      </c>
      <c r="AB102" s="61">
        <f t="shared" si="43"/>
        <v>8131.9710102304416</v>
      </c>
      <c r="AC102" s="61"/>
      <c r="AD102" s="61"/>
      <c r="AE102" s="61"/>
      <c r="AF102" s="61"/>
      <c r="AG102" s="61"/>
    </row>
    <row r="103" spans="2:33" x14ac:dyDescent="0.3">
      <c r="B103" t="s">
        <v>87</v>
      </c>
      <c r="C103" s="62"/>
      <c r="D103" s="62">
        <f>IF((C105+D102)&lt;0,0,MAX(0,(D102+(MIN(0,C105)))*$H$32))</f>
        <v>0</v>
      </c>
      <c r="E103" s="62">
        <f t="shared" ref="E103:AB103" si="44">IF((D105+E102)&lt;0,0,MAX(0,(E102+(MIN(0,D105)))*$H$32))</f>
        <v>0</v>
      </c>
      <c r="F103" s="62">
        <f t="shared" si="44"/>
        <v>0</v>
      </c>
      <c r="G103" s="62">
        <f t="shared" si="44"/>
        <v>0</v>
      </c>
      <c r="H103" s="62">
        <f t="shared" si="44"/>
        <v>0</v>
      </c>
      <c r="I103" s="62">
        <f t="shared" si="44"/>
        <v>0</v>
      </c>
      <c r="J103" s="62">
        <f t="shared" si="44"/>
        <v>0</v>
      </c>
      <c r="K103" s="62">
        <f t="shared" si="44"/>
        <v>0</v>
      </c>
      <c r="L103" s="62">
        <f t="shared" si="44"/>
        <v>0</v>
      </c>
      <c r="M103" s="62">
        <f t="shared" si="44"/>
        <v>0</v>
      </c>
      <c r="N103" s="62">
        <f t="shared" si="44"/>
        <v>0</v>
      </c>
      <c r="O103" s="62">
        <f t="shared" si="44"/>
        <v>0</v>
      </c>
      <c r="P103" s="62">
        <f t="shared" si="44"/>
        <v>0</v>
      </c>
      <c r="Q103" s="62">
        <f t="shared" si="44"/>
        <v>0</v>
      </c>
      <c r="R103" s="62">
        <f t="shared" si="44"/>
        <v>0</v>
      </c>
      <c r="S103" s="62">
        <f t="shared" si="44"/>
        <v>0</v>
      </c>
      <c r="T103" s="62">
        <f t="shared" si="44"/>
        <v>0</v>
      </c>
      <c r="U103" s="62">
        <f t="shared" si="44"/>
        <v>89.689750659536685</v>
      </c>
      <c r="V103" s="62">
        <f t="shared" si="44"/>
        <v>1816.3093585766819</v>
      </c>
      <c r="W103" s="62">
        <f t="shared" si="44"/>
        <v>1850.7732478034929</v>
      </c>
      <c r="X103" s="62">
        <f t="shared" si="44"/>
        <v>1885.8812253468141</v>
      </c>
      <c r="Y103" s="62">
        <f t="shared" si="44"/>
        <v>1921.6450704248894</v>
      </c>
      <c r="Z103" s="62">
        <f t="shared" si="44"/>
        <v>1958.0767708169992</v>
      </c>
      <c r="AA103" s="62">
        <f t="shared" si="44"/>
        <v>1995.1885263698377</v>
      </c>
      <c r="AB103" s="62">
        <f t="shared" si="44"/>
        <v>2032.9927525576104</v>
      </c>
      <c r="AC103" s="62"/>
      <c r="AD103" s="62"/>
      <c r="AE103" s="62"/>
      <c r="AF103" s="62"/>
      <c r="AG103" s="62"/>
    </row>
    <row r="104" spans="2:33" s="63" customFormat="1" hidden="1" outlineLevel="1" x14ac:dyDescent="0.3">
      <c r="B104" s="63" t="s">
        <v>88</v>
      </c>
      <c r="C104" s="64"/>
      <c r="D104" s="64">
        <f>D102-D103</f>
        <v>-4635.8750309491152</v>
      </c>
      <c r="E104" s="64">
        <f t="shared" ref="E104:AB104" si="45">E102-E103</f>
        <v>-4315.7493371892315</v>
      </c>
      <c r="F104" s="64">
        <f t="shared" si="45"/>
        <v>-3993.9550100158667</v>
      </c>
      <c r="G104" s="64">
        <f t="shared" si="45"/>
        <v>-3347.3952799586823</v>
      </c>
      <c r="H104" s="64">
        <f t="shared" si="45"/>
        <v>-3014.0977619711421</v>
      </c>
      <c r="I104" s="64">
        <f t="shared" si="45"/>
        <v>-2678.8394448341842</v>
      </c>
      <c r="J104" s="64">
        <f t="shared" si="45"/>
        <v>-2341.5841803902222</v>
      </c>
      <c r="K104" s="64">
        <f t="shared" si="45"/>
        <v>-2002.2951726051879</v>
      </c>
      <c r="L104" s="64">
        <f t="shared" si="45"/>
        <v>-1660.9349664561687</v>
      </c>
      <c r="M104" s="64">
        <f>M102-M103</f>
        <v>-1317.4654366423229</v>
      </c>
      <c r="N104" s="64">
        <f t="shared" si="45"/>
        <v>-491.84777611662321</v>
      </c>
      <c r="O104" s="64">
        <f t="shared" si="45"/>
        <v>-144.04248443599954</v>
      </c>
      <c r="P104" s="64">
        <f t="shared" si="45"/>
        <v>1732.3906440725441</v>
      </c>
      <c r="Q104" s="64">
        <f t="shared" si="45"/>
        <v>3611.09253233237</v>
      </c>
      <c r="R104" s="64">
        <f t="shared" si="45"/>
        <v>3965.7048327265779</v>
      </c>
      <c r="S104" s="64">
        <f t="shared" si="45"/>
        <v>6866.6699394989755</v>
      </c>
      <c r="T104" s="64">
        <f t="shared" si="45"/>
        <v>6997.0710013490261</v>
      </c>
      <c r="U104" s="64">
        <f t="shared" si="45"/>
        <v>7040.2221835638666</v>
      </c>
      <c r="V104" s="64">
        <f t="shared" si="45"/>
        <v>5448.9280757300457</v>
      </c>
      <c r="W104" s="64">
        <f t="shared" si="45"/>
        <v>5552.3197434104786</v>
      </c>
      <c r="X104" s="64">
        <f t="shared" si="45"/>
        <v>5657.6436760404422</v>
      </c>
      <c r="Y104" s="64">
        <f t="shared" si="45"/>
        <v>5764.9352112746683</v>
      </c>
      <c r="Z104" s="64">
        <f t="shared" si="45"/>
        <v>5874.2303124509981</v>
      </c>
      <c r="AA104" s="64">
        <f t="shared" si="45"/>
        <v>5985.5655791095132</v>
      </c>
      <c r="AB104" s="64">
        <f t="shared" si="45"/>
        <v>6098.9782576728312</v>
      </c>
      <c r="AC104" s="64"/>
      <c r="AD104" s="64"/>
      <c r="AE104" s="64"/>
      <c r="AF104" s="64"/>
      <c r="AG104" s="64"/>
    </row>
    <row r="105" spans="2:33" s="63" customFormat="1" hidden="1" outlineLevel="1" x14ac:dyDescent="0.3">
      <c r="B105" s="63" t="s">
        <v>89</v>
      </c>
      <c r="C105" s="64">
        <v>0</v>
      </c>
      <c r="D105" s="65">
        <f>D104</f>
        <v>-4635.8750309491152</v>
      </c>
      <c r="E105" s="65">
        <f t="shared" ref="E105:AB105" si="46">(D105+E104)*(E42&lt;=$C$19)</f>
        <v>-8951.6243681383457</v>
      </c>
      <c r="F105" s="65">
        <f t="shared" si="46"/>
        <v>-12945.579378154212</v>
      </c>
      <c r="G105" s="65">
        <f t="shared" si="46"/>
        <v>-16292.974658112895</v>
      </c>
      <c r="H105" s="65">
        <f t="shared" si="46"/>
        <v>-19307.072420084038</v>
      </c>
      <c r="I105" s="65">
        <f t="shared" si="46"/>
        <v>-21985.91186491822</v>
      </c>
      <c r="J105" s="65">
        <f t="shared" si="46"/>
        <v>-24327.496045308442</v>
      </c>
      <c r="K105" s="65">
        <f t="shared" si="46"/>
        <v>-26329.791217913629</v>
      </c>
      <c r="L105" s="65">
        <f t="shared" si="46"/>
        <v>-27990.7261843698</v>
      </c>
      <c r="M105" s="65">
        <f t="shared" si="46"/>
        <v>-29308.191621012124</v>
      </c>
      <c r="N105" s="65">
        <f t="shared" si="46"/>
        <v>-29800.039397128749</v>
      </c>
      <c r="O105" s="65">
        <f t="shared" si="46"/>
        <v>-29944.081881564747</v>
      </c>
      <c r="P105" s="65">
        <f t="shared" si="46"/>
        <v>-28211.691237492203</v>
      </c>
      <c r="Q105" s="65">
        <f t="shared" si="46"/>
        <v>-24600.598705159835</v>
      </c>
      <c r="R105" s="65">
        <f t="shared" si="46"/>
        <v>-20634.893872433258</v>
      </c>
      <c r="S105" s="65">
        <f t="shared" si="46"/>
        <v>-13768.223932934283</v>
      </c>
      <c r="T105" s="65">
        <f t="shared" si="46"/>
        <v>-6771.1529315852567</v>
      </c>
      <c r="U105" s="65">
        <f t="shared" si="46"/>
        <v>269.06925197860983</v>
      </c>
      <c r="V105" s="65">
        <f t="shared" si="46"/>
        <v>5717.9973277086556</v>
      </c>
      <c r="W105" s="65">
        <f t="shared" si="46"/>
        <v>11270.317071119134</v>
      </c>
      <c r="X105" s="65">
        <f t="shared" si="46"/>
        <v>16927.960747159577</v>
      </c>
      <c r="Y105" s="65">
        <f t="shared" si="46"/>
        <v>22692.895958434245</v>
      </c>
      <c r="Z105" s="65">
        <f t="shared" si="46"/>
        <v>28567.126270885245</v>
      </c>
      <c r="AA105" s="65">
        <f t="shared" si="46"/>
        <v>34552.691849994757</v>
      </c>
      <c r="AB105" s="65">
        <f t="shared" si="46"/>
        <v>40651.670107667589</v>
      </c>
      <c r="AC105" s="65"/>
      <c r="AD105" s="65"/>
      <c r="AE105" s="65"/>
      <c r="AF105" s="65"/>
      <c r="AG105" s="65"/>
    </row>
    <row r="106" spans="2:33" s="63" customFormat="1" hidden="1" outlineLevel="1" x14ac:dyDescent="0.3">
      <c r="B106" s="63" t="s">
        <v>90</v>
      </c>
      <c r="C106" s="64"/>
      <c r="D106" s="65">
        <f>D102+D99</f>
        <v>-4635.8750309491152</v>
      </c>
      <c r="E106" s="65">
        <f t="shared" ref="E106:AB106" si="47">E102+E99</f>
        <v>-4315.7493371892315</v>
      </c>
      <c r="F106" s="65">
        <f t="shared" si="47"/>
        <v>-3993.9550100158667</v>
      </c>
      <c r="G106" s="65">
        <f t="shared" si="47"/>
        <v>-3347.3952799586823</v>
      </c>
      <c r="H106" s="65">
        <f t="shared" si="47"/>
        <v>-3014.0977619711421</v>
      </c>
      <c r="I106" s="65">
        <f t="shared" si="47"/>
        <v>-2678.8394448341842</v>
      </c>
      <c r="J106" s="65">
        <f t="shared" si="47"/>
        <v>-2341.5841803902222</v>
      </c>
      <c r="K106" s="65">
        <f t="shared" si="47"/>
        <v>-2002.2951726051879</v>
      </c>
      <c r="L106" s="65">
        <f t="shared" si="47"/>
        <v>-1660.9349664561687</v>
      </c>
      <c r="M106" s="65">
        <f t="shared" si="47"/>
        <v>-1317.4654366423229</v>
      </c>
      <c r="N106" s="65">
        <f t="shared" si="47"/>
        <v>-491.84777611662321</v>
      </c>
      <c r="O106" s="65">
        <f t="shared" si="47"/>
        <v>-144.04248443599954</v>
      </c>
      <c r="P106" s="65">
        <f>P102+P99</f>
        <v>1732.3906440725441</v>
      </c>
      <c r="Q106" s="65">
        <f t="shared" si="47"/>
        <v>3611.09253233237</v>
      </c>
      <c r="R106" s="65">
        <f t="shared" si="47"/>
        <v>3965.7048327265779</v>
      </c>
      <c r="S106" s="65">
        <f t="shared" si="47"/>
        <v>6866.6699394989755</v>
      </c>
      <c r="T106" s="65">
        <f t="shared" si="47"/>
        <v>6997.0710013490261</v>
      </c>
      <c r="U106" s="65">
        <f t="shared" si="47"/>
        <v>7129.9119342234035</v>
      </c>
      <c r="V106" s="65">
        <f t="shared" si="47"/>
        <v>7265.2374343067277</v>
      </c>
      <c r="W106" s="65">
        <f t="shared" si="47"/>
        <v>7403.0929912139718</v>
      </c>
      <c r="X106" s="65">
        <f t="shared" si="47"/>
        <v>7543.5249013872563</v>
      </c>
      <c r="Y106" s="65">
        <f t="shared" si="47"/>
        <v>7686.5802816995574</v>
      </c>
      <c r="Z106" s="65">
        <f t="shared" si="47"/>
        <v>7832.3070832679969</v>
      </c>
      <c r="AA106" s="65">
        <f t="shared" si="47"/>
        <v>7980.754105479351</v>
      </c>
      <c r="AB106" s="65">
        <f t="shared" si="47"/>
        <v>8131.9710102304416</v>
      </c>
      <c r="AC106" s="65"/>
      <c r="AD106" s="65"/>
      <c r="AE106" s="65"/>
      <c r="AF106" s="65"/>
      <c r="AG106" s="65"/>
    </row>
    <row r="107" spans="2:33" s="63" customFormat="1" hidden="1" outlineLevel="1" x14ac:dyDescent="0.3">
      <c r="B107" s="63" t="s">
        <v>91</v>
      </c>
      <c r="C107" s="64"/>
      <c r="D107" s="66">
        <f>IF((C109+D106)&lt;0,0,MAX(0,(D106+(MIN(0,C109)))*$H$32))</f>
        <v>0</v>
      </c>
      <c r="E107" s="66">
        <f>IF((D109+E106)&lt;0,0,MAX(0,(E106+(MIN(0,D109)))*$H$32))</f>
        <v>0</v>
      </c>
      <c r="F107" s="66">
        <f t="shared" ref="F107:AB107" si="48">IF((E109+F106)&lt;0,0,MAX(0,(F106+(MIN(0,E109)))*$H$32))</f>
        <v>0</v>
      </c>
      <c r="G107" s="66">
        <f t="shared" si="48"/>
        <v>0</v>
      </c>
      <c r="H107" s="66">
        <f t="shared" si="48"/>
        <v>0</v>
      </c>
      <c r="I107" s="66">
        <f t="shared" si="48"/>
        <v>0</v>
      </c>
      <c r="J107" s="66">
        <f t="shared" si="48"/>
        <v>0</v>
      </c>
      <c r="K107" s="66">
        <f t="shared" si="48"/>
        <v>0</v>
      </c>
      <c r="L107" s="66">
        <f t="shared" si="48"/>
        <v>0</v>
      </c>
      <c r="M107" s="66">
        <f t="shared" si="48"/>
        <v>0</v>
      </c>
      <c r="N107" s="66">
        <f t="shared" si="48"/>
        <v>0</v>
      </c>
      <c r="O107" s="66">
        <f t="shared" si="48"/>
        <v>0</v>
      </c>
      <c r="P107" s="66">
        <f t="shared" si="48"/>
        <v>0</v>
      </c>
      <c r="Q107" s="66">
        <f t="shared" si="48"/>
        <v>0</v>
      </c>
      <c r="R107" s="66">
        <f t="shared" si="48"/>
        <v>0</v>
      </c>
      <c r="S107" s="66">
        <f t="shared" si="48"/>
        <v>0</v>
      </c>
      <c r="T107" s="66">
        <f t="shared" si="48"/>
        <v>0</v>
      </c>
      <c r="U107" s="66">
        <f t="shared" si="48"/>
        <v>89.689750659536685</v>
      </c>
      <c r="V107" s="66">
        <f t="shared" si="48"/>
        <v>1816.3093585766819</v>
      </c>
      <c r="W107" s="66">
        <f t="shared" si="48"/>
        <v>1850.7732478034929</v>
      </c>
      <c r="X107" s="66">
        <f t="shared" si="48"/>
        <v>1885.8812253468141</v>
      </c>
      <c r="Y107" s="66">
        <f t="shared" si="48"/>
        <v>1921.6450704248894</v>
      </c>
      <c r="Z107" s="66">
        <f t="shared" si="48"/>
        <v>1958.0767708169992</v>
      </c>
      <c r="AA107" s="66">
        <f t="shared" si="48"/>
        <v>1995.1885263698377</v>
      </c>
      <c r="AB107" s="66">
        <f t="shared" si="48"/>
        <v>2032.9927525576104</v>
      </c>
      <c r="AC107" s="66"/>
      <c r="AD107" s="66"/>
      <c r="AE107" s="66"/>
      <c r="AF107" s="66"/>
      <c r="AG107" s="66"/>
    </row>
    <row r="108" spans="2:33" s="63" customFormat="1" hidden="1" outlineLevel="1" x14ac:dyDescent="0.3">
      <c r="B108" s="63" t="s">
        <v>92</v>
      </c>
      <c r="C108" s="64"/>
      <c r="D108" s="64">
        <f>D106-D107</f>
        <v>-4635.8750309491152</v>
      </c>
      <c r="E108" s="64">
        <f t="shared" ref="E108:AB108" si="49">E106-E107</f>
        <v>-4315.7493371892315</v>
      </c>
      <c r="F108" s="64">
        <f t="shared" si="49"/>
        <v>-3993.9550100158667</v>
      </c>
      <c r="G108" s="64">
        <f t="shared" si="49"/>
        <v>-3347.3952799586823</v>
      </c>
      <c r="H108" s="64">
        <f t="shared" si="49"/>
        <v>-3014.0977619711421</v>
      </c>
      <c r="I108" s="64">
        <f t="shared" si="49"/>
        <v>-2678.8394448341842</v>
      </c>
      <c r="J108" s="64">
        <f t="shared" si="49"/>
        <v>-2341.5841803902222</v>
      </c>
      <c r="K108" s="64">
        <f t="shared" si="49"/>
        <v>-2002.2951726051879</v>
      </c>
      <c r="L108" s="64">
        <f t="shared" si="49"/>
        <v>-1660.9349664561687</v>
      </c>
      <c r="M108" s="64">
        <f t="shared" si="49"/>
        <v>-1317.4654366423229</v>
      </c>
      <c r="N108" s="64">
        <f t="shared" si="49"/>
        <v>-491.84777611662321</v>
      </c>
      <c r="O108" s="64">
        <f t="shared" si="49"/>
        <v>-144.04248443599954</v>
      </c>
      <c r="P108" s="64">
        <f t="shared" si="49"/>
        <v>1732.3906440725441</v>
      </c>
      <c r="Q108" s="64">
        <f t="shared" si="49"/>
        <v>3611.09253233237</v>
      </c>
      <c r="R108" s="64">
        <f t="shared" si="49"/>
        <v>3965.7048327265779</v>
      </c>
      <c r="S108" s="64">
        <f t="shared" si="49"/>
        <v>6866.6699394989755</v>
      </c>
      <c r="T108" s="64">
        <f t="shared" si="49"/>
        <v>6997.0710013490261</v>
      </c>
      <c r="U108" s="64">
        <f t="shared" si="49"/>
        <v>7040.2221835638666</v>
      </c>
      <c r="V108" s="64">
        <f t="shared" si="49"/>
        <v>5448.9280757300457</v>
      </c>
      <c r="W108" s="64">
        <f t="shared" si="49"/>
        <v>5552.3197434104786</v>
      </c>
      <c r="X108" s="64">
        <f t="shared" si="49"/>
        <v>5657.6436760404422</v>
      </c>
      <c r="Y108" s="64">
        <f t="shared" si="49"/>
        <v>5764.9352112746683</v>
      </c>
      <c r="Z108" s="64">
        <f t="shared" si="49"/>
        <v>5874.2303124509981</v>
      </c>
      <c r="AA108" s="64">
        <f t="shared" si="49"/>
        <v>5985.5655791095132</v>
      </c>
      <c r="AB108" s="64">
        <f t="shared" si="49"/>
        <v>6098.9782576728312</v>
      </c>
      <c r="AC108" s="64"/>
      <c r="AD108" s="64"/>
      <c r="AE108" s="64"/>
      <c r="AF108" s="64"/>
      <c r="AG108" s="64"/>
    </row>
    <row r="109" spans="2:33" s="63" customFormat="1" hidden="1" outlineLevel="1" x14ac:dyDescent="0.3">
      <c r="B109" s="63" t="s">
        <v>93</v>
      </c>
      <c r="C109" s="64"/>
      <c r="D109" s="65">
        <f>D108</f>
        <v>-4635.8750309491152</v>
      </c>
      <c r="E109" s="65">
        <f t="shared" ref="E109:AB109" si="50">(D109+E108)*(E42&lt;=$C$19)</f>
        <v>-8951.6243681383457</v>
      </c>
      <c r="F109" s="65">
        <f t="shared" si="50"/>
        <v>-12945.579378154212</v>
      </c>
      <c r="G109" s="65">
        <f t="shared" si="50"/>
        <v>-16292.974658112895</v>
      </c>
      <c r="H109" s="65">
        <f t="shared" si="50"/>
        <v>-19307.072420084038</v>
      </c>
      <c r="I109" s="65">
        <f t="shared" si="50"/>
        <v>-21985.91186491822</v>
      </c>
      <c r="J109" s="65">
        <f t="shared" si="50"/>
        <v>-24327.496045308442</v>
      </c>
      <c r="K109" s="65">
        <f t="shared" si="50"/>
        <v>-26329.791217913629</v>
      </c>
      <c r="L109" s="65">
        <f t="shared" si="50"/>
        <v>-27990.7261843698</v>
      </c>
      <c r="M109" s="65">
        <f t="shared" si="50"/>
        <v>-29308.191621012124</v>
      </c>
      <c r="N109" s="65">
        <f t="shared" si="50"/>
        <v>-29800.039397128749</v>
      </c>
      <c r="O109" s="65">
        <f t="shared" si="50"/>
        <v>-29944.081881564747</v>
      </c>
      <c r="P109" s="65">
        <f t="shared" si="50"/>
        <v>-28211.691237492203</v>
      </c>
      <c r="Q109" s="65">
        <f t="shared" si="50"/>
        <v>-24600.598705159835</v>
      </c>
      <c r="R109" s="65">
        <f t="shared" si="50"/>
        <v>-20634.893872433258</v>
      </c>
      <c r="S109" s="65">
        <f t="shared" si="50"/>
        <v>-13768.223932934283</v>
      </c>
      <c r="T109" s="65">
        <f t="shared" si="50"/>
        <v>-6771.1529315852567</v>
      </c>
      <c r="U109" s="65">
        <f t="shared" si="50"/>
        <v>269.06925197860983</v>
      </c>
      <c r="V109" s="65">
        <f t="shared" si="50"/>
        <v>5717.9973277086556</v>
      </c>
      <c r="W109" s="65">
        <f t="shared" si="50"/>
        <v>11270.317071119134</v>
      </c>
      <c r="X109" s="65">
        <f t="shared" si="50"/>
        <v>16927.960747159577</v>
      </c>
      <c r="Y109" s="65">
        <f t="shared" si="50"/>
        <v>22692.895958434245</v>
      </c>
      <c r="Z109" s="65">
        <f t="shared" si="50"/>
        <v>28567.126270885245</v>
      </c>
      <c r="AA109" s="65">
        <f t="shared" si="50"/>
        <v>34552.691849994757</v>
      </c>
      <c r="AB109" s="65">
        <f t="shared" si="50"/>
        <v>40651.670107667589</v>
      </c>
      <c r="AC109" s="65"/>
      <c r="AD109" s="65"/>
      <c r="AE109" s="65"/>
      <c r="AF109" s="65"/>
      <c r="AG109" s="65"/>
    </row>
    <row r="110" spans="2:33" s="63" customFormat="1" hidden="1" outlineLevel="1" x14ac:dyDescent="0.3">
      <c r="B110" s="63" t="s">
        <v>94</v>
      </c>
      <c r="C110" s="64"/>
      <c r="D110" s="65">
        <f>MAX(0,D107-D103)</f>
        <v>0</v>
      </c>
      <c r="E110" s="65">
        <f t="shared" ref="E110:AB110" si="51">MAX(0,E107-E103)</f>
        <v>0</v>
      </c>
      <c r="F110" s="65">
        <f t="shared" si="51"/>
        <v>0</v>
      </c>
      <c r="G110" s="65">
        <f t="shared" si="51"/>
        <v>0</v>
      </c>
      <c r="H110" s="65">
        <f t="shared" si="51"/>
        <v>0</v>
      </c>
      <c r="I110" s="65">
        <f t="shared" si="51"/>
        <v>0</v>
      </c>
      <c r="J110" s="65">
        <f t="shared" si="51"/>
        <v>0</v>
      </c>
      <c r="K110" s="65">
        <f t="shared" si="51"/>
        <v>0</v>
      </c>
      <c r="L110" s="65">
        <f t="shared" si="51"/>
        <v>0</v>
      </c>
      <c r="M110" s="65">
        <f t="shared" si="51"/>
        <v>0</v>
      </c>
      <c r="N110" s="65">
        <f t="shared" si="51"/>
        <v>0</v>
      </c>
      <c r="O110" s="65">
        <f t="shared" si="51"/>
        <v>0</v>
      </c>
      <c r="P110" s="65">
        <f t="shared" si="51"/>
        <v>0</v>
      </c>
      <c r="Q110" s="65">
        <f t="shared" si="51"/>
        <v>0</v>
      </c>
      <c r="R110" s="65">
        <f t="shared" si="51"/>
        <v>0</v>
      </c>
      <c r="S110" s="65">
        <f t="shared" si="51"/>
        <v>0</v>
      </c>
      <c r="T110" s="65">
        <f t="shared" si="51"/>
        <v>0</v>
      </c>
      <c r="U110" s="65">
        <f t="shared" si="51"/>
        <v>0</v>
      </c>
      <c r="V110" s="65">
        <f t="shared" si="51"/>
        <v>0</v>
      </c>
      <c r="W110" s="65">
        <f t="shared" si="51"/>
        <v>0</v>
      </c>
      <c r="X110" s="65">
        <f t="shared" si="51"/>
        <v>0</v>
      </c>
      <c r="Y110" s="65">
        <f t="shared" si="51"/>
        <v>0</v>
      </c>
      <c r="Z110" s="65">
        <f t="shared" si="51"/>
        <v>0</v>
      </c>
      <c r="AA110" s="65">
        <f t="shared" si="51"/>
        <v>0</v>
      </c>
      <c r="AB110" s="65">
        <f t="shared" si="51"/>
        <v>0</v>
      </c>
      <c r="AC110" s="65"/>
      <c r="AD110" s="65"/>
      <c r="AE110" s="65"/>
      <c r="AF110" s="65"/>
      <c r="AG110" s="65"/>
    </row>
    <row r="111" spans="2:33" s="3" customFormat="1" collapsed="1" x14ac:dyDescent="0.3">
      <c r="B111" s="67" t="s">
        <v>95</v>
      </c>
      <c r="C111" s="68"/>
      <c r="D111" s="68">
        <f>D101-D103</f>
        <v>-3109.4750309491151</v>
      </c>
      <c r="E111" s="61">
        <f>E101-E103</f>
        <v>-2789.3493371892314</v>
      </c>
      <c r="F111" s="61">
        <f t="shared" ref="F111:AB111" si="52">F101-F103</f>
        <v>-2467.5550100158666</v>
      </c>
      <c r="G111" s="61">
        <f t="shared" si="52"/>
        <v>-1820.9952799586822</v>
      </c>
      <c r="H111" s="61">
        <f t="shared" si="52"/>
        <v>-1487.697761971142</v>
      </c>
      <c r="I111" s="61">
        <f t="shared" si="52"/>
        <v>-1152.4394448341841</v>
      </c>
      <c r="J111" s="61">
        <f t="shared" si="52"/>
        <v>-815.18418039022208</v>
      </c>
      <c r="K111" s="61">
        <f t="shared" si="52"/>
        <v>-475.89517260518778</v>
      </c>
      <c r="L111" s="61">
        <f t="shared" si="52"/>
        <v>-134.5349664561686</v>
      </c>
      <c r="M111" s="61">
        <f t="shared" si="52"/>
        <v>208.93456335767723</v>
      </c>
      <c r="N111" s="61">
        <f t="shared" si="52"/>
        <v>1034.5522238833769</v>
      </c>
      <c r="O111" s="61">
        <f t="shared" si="52"/>
        <v>1382.3575155640006</v>
      </c>
      <c r="P111" s="61">
        <f t="shared" si="52"/>
        <v>1732.3906440725464</v>
      </c>
      <c r="Q111" s="61">
        <f t="shared" si="52"/>
        <v>2084.6925323323699</v>
      </c>
      <c r="R111" s="61">
        <f t="shared" si="52"/>
        <v>2439.3048327265778</v>
      </c>
      <c r="S111" s="61">
        <f t="shared" si="52"/>
        <v>5340.2699394989759</v>
      </c>
      <c r="T111" s="61">
        <f t="shared" si="52"/>
        <v>5470.6710013490265</v>
      </c>
      <c r="U111" s="61">
        <f t="shared" si="52"/>
        <v>5513.822183563866</v>
      </c>
      <c r="V111" s="61">
        <f t="shared" si="52"/>
        <v>3922.5280757300461</v>
      </c>
      <c r="W111" s="61">
        <f t="shared" si="52"/>
        <v>4025.9197434104781</v>
      </c>
      <c r="X111" s="61">
        <f t="shared" si="52"/>
        <v>4131.2436760404426</v>
      </c>
      <c r="Y111" s="61">
        <f t="shared" si="52"/>
        <v>4238.5352112746677</v>
      </c>
      <c r="Z111" s="61">
        <f t="shared" si="52"/>
        <v>4347.8303124509985</v>
      </c>
      <c r="AA111" s="61">
        <f t="shared" si="52"/>
        <v>4459.1655791095136</v>
      </c>
      <c r="AB111" s="61">
        <f t="shared" si="52"/>
        <v>4572.5782576728488</v>
      </c>
      <c r="AC111" s="61"/>
      <c r="AD111" s="61"/>
      <c r="AE111" s="61"/>
      <c r="AF111" s="61"/>
      <c r="AG111" s="61"/>
    </row>
    <row r="112" spans="2:33" s="3" customFormat="1" x14ac:dyDescent="0.3">
      <c r="B112" t="s">
        <v>81</v>
      </c>
      <c r="C112" s="61"/>
      <c r="D112" s="38">
        <f>D111</f>
        <v>-3109.4750309491151</v>
      </c>
      <c r="E112" s="38">
        <f t="shared" ref="E112:AB112" si="53">(D112+E111)*(E42&lt;=$C$19)</f>
        <v>-5898.8243681383465</v>
      </c>
      <c r="F112" s="38">
        <f t="shared" si="53"/>
        <v>-8366.3793781542136</v>
      </c>
      <c r="G112" s="38">
        <f t="shared" si="53"/>
        <v>-10187.374658112896</v>
      </c>
      <c r="H112" s="38">
        <f t="shared" si="53"/>
        <v>-11675.072420084038</v>
      </c>
      <c r="I112" s="38">
        <f t="shared" si="53"/>
        <v>-12827.511864918222</v>
      </c>
      <c r="J112" s="38">
        <f t="shared" si="53"/>
        <v>-13642.696045308445</v>
      </c>
      <c r="K112" s="38">
        <f t="shared" si="53"/>
        <v>-14118.591217913632</v>
      </c>
      <c r="L112" s="38">
        <f t="shared" si="53"/>
        <v>-14253.126184369801</v>
      </c>
      <c r="M112" s="38">
        <f t="shared" si="53"/>
        <v>-14044.191621012124</v>
      </c>
      <c r="N112" s="38">
        <f t="shared" si="53"/>
        <v>-13009.639397128747</v>
      </c>
      <c r="O112" s="38">
        <f t="shared" si="53"/>
        <v>-11627.281881564746</v>
      </c>
      <c r="P112" s="38">
        <f t="shared" si="53"/>
        <v>-9894.8912374922002</v>
      </c>
      <c r="Q112" s="38">
        <f t="shared" si="53"/>
        <v>-7810.1987051598298</v>
      </c>
      <c r="R112" s="38">
        <f t="shared" si="53"/>
        <v>-5370.893872433252</v>
      </c>
      <c r="S112" s="38">
        <f t="shared" si="53"/>
        <v>-30.623932934276127</v>
      </c>
      <c r="T112" s="38">
        <f t="shared" si="53"/>
        <v>5440.0470684147504</v>
      </c>
      <c r="U112" s="38">
        <f t="shared" si="53"/>
        <v>10953.869251978616</v>
      </c>
      <c r="V112" s="38">
        <f t="shared" si="53"/>
        <v>14876.397327708662</v>
      </c>
      <c r="W112" s="38">
        <f t="shared" si="53"/>
        <v>18902.317071119141</v>
      </c>
      <c r="X112" s="38">
        <f t="shared" si="53"/>
        <v>23033.560747159583</v>
      </c>
      <c r="Y112" s="38">
        <f t="shared" si="53"/>
        <v>27272.095958434249</v>
      </c>
      <c r="Z112" s="38">
        <f t="shared" si="53"/>
        <v>31619.926270885248</v>
      </c>
      <c r="AA112" s="38">
        <f t="shared" si="53"/>
        <v>36079.091849994758</v>
      </c>
      <c r="AB112" s="38">
        <f t="shared" si="53"/>
        <v>40651.670107667611</v>
      </c>
      <c r="AC112" s="38"/>
      <c r="AD112" s="38"/>
      <c r="AE112" s="38"/>
      <c r="AF112" s="38"/>
      <c r="AG112" s="38"/>
    </row>
    <row r="113" spans="1:33" x14ac:dyDescent="0.3">
      <c r="C113" s="52"/>
      <c r="D113" s="52">
        <f t="shared" ref="D113:AB113" si="54">IF(ISERR(D111/D52),"n/a",D111/D52)</f>
        <v>-0.518795331889922</v>
      </c>
      <c r="E113" s="52">
        <f t="shared" si="54"/>
        <v>-0.45631521345789561</v>
      </c>
      <c r="F113" s="52">
        <f t="shared" si="54"/>
        <v>-0.39580560223193822</v>
      </c>
      <c r="G113" s="52">
        <f t="shared" si="54"/>
        <v>-0.28640260746844665</v>
      </c>
      <c r="H113" s="52">
        <f t="shared" si="54"/>
        <v>-0.22942244879680462</v>
      </c>
      <c r="I113" s="52">
        <f t="shared" si="54"/>
        <v>-0.17425785736894567</v>
      </c>
      <c r="J113" s="52">
        <f t="shared" si="54"/>
        <v>-0.12086012863130909</v>
      </c>
      <c r="K113" s="52">
        <f t="shared" si="54"/>
        <v>-6.9181768913547589E-2</v>
      </c>
      <c r="L113" s="52">
        <f t="shared" si="54"/>
        <v>-1.9176466740993998E-2</v>
      </c>
      <c r="M113" s="52">
        <f t="shared" si="54"/>
        <v>2.9200935194564022E-2</v>
      </c>
      <c r="N113" s="52">
        <f t="shared" si="54"/>
        <v>0.14177248216989852</v>
      </c>
      <c r="O113" s="52">
        <f t="shared" si="54"/>
        <v>0.18574321413493039</v>
      </c>
      <c r="P113" s="52">
        <f t="shared" si="54"/>
        <v>0.22823984401534508</v>
      </c>
      <c r="Q113" s="52">
        <f t="shared" si="54"/>
        <v>0.26930269327758366</v>
      </c>
      <c r="R113" s="52">
        <f t="shared" si="54"/>
        <v>0.30897106948550951</v>
      </c>
      <c r="S113" s="52">
        <f t="shared" si="54"/>
        <v>0.66323586665123646</v>
      </c>
      <c r="T113" s="52">
        <f t="shared" si="54"/>
        <v>0.66619051546501185</v>
      </c>
      <c r="U113" s="52">
        <f t="shared" si="54"/>
        <v>0.65836033549549777</v>
      </c>
      <c r="V113" s="52">
        <f t="shared" si="54"/>
        <v>0.45922975129200394</v>
      </c>
      <c r="W113" s="52">
        <f t="shared" si="54"/>
        <v>0.46214911131577163</v>
      </c>
      <c r="X113" s="52">
        <f t="shared" si="54"/>
        <v>0.46499777536572356</v>
      </c>
      <c r="Y113" s="52">
        <f t="shared" si="54"/>
        <v>0.46777705177362766</v>
      </c>
      <c r="Z113" s="52">
        <f t="shared" si="54"/>
        <v>0.4704882230263116</v>
      </c>
      <c r="AA113" s="52">
        <f t="shared" si="54"/>
        <v>0.47313254626756701</v>
      </c>
      <c r="AB113" s="52">
        <f t="shared" si="54"/>
        <v>0.47571125379026952</v>
      </c>
      <c r="AC113" s="52"/>
      <c r="AD113" s="52"/>
      <c r="AE113" s="52"/>
      <c r="AF113" s="52"/>
      <c r="AG113" s="52"/>
    </row>
    <row r="114" spans="1:33" x14ac:dyDescent="0.3">
      <c r="C114" s="52"/>
      <c r="D114" s="52"/>
      <c r="E114" s="52"/>
      <c r="F114" s="52"/>
      <c r="G114" s="52"/>
      <c r="H114" s="52"/>
      <c r="I114" s="52"/>
      <c r="J114" s="52"/>
      <c r="K114" s="52"/>
      <c r="L114" s="52"/>
      <c r="M114" s="52"/>
      <c r="N114" s="52"/>
      <c r="O114" s="52"/>
      <c r="P114" s="52"/>
      <c r="Q114" s="52"/>
      <c r="R114" s="52"/>
      <c r="S114" s="52"/>
      <c r="T114" s="52"/>
      <c r="U114" s="52"/>
      <c r="V114" s="52"/>
      <c r="W114" s="52"/>
      <c r="X114" s="52"/>
      <c r="Y114" s="52"/>
      <c r="Z114" s="52"/>
      <c r="AA114" s="52"/>
      <c r="AB114" s="52"/>
      <c r="AC114" s="52"/>
      <c r="AD114" s="52"/>
      <c r="AE114" s="52"/>
      <c r="AF114" s="52"/>
      <c r="AG114" s="52"/>
    </row>
    <row r="115" spans="1:33" x14ac:dyDescent="0.3">
      <c r="B115" t="s">
        <v>96</v>
      </c>
      <c r="C115" s="52"/>
      <c r="D115" s="42">
        <f t="shared" ref="D115:AB115" si="55">MAX(0,D111*$C$31)*(D42&lt;=$C$19)</f>
        <v>0</v>
      </c>
      <c r="E115" s="42">
        <f t="shared" si="55"/>
        <v>0</v>
      </c>
      <c r="F115" s="42">
        <f t="shared" si="55"/>
        <v>0</v>
      </c>
      <c r="G115" s="42">
        <f t="shared" si="55"/>
        <v>0</v>
      </c>
      <c r="H115" s="42">
        <f t="shared" si="55"/>
        <v>0</v>
      </c>
      <c r="I115" s="42">
        <f t="shared" si="55"/>
        <v>0</v>
      </c>
      <c r="J115" s="42">
        <f t="shared" si="55"/>
        <v>0</v>
      </c>
      <c r="K115" s="42">
        <f t="shared" si="55"/>
        <v>0</v>
      </c>
      <c r="L115" s="42">
        <f t="shared" si="55"/>
        <v>0</v>
      </c>
      <c r="M115" s="42">
        <f t="shared" si="55"/>
        <v>0</v>
      </c>
      <c r="N115" s="42">
        <f t="shared" si="55"/>
        <v>0</v>
      </c>
      <c r="O115" s="42">
        <f t="shared" si="55"/>
        <v>0</v>
      </c>
      <c r="P115" s="42">
        <f t="shared" si="55"/>
        <v>0</v>
      </c>
      <c r="Q115" s="42">
        <f t="shared" si="55"/>
        <v>0</v>
      </c>
      <c r="R115" s="42">
        <f t="shared" si="55"/>
        <v>0</v>
      </c>
      <c r="S115" s="42">
        <f t="shared" si="55"/>
        <v>0</v>
      </c>
      <c r="T115" s="42">
        <f t="shared" si="55"/>
        <v>0</v>
      </c>
      <c r="U115" s="42">
        <f t="shared" si="55"/>
        <v>0</v>
      </c>
      <c r="V115" s="42">
        <f t="shared" si="55"/>
        <v>0</v>
      </c>
      <c r="W115" s="42">
        <f t="shared" si="55"/>
        <v>0</v>
      </c>
      <c r="X115" s="42">
        <f t="shared" si="55"/>
        <v>0</v>
      </c>
      <c r="Y115" s="42">
        <f t="shared" si="55"/>
        <v>0</v>
      </c>
      <c r="Z115" s="42">
        <f t="shared" si="55"/>
        <v>0</v>
      </c>
      <c r="AA115" s="42">
        <f t="shared" si="55"/>
        <v>0</v>
      </c>
      <c r="AB115" s="42">
        <f t="shared" si="55"/>
        <v>0</v>
      </c>
      <c r="AC115" s="42"/>
      <c r="AD115" s="42"/>
      <c r="AE115" s="42"/>
      <c r="AF115" s="42"/>
      <c r="AG115" s="42"/>
    </row>
    <row r="116" spans="1:33" s="3" customFormat="1" x14ac:dyDescent="0.3">
      <c r="B116" s="3" t="s">
        <v>97</v>
      </c>
      <c r="C116" s="61"/>
      <c r="D116" s="61">
        <f>D111-D115</f>
        <v>-3109.4750309491151</v>
      </c>
      <c r="E116" s="61">
        <f t="shared" ref="E116:AB116" si="56">E111-E115</f>
        <v>-2789.3493371892314</v>
      </c>
      <c r="F116" s="61">
        <f t="shared" si="56"/>
        <v>-2467.5550100158666</v>
      </c>
      <c r="G116" s="61">
        <f t="shared" si="56"/>
        <v>-1820.9952799586822</v>
      </c>
      <c r="H116" s="61">
        <f t="shared" si="56"/>
        <v>-1487.697761971142</v>
      </c>
      <c r="I116" s="61">
        <f t="shared" si="56"/>
        <v>-1152.4394448341841</v>
      </c>
      <c r="J116" s="61">
        <f t="shared" si="56"/>
        <v>-815.18418039022208</v>
      </c>
      <c r="K116" s="61">
        <f t="shared" si="56"/>
        <v>-475.89517260518778</v>
      </c>
      <c r="L116" s="61">
        <f t="shared" si="56"/>
        <v>-134.5349664561686</v>
      </c>
      <c r="M116" s="61">
        <f t="shared" si="56"/>
        <v>208.93456335767723</v>
      </c>
      <c r="N116" s="61">
        <f t="shared" si="56"/>
        <v>1034.5522238833769</v>
      </c>
      <c r="O116" s="61">
        <f t="shared" si="56"/>
        <v>1382.3575155640006</v>
      </c>
      <c r="P116" s="61">
        <f t="shared" si="56"/>
        <v>1732.3906440725464</v>
      </c>
      <c r="Q116" s="61">
        <f t="shared" si="56"/>
        <v>2084.6925323323699</v>
      </c>
      <c r="R116" s="61">
        <f t="shared" si="56"/>
        <v>2439.3048327265778</v>
      </c>
      <c r="S116" s="61">
        <f t="shared" si="56"/>
        <v>5340.2699394989759</v>
      </c>
      <c r="T116" s="61">
        <f t="shared" si="56"/>
        <v>5470.6710013490265</v>
      </c>
      <c r="U116" s="61">
        <f t="shared" si="56"/>
        <v>5513.822183563866</v>
      </c>
      <c r="V116" s="61">
        <f t="shared" si="56"/>
        <v>3922.5280757300461</v>
      </c>
      <c r="W116" s="61">
        <f t="shared" si="56"/>
        <v>4025.9197434104781</v>
      </c>
      <c r="X116" s="61">
        <f t="shared" si="56"/>
        <v>4131.2436760404426</v>
      </c>
      <c r="Y116" s="61">
        <f t="shared" si="56"/>
        <v>4238.5352112746677</v>
      </c>
      <c r="Z116" s="61">
        <f t="shared" si="56"/>
        <v>4347.8303124509985</v>
      </c>
      <c r="AA116" s="61">
        <f t="shared" si="56"/>
        <v>4459.1655791095136</v>
      </c>
      <c r="AB116" s="61">
        <f t="shared" si="56"/>
        <v>4572.5782576728488</v>
      </c>
      <c r="AC116" s="61"/>
      <c r="AD116" s="61"/>
      <c r="AE116" s="61"/>
      <c r="AF116" s="61"/>
      <c r="AG116" s="61"/>
    </row>
    <row r="117" spans="1:33" s="3" customFormat="1" x14ac:dyDescent="0.3">
      <c r="C117" s="61"/>
      <c r="D117" s="61">
        <f>SUM(D116*40%)</f>
        <v>-1243.7900123796462</v>
      </c>
      <c r="E117" s="61">
        <f t="shared" ref="E117:F117" si="57">SUM(E116*40%)</f>
        <v>-1115.7397348756926</v>
      </c>
      <c r="F117" s="61">
        <f t="shared" si="57"/>
        <v>-987.02200400634672</v>
      </c>
      <c r="G117" s="61">
        <f>SUM(D117:F117)</f>
        <v>-3346.5517512616857</v>
      </c>
      <c r="H117" s="61"/>
      <c r="I117" s="61"/>
      <c r="J117" s="61"/>
      <c r="K117" s="61"/>
      <c r="L117" s="61"/>
      <c r="M117" s="61"/>
      <c r="N117" s="61"/>
      <c r="O117" s="61"/>
      <c r="P117" s="61"/>
      <c r="Q117" s="61"/>
      <c r="R117" s="61"/>
      <c r="S117" s="61"/>
      <c r="T117" s="61"/>
      <c r="U117" s="61"/>
      <c r="V117" s="61"/>
      <c r="W117" s="61"/>
      <c r="X117" s="61"/>
      <c r="Y117" s="61"/>
      <c r="Z117" s="61"/>
      <c r="AA117" s="61"/>
      <c r="AB117" s="61"/>
      <c r="AC117" s="61"/>
      <c r="AD117" s="61"/>
      <c r="AE117" s="61"/>
      <c r="AF117" s="61"/>
      <c r="AG117" s="61"/>
    </row>
    <row r="118" spans="1:33" x14ac:dyDescent="0.3">
      <c r="D118" s="49">
        <f>SUM(D117/3)</f>
        <v>-414.59667079321542</v>
      </c>
      <c r="E118" s="49">
        <f t="shared" ref="E118:F118" si="58">SUM(E117/3)</f>
        <v>-371.91324495856423</v>
      </c>
      <c r="F118" s="49">
        <f t="shared" si="58"/>
        <v>-329.00733466878222</v>
      </c>
      <c r="G118" s="49">
        <f>SUM(D118:F118)</f>
        <v>-1115.5172504205618</v>
      </c>
      <c r="H118" s="69">
        <v>423000</v>
      </c>
      <c r="I118" s="70">
        <f>SUM(AB176*70%*40%/3)</f>
        <v>3794.1558767156434</v>
      </c>
      <c r="J118" s="71">
        <f>SUM(I118*5)</f>
        <v>18970.779383578218</v>
      </c>
    </row>
    <row r="119" spans="1:33" x14ac:dyDescent="0.3">
      <c r="B119" s="2" t="s">
        <v>98</v>
      </c>
      <c r="C119" s="2">
        <v>0</v>
      </c>
      <c r="D119" s="2">
        <v>1</v>
      </c>
      <c r="E119" s="2">
        <v>2</v>
      </c>
      <c r="F119" s="2">
        <v>3</v>
      </c>
      <c r="G119" s="2">
        <v>4</v>
      </c>
      <c r="H119" s="2">
        <v>5</v>
      </c>
      <c r="I119" s="2">
        <v>6</v>
      </c>
      <c r="J119" s="2">
        <v>7</v>
      </c>
      <c r="K119" s="2">
        <v>8</v>
      </c>
      <c r="L119" s="2">
        <v>9</v>
      </c>
      <c r="M119" s="2">
        <v>10</v>
      </c>
      <c r="N119" s="2">
        <v>11</v>
      </c>
      <c r="O119" s="2">
        <v>12</v>
      </c>
      <c r="P119" s="2">
        <v>13</v>
      </c>
      <c r="Q119" s="2">
        <v>14</v>
      </c>
      <c r="R119" s="2">
        <v>15</v>
      </c>
      <c r="S119" s="2">
        <v>16</v>
      </c>
      <c r="T119" s="2">
        <v>17</v>
      </c>
      <c r="U119" s="2">
        <v>18</v>
      </c>
      <c r="V119" s="2">
        <v>19</v>
      </c>
      <c r="W119" s="2">
        <v>20</v>
      </c>
      <c r="X119" s="2">
        <v>21</v>
      </c>
      <c r="Y119" s="2">
        <v>22</v>
      </c>
      <c r="Z119" s="2">
        <v>23</v>
      </c>
      <c r="AA119" s="2">
        <v>24</v>
      </c>
      <c r="AB119" s="2">
        <v>25</v>
      </c>
      <c r="AC119" s="2"/>
      <c r="AD119" s="2"/>
      <c r="AE119" s="2"/>
      <c r="AF119" s="2"/>
      <c r="AG119" s="2"/>
    </row>
    <row r="121" spans="1:33" x14ac:dyDescent="0.3">
      <c r="B121" t="s">
        <v>95</v>
      </c>
      <c r="C121" s="42"/>
      <c r="D121" s="42">
        <f>D111</f>
        <v>-3109.4750309491151</v>
      </c>
      <c r="E121" s="42">
        <f t="shared" ref="E121:AB121" si="59">E111</f>
        <v>-2789.3493371892314</v>
      </c>
      <c r="F121" s="42">
        <f t="shared" si="59"/>
        <v>-2467.5550100158666</v>
      </c>
      <c r="G121" s="42">
        <f t="shared" si="59"/>
        <v>-1820.9952799586822</v>
      </c>
      <c r="H121" s="42">
        <f t="shared" si="59"/>
        <v>-1487.697761971142</v>
      </c>
      <c r="I121" s="42">
        <f t="shared" si="59"/>
        <v>-1152.4394448341841</v>
      </c>
      <c r="J121" s="42">
        <f t="shared" si="59"/>
        <v>-815.18418039022208</v>
      </c>
      <c r="K121" s="42">
        <f t="shared" si="59"/>
        <v>-475.89517260518778</v>
      </c>
      <c r="L121" s="42">
        <f t="shared" si="59"/>
        <v>-134.5349664561686</v>
      </c>
      <c r="M121" s="42">
        <f t="shared" si="59"/>
        <v>208.93456335767723</v>
      </c>
      <c r="N121" s="42">
        <f t="shared" si="59"/>
        <v>1034.5522238833769</v>
      </c>
      <c r="O121" s="42">
        <f t="shared" si="59"/>
        <v>1382.3575155640006</v>
      </c>
      <c r="P121" s="42">
        <f t="shared" si="59"/>
        <v>1732.3906440725464</v>
      </c>
      <c r="Q121" s="42">
        <f t="shared" si="59"/>
        <v>2084.6925323323699</v>
      </c>
      <c r="R121" s="42">
        <f t="shared" si="59"/>
        <v>2439.3048327265778</v>
      </c>
      <c r="S121" s="42">
        <f t="shared" si="59"/>
        <v>5340.2699394989759</v>
      </c>
      <c r="T121" s="42">
        <f t="shared" si="59"/>
        <v>5470.6710013490265</v>
      </c>
      <c r="U121" s="42">
        <f t="shared" si="59"/>
        <v>5513.822183563866</v>
      </c>
      <c r="V121" s="42">
        <f t="shared" si="59"/>
        <v>3922.5280757300461</v>
      </c>
      <c r="W121" s="42">
        <f t="shared" si="59"/>
        <v>4025.9197434104781</v>
      </c>
      <c r="X121" s="42">
        <f t="shared" si="59"/>
        <v>4131.2436760404426</v>
      </c>
      <c r="Y121" s="42">
        <f t="shared" si="59"/>
        <v>4238.5352112746677</v>
      </c>
      <c r="Z121" s="42">
        <f t="shared" si="59"/>
        <v>4347.8303124509985</v>
      </c>
      <c r="AA121" s="42">
        <f t="shared" si="59"/>
        <v>4459.1655791095136</v>
      </c>
      <c r="AB121" s="42">
        <f t="shared" si="59"/>
        <v>4572.5782576728488</v>
      </c>
      <c r="AC121" s="42"/>
      <c r="AD121" s="42"/>
      <c r="AE121" s="42"/>
      <c r="AF121" s="42"/>
      <c r="AG121" s="42"/>
    </row>
    <row r="122" spans="1:33" x14ac:dyDescent="0.3">
      <c r="B122" t="s">
        <v>99</v>
      </c>
      <c r="C122" s="42"/>
      <c r="D122" s="42">
        <f t="shared" ref="D122:AB123" si="60">D99</f>
        <v>0</v>
      </c>
      <c r="E122" s="42">
        <f t="shared" si="60"/>
        <v>0</v>
      </c>
      <c r="F122" s="42">
        <f t="shared" si="60"/>
        <v>0</v>
      </c>
      <c r="G122" s="42">
        <f t="shared" si="60"/>
        <v>0</v>
      </c>
      <c r="H122" s="42">
        <f t="shared" si="60"/>
        <v>0</v>
      </c>
      <c r="I122" s="42">
        <f t="shared" si="60"/>
        <v>0</v>
      </c>
      <c r="J122" s="42">
        <f t="shared" si="60"/>
        <v>0</v>
      </c>
      <c r="K122" s="42">
        <f t="shared" si="60"/>
        <v>0</v>
      </c>
      <c r="L122" s="42">
        <f t="shared" si="60"/>
        <v>0</v>
      </c>
      <c r="M122" s="42">
        <f t="shared" si="60"/>
        <v>0</v>
      </c>
      <c r="N122" s="42">
        <f t="shared" si="60"/>
        <v>0</v>
      </c>
      <c r="O122" s="42">
        <f t="shared" si="60"/>
        <v>0</v>
      </c>
      <c r="P122" s="42">
        <f t="shared" si="60"/>
        <v>0</v>
      </c>
      <c r="Q122" s="42">
        <f t="shared" si="60"/>
        <v>0</v>
      </c>
      <c r="R122" s="42">
        <f t="shared" si="60"/>
        <v>0</v>
      </c>
      <c r="S122" s="42">
        <f t="shared" si="60"/>
        <v>0</v>
      </c>
      <c r="T122" s="42">
        <f t="shared" si="60"/>
        <v>0</v>
      </c>
      <c r="U122" s="42">
        <f t="shared" si="60"/>
        <v>0</v>
      </c>
      <c r="V122" s="42">
        <f t="shared" si="60"/>
        <v>0</v>
      </c>
      <c r="W122" s="42">
        <f t="shared" si="60"/>
        <v>0</v>
      </c>
      <c r="X122" s="42">
        <f t="shared" si="60"/>
        <v>0</v>
      </c>
      <c r="Y122" s="42">
        <f t="shared" si="60"/>
        <v>0</v>
      </c>
      <c r="Z122" s="42">
        <f t="shared" si="60"/>
        <v>0</v>
      </c>
      <c r="AA122" s="42">
        <f t="shared" si="60"/>
        <v>0</v>
      </c>
      <c r="AB122" s="42">
        <f t="shared" si="60"/>
        <v>0</v>
      </c>
      <c r="AC122" s="42"/>
      <c r="AD122" s="42"/>
      <c r="AE122" s="42"/>
      <c r="AF122" s="42"/>
      <c r="AG122" s="42"/>
    </row>
    <row r="123" spans="1:33" x14ac:dyDescent="0.3">
      <c r="B123" t="s">
        <v>100</v>
      </c>
      <c r="C123" s="42"/>
      <c r="D123" s="42">
        <f t="shared" si="60"/>
        <v>0</v>
      </c>
      <c r="E123" s="42">
        <f t="shared" si="60"/>
        <v>0</v>
      </c>
      <c r="F123" s="42">
        <f t="shared" si="60"/>
        <v>0</v>
      </c>
      <c r="G123" s="42">
        <f t="shared" si="60"/>
        <v>0</v>
      </c>
      <c r="H123" s="42">
        <f t="shared" si="60"/>
        <v>0</v>
      </c>
      <c r="I123" s="42">
        <f t="shared" si="60"/>
        <v>0</v>
      </c>
      <c r="J123" s="42">
        <f t="shared" si="60"/>
        <v>0</v>
      </c>
      <c r="K123" s="42">
        <f t="shared" si="60"/>
        <v>0</v>
      </c>
      <c r="L123" s="42">
        <f t="shared" si="60"/>
        <v>0</v>
      </c>
      <c r="M123" s="42">
        <f t="shared" si="60"/>
        <v>0</v>
      </c>
      <c r="N123" s="42">
        <f t="shared" si="60"/>
        <v>0</v>
      </c>
      <c r="O123" s="42">
        <f t="shared" si="60"/>
        <v>0</v>
      </c>
      <c r="P123" s="42">
        <f t="shared" si="60"/>
        <v>0</v>
      </c>
      <c r="Q123" s="42">
        <f t="shared" si="60"/>
        <v>0</v>
      </c>
      <c r="R123" s="42">
        <f t="shared" si="60"/>
        <v>0</v>
      </c>
      <c r="S123" s="42">
        <f t="shared" si="60"/>
        <v>0</v>
      </c>
      <c r="T123" s="42">
        <f t="shared" si="60"/>
        <v>0</v>
      </c>
      <c r="U123" s="42">
        <f t="shared" si="60"/>
        <v>0</v>
      </c>
      <c r="V123" s="42">
        <f t="shared" si="60"/>
        <v>0</v>
      </c>
      <c r="W123" s="42">
        <f t="shared" si="60"/>
        <v>0</v>
      </c>
      <c r="X123" s="42">
        <f t="shared" si="60"/>
        <v>0</v>
      </c>
      <c r="Y123" s="42">
        <f t="shared" si="60"/>
        <v>0</v>
      </c>
      <c r="Z123" s="42">
        <f t="shared" si="60"/>
        <v>0</v>
      </c>
      <c r="AA123" s="42">
        <f t="shared" si="60"/>
        <v>0</v>
      </c>
      <c r="AB123" s="42">
        <f t="shared" si="60"/>
        <v>0</v>
      </c>
      <c r="AC123" s="42"/>
      <c r="AD123" s="42"/>
      <c r="AE123" s="42"/>
      <c r="AF123" s="42"/>
      <c r="AG123" s="42"/>
    </row>
    <row r="124" spans="1:33" x14ac:dyDescent="0.3">
      <c r="B124" t="s">
        <v>101</v>
      </c>
      <c r="C124" s="42"/>
      <c r="D124" s="42">
        <f>D110</f>
        <v>0</v>
      </c>
      <c r="E124" s="42">
        <f t="shared" ref="E124:AB124" si="61">E110</f>
        <v>0</v>
      </c>
      <c r="F124" s="42">
        <f t="shared" si="61"/>
        <v>0</v>
      </c>
      <c r="G124" s="42">
        <f t="shared" si="61"/>
        <v>0</v>
      </c>
      <c r="H124" s="42">
        <f t="shared" si="61"/>
        <v>0</v>
      </c>
      <c r="I124" s="42">
        <f t="shared" si="61"/>
        <v>0</v>
      </c>
      <c r="J124" s="42">
        <f t="shared" si="61"/>
        <v>0</v>
      </c>
      <c r="K124" s="42">
        <f t="shared" si="61"/>
        <v>0</v>
      </c>
      <c r="L124" s="42">
        <f t="shared" si="61"/>
        <v>0</v>
      </c>
      <c r="M124" s="42">
        <f t="shared" si="61"/>
        <v>0</v>
      </c>
      <c r="N124" s="42">
        <f t="shared" si="61"/>
        <v>0</v>
      </c>
      <c r="O124" s="42">
        <f t="shared" si="61"/>
        <v>0</v>
      </c>
      <c r="P124" s="42">
        <f t="shared" si="61"/>
        <v>0</v>
      </c>
      <c r="Q124" s="42">
        <f t="shared" si="61"/>
        <v>0</v>
      </c>
      <c r="R124" s="42">
        <f t="shared" si="61"/>
        <v>0</v>
      </c>
      <c r="S124" s="42">
        <f t="shared" si="61"/>
        <v>0</v>
      </c>
      <c r="T124" s="42">
        <f t="shared" si="61"/>
        <v>0</v>
      </c>
      <c r="U124" s="42">
        <f t="shared" si="61"/>
        <v>0</v>
      </c>
      <c r="V124" s="42">
        <f t="shared" si="61"/>
        <v>0</v>
      </c>
      <c r="W124" s="42">
        <f t="shared" si="61"/>
        <v>0</v>
      </c>
      <c r="X124" s="42">
        <f t="shared" si="61"/>
        <v>0</v>
      </c>
      <c r="Y124" s="42">
        <f t="shared" si="61"/>
        <v>0</v>
      </c>
      <c r="Z124" s="42">
        <f t="shared" si="61"/>
        <v>0</v>
      </c>
      <c r="AA124" s="42">
        <f t="shared" si="61"/>
        <v>0</v>
      </c>
      <c r="AB124" s="42">
        <f t="shared" si="61"/>
        <v>0</v>
      </c>
      <c r="AC124" s="42"/>
      <c r="AD124" s="42"/>
      <c r="AE124" s="42"/>
      <c r="AF124" s="42"/>
      <c r="AG124" s="42"/>
    </row>
    <row r="125" spans="1:33" x14ac:dyDescent="0.3">
      <c r="B125" t="s">
        <v>102</v>
      </c>
      <c r="C125" s="42"/>
      <c r="D125" s="42">
        <f t="shared" ref="D125:AB125" si="62">D70</f>
        <v>1526.4</v>
      </c>
      <c r="E125" s="42">
        <f t="shared" si="62"/>
        <v>1526.4</v>
      </c>
      <c r="F125" s="42">
        <f t="shared" si="62"/>
        <v>1526.4</v>
      </c>
      <c r="G125" s="42">
        <f t="shared" si="62"/>
        <v>1526.4</v>
      </c>
      <c r="H125" s="42">
        <f t="shared" si="62"/>
        <v>1526.4</v>
      </c>
      <c r="I125" s="42">
        <f t="shared" si="62"/>
        <v>1526.4</v>
      </c>
      <c r="J125" s="42">
        <f t="shared" si="62"/>
        <v>1526.4</v>
      </c>
      <c r="K125" s="42">
        <f t="shared" si="62"/>
        <v>1526.4</v>
      </c>
      <c r="L125" s="42">
        <f t="shared" si="62"/>
        <v>1526.4</v>
      </c>
      <c r="M125" s="42">
        <f t="shared" si="62"/>
        <v>1526.4</v>
      </c>
      <c r="N125" s="42">
        <f t="shared" si="62"/>
        <v>1526.4</v>
      </c>
      <c r="O125" s="42">
        <f t="shared" si="62"/>
        <v>1526.4</v>
      </c>
      <c r="P125" s="42">
        <f t="shared" si="62"/>
        <v>1526.4</v>
      </c>
      <c r="Q125" s="42">
        <f t="shared" si="62"/>
        <v>1526.4</v>
      </c>
      <c r="R125" s="42">
        <f t="shared" si="62"/>
        <v>1526.4</v>
      </c>
      <c r="S125" s="42">
        <f t="shared" si="62"/>
        <v>1526.4</v>
      </c>
      <c r="T125" s="42">
        <f t="shared" si="62"/>
        <v>1526.4</v>
      </c>
      <c r="U125" s="42">
        <f t="shared" si="62"/>
        <v>1526.4</v>
      </c>
      <c r="V125" s="42">
        <f t="shared" si="62"/>
        <v>1526.4</v>
      </c>
      <c r="W125" s="42">
        <f t="shared" si="62"/>
        <v>1526.4</v>
      </c>
      <c r="X125" s="42">
        <f t="shared" si="62"/>
        <v>1526.4</v>
      </c>
      <c r="Y125" s="42">
        <f t="shared" si="62"/>
        <v>1526.4</v>
      </c>
      <c r="Z125" s="42">
        <f t="shared" si="62"/>
        <v>1526.4</v>
      </c>
      <c r="AA125" s="42">
        <f t="shared" si="62"/>
        <v>1526.4</v>
      </c>
      <c r="AB125" s="42">
        <f t="shared" si="62"/>
        <v>1526.3999999999824</v>
      </c>
      <c r="AC125" s="42"/>
      <c r="AD125" s="42"/>
      <c r="AE125" s="42"/>
      <c r="AF125" s="42"/>
      <c r="AG125" s="42"/>
    </row>
    <row r="126" spans="1:33" s="3" customFormat="1" x14ac:dyDescent="0.3">
      <c r="A126" s="72"/>
      <c r="B126" s="3" t="s">
        <v>103</v>
      </c>
      <c r="C126" s="48"/>
      <c r="D126" s="48">
        <f>D121+D125+D122-D123-D124</f>
        <v>-1583.075030949115</v>
      </c>
      <c r="E126" s="48">
        <f>E121+E125+E122-E123-E124</f>
        <v>-1262.9493371892313</v>
      </c>
      <c r="F126" s="48">
        <f t="shared" ref="F126:AB126" si="63">F121+F125+F122-F123-F124</f>
        <v>-941.15501001586654</v>
      </c>
      <c r="G126" s="48">
        <f t="shared" si="63"/>
        <v>-294.59527995868211</v>
      </c>
      <c r="H126" s="48">
        <f t="shared" si="63"/>
        <v>38.702238028858119</v>
      </c>
      <c r="I126" s="48">
        <f t="shared" si="63"/>
        <v>373.960555165816</v>
      </c>
      <c r="J126" s="48">
        <f t="shared" si="63"/>
        <v>711.21581960977801</v>
      </c>
      <c r="K126" s="48">
        <f t="shared" si="63"/>
        <v>1050.5048273948123</v>
      </c>
      <c r="L126" s="48">
        <f t="shared" si="63"/>
        <v>1391.8650335438315</v>
      </c>
      <c r="M126" s="48">
        <f t="shared" si="63"/>
        <v>1735.3345633576773</v>
      </c>
      <c r="N126" s="48">
        <f t="shared" si="63"/>
        <v>2560.952223883377</v>
      </c>
      <c r="O126" s="48">
        <f t="shared" si="63"/>
        <v>2908.7575155640006</v>
      </c>
      <c r="P126" s="48">
        <f t="shared" si="63"/>
        <v>3258.7906440725465</v>
      </c>
      <c r="Q126" s="48">
        <f t="shared" si="63"/>
        <v>3611.09253233237</v>
      </c>
      <c r="R126" s="48">
        <f t="shared" si="63"/>
        <v>3965.7048327265779</v>
      </c>
      <c r="S126" s="48">
        <f t="shared" si="63"/>
        <v>6866.6699394989755</v>
      </c>
      <c r="T126" s="48">
        <f t="shared" si="63"/>
        <v>6997.0710013490261</v>
      </c>
      <c r="U126" s="48">
        <f t="shared" si="63"/>
        <v>7040.2221835638666</v>
      </c>
      <c r="V126" s="48">
        <f t="shared" si="63"/>
        <v>5448.9280757300457</v>
      </c>
      <c r="W126" s="48">
        <f t="shared" si="63"/>
        <v>5552.3197434104786</v>
      </c>
      <c r="X126" s="48">
        <f t="shared" si="63"/>
        <v>5657.6436760404431</v>
      </c>
      <c r="Y126" s="48">
        <f t="shared" si="63"/>
        <v>5764.9352112746674</v>
      </c>
      <c r="Z126" s="48">
        <f t="shared" si="63"/>
        <v>5874.2303124509981</v>
      </c>
      <c r="AA126" s="48">
        <f t="shared" si="63"/>
        <v>5985.5655791095141</v>
      </c>
      <c r="AB126" s="48">
        <f t="shared" si="63"/>
        <v>6098.9782576728312</v>
      </c>
      <c r="AC126" s="48"/>
      <c r="AD126" s="48"/>
      <c r="AE126" s="48"/>
      <c r="AF126" s="48"/>
      <c r="AG126" s="48"/>
    </row>
    <row r="127" spans="1:33" x14ac:dyDescent="0.3">
      <c r="B127" t="s">
        <v>104</v>
      </c>
      <c r="C127" s="47">
        <f>I4+H7</f>
        <v>38160</v>
      </c>
      <c r="D127" s="47">
        <f t="shared" ref="D127:AB127" si="64">(D42=$H$6)*(($C$7*$H$8)+$H$7)</f>
        <v>0</v>
      </c>
      <c r="E127" s="47">
        <f t="shared" si="64"/>
        <v>0</v>
      </c>
      <c r="F127" s="47">
        <f t="shared" si="64"/>
        <v>0</v>
      </c>
      <c r="G127" s="47">
        <f t="shared" si="64"/>
        <v>0</v>
      </c>
      <c r="H127" s="47">
        <f t="shared" si="64"/>
        <v>0</v>
      </c>
      <c r="I127" s="47">
        <f t="shared" si="64"/>
        <v>0</v>
      </c>
      <c r="J127" s="47">
        <f t="shared" si="64"/>
        <v>0</v>
      </c>
      <c r="K127" s="47">
        <f t="shared" si="64"/>
        <v>0</v>
      </c>
      <c r="L127" s="47">
        <f t="shared" si="64"/>
        <v>0</v>
      </c>
      <c r="M127" s="47">
        <f t="shared" si="64"/>
        <v>0</v>
      </c>
      <c r="N127" s="47">
        <f t="shared" si="64"/>
        <v>0</v>
      </c>
      <c r="O127" s="47">
        <f t="shared" si="64"/>
        <v>0</v>
      </c>
      <c r="P127" s="47">
        <f t="shared" si="64"/>
        <v>0</v>
      </c>
      <c r="Q127" s="47">
        <f t="shared" si="64"/>
        <v>0</v>
      </c>
      <c r="R127" s="47">
        <f t="shared" si="64"/>
        <v>0</v>
      </c>
      <c r="S127" s="47">
        <f t="shared" si="64"/>
        <v>0</v>
      </c>
      <c r="T127" s="47">
        <f t="shared" si="64"/>
        <v>0</v>
      </c>
      <c r="U127" s="47">
        <f t="shared" si="64"/>
        <v>0</v>
      </c>
      <c r="V127" s="47">
        <f t="shared" si="64"/>
        <v>0</v>
      </c>
      <c r="W127" s="47">
        <f t="shared" si="64"/>
        <v>0</v>
      </c>
      <c r="X127" s="47">
        <f t="shared" si="64"/>
        <v>0</v>
      </c>
      <c r="Y127" s="47">
        <f t="shared" si="64"/>
        <v>0</v>
      </c>
      <c r="Z127" s="47">
        <f t="shared" si="64"/>
        <v>0</v>
      </c>
      <c r="AA127" s="47">
        <f t="shared" si="64"/>
        <v>0</v>
      </c>
      <c r="AB127" s="47">
        <f t="shared" si="64"/>
        <v>0</v>
      </c>
      <c r="AC127" s="47"/>
      <c r="AD127" s="47"/>
      <c r="AE127" s="47"/>
      <c r="AF127" s="47"/>
      <c r="AG127" s="47"/>
    </row>
    <row r="128" spans="1:33" x14ac:dyDescent="0.3">
      <c r="B128" t="s">
        <v>105</v>
      </c>
      <c r="C128" s="47"/>
      <c r="D128" s="47">
        <f>-D133</f>
        <v>0</v>
      </c>
      <c r="E128" s="47">
        <f t="shared" ref="E128:AB128" si="65">-E133</f>
        <v>0</v>
      </c>
      <c r="F128" s="47">
        <f t="shared" si="65"/>
        <v>0</v>
      </c>
      <c r="G128" s="47">
        <f t="shared" si="65"/>
        <v>0</v>
      </c>
      <c r="H128" s="47">
        <f t="shared" si="65"/>
        <v>0</v>
      </c>
      <c r="I128" s="47">
        <f t="shared" si="65"/>
        <v>0</v>
      </c>
      <c r="J128" s="47">
        <f t="shared" si="65"/>
        <v>0</v>
      </c>
      <c r="K128" s="47">
        <f t="shared" si="65"/>
        <v>0</v>
      </c>
      <c r="L128" s="47">
        <f t="shared" si="65"/>
        <v>0</v>
      </c>
      <c r="M128" s="47">
        <f t="shared" si="65"/>
        <v>0</v>
      </c>
      <c r="N128" s="47">
        <f t="shared" si="65"/>
        <v>0</v>
      </c>
      <c r="O128" s="47">
        <f t="shared" si="65"/>
        <v>0</v>
      </c>
      <c r="P128" s="47">
        <f t="shared" si="65"/>
        <v>0</v>
      </c>
      <c r="Q128" s="47">
        <f t="shared" si="65"/>
        <v>0</v>
      </c>
      <c r="R128" s="47">
        <f t="shared" si="65"/>
        <v>0</v>
      </c>
      <c r="S128" s="47">
        <f t="shared" si="65"/>
        <v>0</v>
      </c>
      <c r="T128" s="47">
        <f t="shared" si="65"/>
        <v>0</v>
      </c>
      <c r="U128" s="47">
        <f t="shared" si="65"/>
        <v>0</v>
      </c>
      <c r="V128" s="47">
        <f t="shared" si="65"/>
        <v>0</v>
      </c>
      <c r="W128" s="47">
        <f t="shared" si="65"/>
        <v>0</v>
      </c>
      <c r="X128" s="47">
        <f t="shared" si="65"/>
        <v>0</v>
      </c>
      <c r="Y128" s="47">
        <f t="shared" si="65"/>
        <v>0</v>
      </c>
      <c r="Z128" s="47">
        <f t="shared" si="65"/>
        <v>0</v>
      </c>
      <c r="AA128" s="47">
        <f t="shared" si="65"/>
        <v>0</v>
      </c>
      <c r="AB128" s="47">
        <f t="shared" si="65"/>
        <v>0</v>
      </c>
      <c r="AC128" s="47"/>
      <c r="AD128" s="47"/>
      <c r="AE128" s="47"/>
      <c r="AF128" s="47"/>
      <c r="AG128" s="47"/>
    </row>
    <row r="129" spans="1:33" s="14" customFormat="1" x14ac:dyDescent="0.3">
      <c r="B129" s="14" t="s">
        <v>106</v>
      </c>
      <c r="C129" s="73"/>
      <c r="D129" s="73">
        <f>-D135</f>
        <v>0</v>
      </c>
      <c r="E129" s="73">
        <f t="shared" ref="E129:AB129" si="66">-E135</f>
        <v>0</v>
      </c>
      <c r="F129" s="73">
        <f t="shared" si="66"/>
        <v>0</v>
      </c>
      <c r="G129" s="73">
        <f t="shared" si="66"/>
        <v>0</v>
      </c>
      <c r="H129" s="73">
        <f t="shared" si="66"/>
        <v>0</v>
      </c>
      <c r="I129" s="73">
        <f t="shared" si="66"/>
        <v>0</v>
      </c>
      <c r="J129" s="73">
        <f t="shared" si="66"/>
        <v>0</v>
      </c>
      <c r="K129" s="73">
        <f t="shared" si="66"/>
        <v>0</v>
      </c>
      <c r="L129" s="73">
        <f t="shared" si="66"/>
        <v>0</v>
      </c>
      <c r="M129" s="73">
        <f t="shared" si="66"/>
        <v>0</v>
      </c>
      <c r="N129" s="73">
        <f t="shared" si="66"/>
        <v>0</v>
      </c>
      <c r="O129" s="73">
        <f t="shared" si="66"/>
        <v>0</v>
      </c>
      <c r="P129" s="73">
        <f t="shared" si="66"/>
        <v>0</v>
      </c>
      <c r="Q129" s="73">
        <f t="shared" si="66"/>
        <v>0</v>
      </c>
      <c r="R129" s="73">
        <f t="shared" si="66"/>
        <v>0</v>
      </c>
      <c r="S129" s="73">
        <f t="shared" si="66"/>
        <v>0</v>
      </c>
      <c r="T129" s="73">
        <f t="shared" si="66"/>
        <v>0</v>
      </c>
      <c r="U129" s="73">
        <f t="shared" si="66"/>
        <v>0</v>
      </c>
      <c r="V129" s="73">
        <f t="shared" si="66"/>
        <v>0</v>
      </c>
      <c r="W129" s="73">
        <f t="shared" si="66"/>
        <v>0</v>
      </c>
      <c r="X129" s="73">
        <f t="shared" si="66"/>
        <v>0</v>
      </c>
      <c r="Y129" s="73">
        <f t="shared" si="66"/>
        <v>0</v>
      </c>
      <c r="Z129" s="73">
        <f t="shared" si="66"/>
        <v>0</v>
      </c>
      <c r="AA129" s="73">
        <f t="shared" si="66"/>
        <v>0</v>
      </c>
      <c r="AB129" s="73">
        <f t="shared" si="66"/>
        <v>0</v>
      </c>
      <c r="AC129" s="73"/>
      <c r="AD129" s="73"/>
      <c r="AE129" s="73"/>
      <c r="AF129" s="73"/>
      <c r="AG129" s="73"/>
    </row>
    <row r="130" spans="1:33" s="3" customFormat="1" x14ac:dyDescent="0.3">
      <c r="B130" s="3" t="s">
        <v>107</v>
      </c>
      <c r="C130" s="48">
        <f>SUM(C127:C129)</f>
        <v>38160</v>
      </c>
      <c r="D130" s="48">
        <f>SUM(D127:D129)</f>
        <v>0</v>
      </c>
      <c r="E130" s="48">
        <f t="shared" ref="E130:AB130" si="67">SUM(E127:E129)</f>
        <v>0</v>
      </c>
      <c r="F130" s="48">
        <f t="shared" si="67"/>
        <v>0</v>
      </c>
      <c r="G130" s="48">
        <f t="shared" si="67"/>
        <v>0</v>
      </c>
      <c r="H130" s="48">
        <f t="shared" si="67"/>
        <v>0</v>
      </c>
      <c r="I130" s="48">
        <f t="shared" si="67"/>
        <v>0</v>
      </c>
      <c r="J130" s="48">
        <f t="shared" si="67"/>
        <v>0</v>
      </c>
      <c r="K130" s="48">
        <f t="shared" si="67"/>
        <v>0</v>
      </c>
      <c r="L130" s="48">
        <f t="shared" si="67"/>
        <v>0</v>
      </c>
      <c r="M130" s="48">
        <f t="shared" si="67"/>
        <v>0</v>
      </c>
      <c r="N130" s="48">
        <f t="shared" si="67"/>
        <v>0</v>
      </c>
      <c r="O130" s="48">
        <f t="shared" si="67"/>
        <v>0</v>
      </c>
      <c r="P130" s="48">
        <f t="shared" si="67"/>
        <v>0</v>
      </c>
      <c r="Q130" s="48">
        <f t="shared" si="67"/>
        <v>0</v>
      </c>
      <c r="R130" s="48">
        <f t="shared" si="67"/>
        <v>0</v>
      </c>
      <c r="S130" s="48">
        <f t="shared" si="67"/>
        <v>0</v>
      </c>
      <c r="T130" s="48">
        <f t="shared" si="67"/>
        <v>0</v>
      </c>
      <c r="U130" s="48">
        <f t="shared" si="67"/>
        <v>0</v>
      </c>
      <c r="V130" s="48">
        <f t="shared" si="67"/>
        <v>0</v>
      </c>
      <c r="W130" s="48">
        <f t="shared" si="67"/>
        <v>0</v>
      </c>
      <c r="X130" s="48">
        <f t="shared" si="67"/>
        <v>0</v>
      </c>
      <c r="Y130" s="48">
        <f t="shared" si="67"/>
        <v>0</v>
      </c>
      <c r="Z130" s="48">
        <f t="shared" si="67"/>
        <v>0</v>
      </c>
      <c r="AA130" s="48">
        <f t="shared" si="67"/>
        <v>0</v>
      </c>
      <c r="AB130" s="48">
        <f t="shared" si="67"/>
        <v>0</v>
      </c>
      <c r="AC130" s="48"/>
      <c r="AD130" s="48"/>
      <c r="AE130" s="48"/>
      <c r="AF130" s="48"/>
      <c r="AG130" s="48"/>
    </row>
    <row r="131" spans="1:33" s="3" customFormat="1" x14ac:dyDescent="0.3">
      <c r="C131" s="48"/>
      <c r="D131" s="48"/>
      <c r="E131" s="48"/>
      <c r="F131" s="48"/>
      <c r="G131" s="48"/>
      <c r="H131" s="48"/>
      <c r="I131" s="48"/>
      <c r="J131" s="48"/>
      <c r="K131" s="48"/>
      <c r="L131" s="48"/>
      <c r="M131" s="48"/>
      <c r="N131" s="48"/>
      <c r="O131" s="48"/>
      <c r="P131" s="48"/>
      <c r="Q131" s="48"/>
      <c r="R131" s="48"/>
      <c r="S131" s="48"/>
      <c r="T131" s="48"/>
      <c r="U131" s="48"/>
      <c r="V131" s="48"/>
      <c r="W131" s="48"/>
      <c r="X131" s="48"/>
      <c r="Y131" s="48"/>
      <c r="Z131" s="48"/>
      <c r="AA131" s="48"/>
      <c r="AB131" s="48"/>
      <c r="AC131" s="48"/>
      <c r="AD131" s="48"/>
      <c r="AE131" s="48"/>
      <c r="AF131" s="48"/>
      <c r="AG131" s="48"/>
    </row>
    <row r="132" spans="1:33" s="14" customFormat="1" x14ac:dyDescent="0.3">
      <c r="B132" s="14" t="s">
        <v>108</v>
      </c>
      <c r="C132" s="74"/>
      <c r="D132" s="74">
        <f t="shared" ref="D132:AB132" si="68">IF(D42&lt;=$H$12,$H$15,0)</f>
        <v>0</v>
      </c>
      <c r="E132" s="74">
        <f t="shared" si="68"/>
        <v>0</v>
      </c>
      <c r="F132" s="74">
        <f t="shared" si="68"/>
        <v>0</v>
      </c>
      <c r="G132" s="74">
        <f t="shared" si="68"/>
        <v>0</v>
      </c>
      <c r="H132" s="74">
        <f t="shared" si="68"/>
        <v>0</v>
      </c>
      <c r="I132" s="74">
        <f t="shared" si="68"/>
        <v>0</v>
      </c>
      <c r="J132" s="74">
        <f t="shared" si="68"/>
        <v>0</v>
      </c>
      <c r="K132" s="74">
        <f t="shared" si="68"/>
        <v>0</v>
      </c>
      <c r="L132" s="74">
        <f t="shared" si="68"/>
        <v>0</v>
      </c>
      <c r="M132" s="74">
        <f t="shared" si="68"/>
        <v>0</v>
      </c>
      <c r="N132" s="74">
        <f t="shared" si="68"/>
        <v>0</v>
      </c>
      <c r="O132" s="74">
        <f t="shared" si="68"/>
        <v>0</v>
      </c>
      <c r="P132" s="74">
        <f t="shared" si="68"/>
        <v>0</v>
      </c>
      <c r="Q132" s="74">
        <f t="shared" si="68"/>
        <v>0</v>
      </c>
      <c r="R132" s="74">
        <f t="shared" si="68"/>
        <v>0</v>
      </c>
      <c r="S132" s="74">
        <f t="shared" si="68"/>
        <v>0</v>
      </c>
      <c r="T132" s="74">
        <f t="shared" si="68"/>
        <v>0</v>
      </c>
      <c r="U132" s="74">
        <f t="shared" si="68"/>
        <v>0</v>
      </c>
      <c r="V132" s="74">
        <f t="shared" si="68"/>
        <v>0</v>
      </c>
      <c r="W132" s="74">
        <f t="shared" si="68"/>
        <v>0</v>
      </c>
      <c r="X132" s="74">
        <f t="shared" si="68"/>
        <v>0</v>
      </c>
      <c r="Y132" s="74">
        <f t="shared" si="68"/>
        <v>0</v>
      </c>
      <c r="Z132" s="74">
        <f t="shared" si="68"/>
        <v>0</v>
      </c>
      <c r="AA132" s="74">
        <f t="shared" si="68"/>
        <v>0</v>
      </c>
      <c r="AB132" s="74">
        <f t="shared" si="68"/>
        <v>0</v>
      </c>
      <c r="AC132" s="74"/>
      <c r="AD132" s="74"/>
      <c r="AE132" s="74"/>
      <c r="AF132" s="74"/>
      <c r="AG132" s="74"/>
    </row>
    <row r="133" spans="1:33" s="75" customFormat="1" x14ac:dyDescent="0.3">
      <c r="B133" s="14" t="s">
        <v>109</v>
      </c>
      <c r="C133" s="76"/>
      <c r="D133" s="76">
        <f>-IF(D$42=$H$12,$H$11,0)</f>
        <v>0</v>
      </c>
      <c r="E133" s="76">
        <f t="shared" ref="E133:AB133" si="69">-IF(E$42=$H$12,$H$11,0)</f>
        <v>0</v>
      </c>
      <c r="F133" s="76">
        <f t="shared" si="69"/>
        <v>0</v>
      </c>
      <c r="G133" s="76">
        <f t="shared" si="69"/>
        <v>0</v>
      </c>
      <c r="H133" s="76">
        <f t="shared" si="69"/>
        <v>0</v>
      </c>
      <c r="I133" s="76">
        <f t="shared" si="69"/>
        <v>0</v>
      </c>
      <c r="J133" s="76">
        <f t="shared" si="69"/>
        <v>0</v>
      </c>
      <c r="K133" s="76">
        <f t="shared" si="69"/>
        <v>0</v>
      </c>
      <c r="L133" s="76">
        <f t="shared" si="69"/>
        <v>0</v>
      </c>
      <c r="M133" s="76">
        <f t="shared" si="69"/>
        <v>0</v>
      </c>
      <c r="N133" s="76">
        <f t="shared" si="69"/>
        <v>0</v>
      </c>
      <c r="O133" s="76">
        <f t="shared" si="69"/>
        <v>0</v>
      </c>
      <c r="P133" s="76">
        <f t="shared" si="69"/>
        <v>0</v>
      </c>
      <c r="Q133" s="76">
        <f t="shared" si="69"/>
        <v>0</v>
      </c>
      <c r="R133" s="76">
        <f t="shared" si="69"/>
        <v>0</v>
      </c>
      <c r="S133" s="76">
        <f t="shared" si="69"/>
        <v>0</v>
      </c>
      <c r="T133" s="76">
        <f t="shared" si="69"/>
        <v>0</v>
      </c>
      <c r="U133" s="76">
        <f t="shared" si="69"/>
        <v>0</v>
      </c>
      <c r="V133" s="76">
        <f t="shared" si="69"/>
        <v>0</v>
      </c>
      <c r="W133" s="76">
        <f t="shared" si="69"/>
        <v>0</v>
      </c>
      <c r="X133" s="76">
        <f t="shared" si="69"/>
        <v>0</v>
      </c>
      <c r="Y133" s="76">
        <f t="shared" si="69"/>
        <v>0</v>
      </c>
      <c r="Z133" s="76">
        <f t="shared" si="69"/>
        <v>0</v>
      </c>
      <c r="AA133" s="76">
        <f t="shared" si="69"/>
        <v>0</v>
      </c>
      <c r="AB133" s="76">
        <f t="shared" si="69"/>
        <v>0</v>
      </c>
      <c r="AC133" s="76"/>
      <c r="AD133" s="76"/>
      <c r="AE133" s="76"/>
      <c r="AF133" s="76"/>
      <c r="AG133" s="76"/>
    </row>
    <row r="134" spans="1:33" s="14" customFormat="1" x14ac:dyDescent="0.3">
      <c r="B134" s="14" t="s">
        <v>110</v>
      </c>
      <c r="C134" s="74"/>
      <c r="D134" s="74">
        <f t="shared" ref="D134:AB134" si="70">IF(D42&lt;=$H$14,$H$16,0)</f>
        <v>0</v>
      </c>
      <c r="E134" s="74">
        <f t="shared" si="70"/>
        <v>0</v>
      </c>
      <c r="F134" s="74">
        <f t="shared" si="70"/>
        <v>0</v>
      </c>
      <c r="G134" s="74">
        <f t="shared" si="70"/>
        <v>0</v>
      </c>
      <c r="H134" s="74">
        <f t="shared" si="70"/>
        <v>0</v>
      </c>
      <c r="I134" s="74">
        <f t="shared" si="70"/>
        <v>0</v>
      </c>
      <c r="J134" s="74">
        <f t="shared" si="70"/>
        <v>0</v>
      </c>
      <c r="K134" s="74">
        <f t="shared" si="70"/>
        <v>0</v>
      </c>
      <c r="L134" s="74">
        <f t="shared" si="70"/>
        <v>0</v>
      </c>
      <c r="M134" s="74">
        <f t="shared" si="70"/>
        <v>0</v>
      </c>
      <c r="N134" s="74">
        <f t="shared" si="70"/>
        <v>0</v>
      </c>
      <c r="O134" s="74">
        <f t="shared" si="70"/>
        <v>0</v>
      </c>
      <c r="P134" s="74">
        <f t="shared" si="70"/>
        <v>0</v>
      </c>
      <c r="Q134" s="74">
        <f t="shared" si="70"/>
        <v>0</v>
      </c>
      <c r="R134" s="74">
        <f t="shared" si="70"/>
        <v>0</v>
      </c>
      <c r="S134" s="74">
        <f t="shared" si="70"/>
        <v>0</v>
      </c>
      <c r="T134" s="74">
        <f t="shared" si="70"/>
        <v>0</v>
      </c>
      <c r="U134" s="74">
        <f t="shared" si="70"/>
        <v>0</v>
      </c>
      <c r="V134" s="74">
        <f t="shared" si="70"/>
        <v>0</v>
      </c>
      <c r="W134" s="74">
        <f t="shared" si="70"/>
        <v>0</v>
      </c>
      <c r="X134" s="74">
        <f t="shared" si="70"/>
        <v>0</v>
      </c>
      <c r="Y134" s="74">
        <f t="shared" si="70"/>
        <v>0</v>
      </c>
      <c r="Z134" s="74">
        <f t="shared" si="70"/>
        <v>0</v>
      </c>
      <c r="AA134" s="74">
        <f t="shared" si="70"/>
        <v>0</v>
      </c>
      <c r="AB134" s="74">
        <f t="shared" si="70"/>
        <v>0</v>
      </c>
      <c r="AC134" s="74"/>
      <c r="AD134" s="74"/>
      <c r="AE134" s="74"/>
      <c r="AF134" s="74"/>
      <c r="AG134" s="74"/>
    </row>
    <row r="135" spans="1:33" s="75" customFormat="1" x14ac:dyDescent="0.3">
      <c r="B135" s="14" t="s">
        <v>111</v>
      </c>
      <c r="C135" s="76"/>
      <c r="D135" s="76">
        <f>-IF(D$42=$H$14,$H$13,0)</f>
        <v>0</v>
      </c>
      <c r="E135" s="76">
        <f t="shared" ref="E135:AB135" si="71">-IF(E$42=$H$14,$H$13,0)</f>
        <v>0</v>
      </c>
      <c r="F135" s="76">
        <f t="shared" si="71"/>
        <v>0</v>
      </c>
      <c r="G135" s="76">
        <f t="shared" si="71"/>
        <v>0</v>
      </c>
      <c r="H135" s="76">
        <f t="shared" si="71"/>
        <v>0</v>
      </c>
      <c r="I135" s="76">
        <f t="shared" si="71"/>
        <v>0</v>
      </c>
      <c r="J135" s="76">
        <f t="shared" si="71"/>
        <v>0</v>
      </c>
      <c r="K135" s="76">
        <f t="shared" si="71"/>
        <v>0</v>
      </c>
      <c r="L135" s="76">
        <f t="shared" si="71"/>
        <v>0</v>
      </c>
      <c r="M135" s="76">
        <f t="shared" si="71"/>
        <v>0</v>
      </c>
      <c r="N135" s="76">
        <f t="shared" si="71"/>
        <v>0</v>
      </c>
      <c r="O135" s="76">
        <f t="shared" si="71"/>
        <v>0</v>
      </c>
      <c r="P135" s="76">
        <f t="shared" si="71"/>
        <v>0</v>
      </c>
      <c r="Q135" s="76">
        <f t="shared" si="71"/>
        <v>0</v>
      </c>
      <c r="R135" s="76">
        <f t="shared" si="71"/>
        <v>0</v>
      </c>
      <c r="S135" s="76">
        <f t="shared" si="71"/>
        <v>0</v>
      </c>
      <c r="T135" s="76">
        <f t="shared" si="71"/>
        <v>0</v>
      </c>
      <c r="U135" s="76">
        <f t="shared" si="71"/>
        <v>0</v>
      </c>
      <c r="V135" s="76">
        <f t="shared" si="71"/>
        <v>0</v>
      </c>
      <c r="W135" s="76">
        <f t="shared" si="71"/>
        <v>0</v>
      </c>
      <c r="X135" s="76">
        <f t="shared" si="71"/>
        <v>0</v>
      </c>
      <c r="Y135" s="76">
        <f t="shared" si="71"/>
        <v>0</v>
      </c>
      <c r="Z135" s="76">
        <f t="shared" si="71"/>
        <v>0</v>
      </c>
      <c r="AA135" s="76">
        <f t="shared" si="71"/>
        <v>0</v>
      </c>
      <c r="AB135" s="76">
        <f t="shared" si="71"/>
        <v>0</v>
      </c>
      <c r="AC135" s="76"/>
      <c r="AD135" s="76"/>
      <c r="AE135" s="76"/>
      <c r="AF135" s="76"/>
      <c r="AG135" s="76"/>
    </row>
    <row r="136" spans="1:33" s="75" customFormat="1" x14ac:dyDescent="0.3">
      <c r="B136" s="14"/>
      <c r="C136" s="76"/>
      <c r="D136" s="76"/>
      <c r="E136" s="76"/>
      <c r="F136" s="76"/>
      <c r="G136" s="76"/>
      <c r="H136" s="76"/>
      <c r="I136" s="76"/>
      <c r="J136" s="76"/>
      <c r="K136" s="76"/>
      <c r="L136" s="76"/>
      <c r="M136" s="76"/>
      <c r="N136" s="76"/>
      <c r="O136" s="76"/>
      <c r="P136" s="76"/>
      <c r="Q136" s="76"/>
      <c r="R136" s="76"/>
      <c r="S136" s="76"/>
      <c r="T136" s="76"/>
      <c r="U136" s="76"/>
      <c r="V136" s="76"/>
      <c r="W136" s="76"/>
      <c r="X136" s="76"/>
      <c r="Y136" s="76"/>
      <c r="Z136" s="76"/>
      <c r="AA136" s="76"/>
      <c r="AB136" s="76"/>
      <c r="AC136" s="76"/>
      <c r="AD136" s="76"/>
      <c r="AE136" s="76"/>
      <c r="AF136" s="76"/>
      <c r="AG136" s="76"/>
    </row>
    <row r="137" spans="1:33" s="3" customFormat="1" x14ac:dyDescent="0.3">
      <c r="A137" s="77">
        <f>SUM(C137:AB137)</f>
        <v>40651.670107667596</v>
      </c>
      <c r="B137" s="3" t="s">
        <v>112</v>
      </c>
      <c r="C137" s="48">
        <f>-C130+C126-SUM(C132:C135)</f>
        <v>-38160</v>
      </c>
      <c r="D137" s="48">
        <f>-D130+D126-SUM(D132:D135)</f>
        <v>-1583.075030949115</v>
      </c>
      <c r="E137" s="48">
        <f>-E130+E126-SUM(E132:E135)</f>
        <v>-1262.9493371892313</v>
      </c>
      <c r="F137" s="48">
        <f t="shared" ref="F137:AB137" si="72">-F130+F126-SUM(F132:F135)</f>
        <v>-941.15501001586654</v>
      </c>
      <c r="G137" s="48">
        <f t="shared" si="72"/>
        <v>-294.59527995868211</v>
      </c>
      <c r="H137" s="48">
        <f t="shared" si="72"/>
        <v>38.702238028858119</v>
      </c>
      <c r="I137" s="48">
        <f t="shared" si="72"/>
        <v>373.960555165816</v>
      </c>
      <c r="J137" s="48">
        <f t="shared" si="72"/>
        <v>711.21581960977801</v>
      </c>
      <c r="K137" s="48">
        <f t="shared" si="72"/>
        <v>1050.5048273948123</v>
      </c>
      <c r="L137" s="48">
        <f t="shared" si="72"/>
        <v>1391.8650335438315</v>
      </c>
      <c r="M137" s="48">
        <f t="shared" si="72"/>
        <v>1735.3345633576773</v>
      </c>
      <c r="N137" s="48">
        <f t="shared" si="72"/>
        <v>2560.952223883377</v>
      </c>
      <c r="O137" s="48">
        <f t="shared" si="72"/>
        <v>2908.7575155640006</v>
      </c>
      <c r="P137" s="48">
        <f t="shared" si="72"/>
        <v>3258.7906440725465</v>
      </c>
      <c r="Q137" s="48">
        <f t="shared" si="72"/>
        <v>3611.09253233237</v>
      </c>
      <c r="R137" s="48">
        <f t="shared" si="72"/>
        <v>3965.7048327265779</v>
      </c>
      <c r="S137" s="48">
        <f t="shared" si="72"/>
        <v>6866.6699394989755</v>
      </c>
      <c r="T137" s="48">
        <f t="shared" si="72"/>
        <v>6997.0710013490261</v>
      </c>
      <c r="U137" s="48">
        <f t="shared" si="72"/>
        <v>7040.2221835638666</v>
      </c>
      <c r="V137" s="48">
        <f t="shared" si="72"/>
        <v>5448.9280757300457</v>
      </c>
      <c r="W137" s="48">
        <f t="shared" si="72"/>
        <v>5552.3197434104786</v>
      </c>
      <c r="X137" s="48">
        <f t="shared" si="72"/>
        <v>5657.6436760404431</v>
      </c>
      <c r="Y137" s="48">
        <f t="shared" si="72"/>
        <v>5764.9352112746674</v>
      </c>
      <c r="Z137" s="48">
        <f t="shared" si="72"/>
        <v>5874.2303124509981</v>
      </c>
      <c r="AA137" s="48">
        <f t="shared" si="72"/>
        <v>5985.5655791095141</v>
      </c>
      <c r="AB137" s="48">
        <f t="shared" si="72"/>
        <v>6098.9782576728312</v>
      </c>
      <c r="AC137" s="48"/>
      <c r="AD137" s="48"/>
      <c r="AE137" s="48"/>
      <c r="AF137" s="48"/>
      <c r="AG137" s="48"/>
    </row>
    <row r="138" spans="1:33" s="75" customFormat="1" x14ac:dyDescent="0.3">
      <c r="A138" s="78">
        <f>SUM(C138:AB138)</f>
        <v>0</v>
      </c>
      <c r="B138" s="75" t="s">
        <v>113</v>
      </c>
      <c r="C138" s="79">
        <f t="shared" ref="C138:AB138" si="73">-C142-C152-C147</f>
        <v>0</v>
      </c>
      <c r="D138" s="79">
        <f t="shared" si="73"/>
        <v>0</v>
      </c>
      <c r="E138" s="79">
        <f t="shared" si="73"/>
        <v>0</v>
      </c>
      <c r="F138" s="79">
        <f t="shared" si="73"/>
        <v>0</v>
      </c>
      <c r="G138" s="79">
        <f t="shared" si="73"/>
        <v>0</v>
      </c>
      <c r="H138" s="79">
        <f t="shared" si="73"/>
        <v>0</v>
      </c>
      <c r="I138" s="79">
        <f t="shared" si="73"/>
        <v>0</v>
      </c>
      <c r="J138" s="79">
        <f t="shared" si="73"/>
        <v>0</v>
      </c>
      <c r="K138" s="79">
        <f t="shared" si="73"/>
        <v>0</v>
      </c>
      <c r="L138" s="79">
        <f t="shared" si="73"/>
        <v>0</v>
      </c>
      <c r="M138" s="79">
        <f t="shared" si="73"/>
        <v>0</v>
      </c>
      <c r="N138" s="79">
        <f t="shared" si="73"/>
        <v>0</v>
      </c>
      <c r="O138" s="79">
        <f t="shared" si="73"/>
        <v>0</v>
      </c>
      <c r="P138" s="79">
        <f t="shared" si="73"/>
        <v>0</v>
      </c>
      <c r="Q138" s="79">
        <f t="shared" si="73"/>
        <v>0</v>
      </c>
      <c r="R138" s="79">
        <f t="shared" si="73"/>
        <v>0</v>
      </c>
      <c r="S138" s="79">
        <f t="shared" si="73"/>
        <v>0</v>
      </c>
      <c r="T138" s="79">
        <f t="shared" si="73"/>
        <v>0</v>
      </c>
      <c r="U138" s="79">
        <f t="shared" si="73"/>
        <v>0</v>
      </c>
      <c r="V138" s="79">
        <f t="shared" si="73"/>
        <v>0</v>
      </c>
      <c r="W138" s="79">
        <f t="shared" si="73"/>
        <v>0</v>
      </c>
      <c r="X138" s="79">
        <f t="shared" si="73"/>
        <v>0</v>
      </c>
      <c r="Y138" s="79">
        <f t="shared" si="73"/>
        <v>0</v>
      </c>
      <c r="Z138" s="79">
        <f t="shared" si="73"/>
        <v>0</v>
      </c>
      <c r="AA138" s="79">
        <f t="shared" si="73"/>
        <v>0</v>
      </c>
      <c r="AB138" s="79">
        <f t="shared" si="73"/>
        <v>0</v>
      </c>
      <c r="AC138" s="79"/>
      <c r="AD138" s="79"/>
      <c r="AE138" s="79"/>
      <c r="AF138" s="79"/>
      <c r="AG138" s="79"/>
    </row>
    <row r="139" spans="1:33" s="59" customFormat="1" x14ac:dyDescent="0.3">
      <c r="B139" s="59" t="s">
        <v>114</v>
      </c>
      <c r="C139" s="80">
        <f>C137</f>
        <v>-38160</v>
      </c>
      <c r="D139" s="80">
        <f t="shared" ref="D139:AB139" si="74">(C139+D137)*(D42&lt;=$C$19)</f>
        <v>-39743.075030949112</v>
      </c>
      <c r="E139" s="80">
        <f t="shared" si="74"/>
        <v>-41006.024368138344</v>
      </c>
      <c r="F139" s="80">
        <f t="shared" si="74"/>
        <v>-41947.179378154207</v>
      </c>
      <c r="G139" s="80">
        <f t="shared" si="74"/>
        <v>-42241.774658112889</v>
      </c>
      <c r="H139" s="80">
        <f t="shared" si="74"/>
        <v>-42203.072420084034</v>
      </c>
      <c r="I139" s="80">
        <f t="shared" si="74"/>
        <v>-41829.111864918217</v>
      </c>
      <c r="J139" s="80">
        <f t="shared" si="74"/>
        <v>-41117.896045308436</v>
      </c>
      <c r="K139" s="80">
        <f t="shared" si="74"/>
        <v>-40067.391217913624</v>
      </c>
      <c r="L139" s="80">
        <f t="shared" si="74"/>
        <v>-38675.526184369795</v>
      </c>
      <c r="M139" s="80">
        <f t="shared" si="74"/>
        <v>-36940.19162101212</v>
      </c>
      <c r="N139" s="80">
        <f t="shared" si="74"/>
        <v>-34379.239397128746</v>
      </c>
      <c r="O139" s="80">
        <f t="shared" si="74"/>
        <v>-31470.481881564745</v>
      </c>
      <c r="P139" s="80">
        <f t="shared" si="74"/>
        <v>-28211.691237492199</v>
      </c>
      <c r="Q139" s="80">
        <f t="shared" si="74"/>
        <v>-24600.598705159828</v>
      </c>
      <c r="R139" s="80">
        <f t="shared" si="74"/>
        <v>-20634.893872433251</v>
      </c>
      <c r="S139" s="80">
        <f t="shared" si="74"/>
        <v>-13768.223932934276</v>
      </c>
      <c r="T139" s="80">
        <f t="shared" si="74"/>
        <v>-6771.1529315852495</v>
      </c>
      <c r="U139" s="80">
        <f t="shared" si="74"/>
        <v>269.0692519786171</v>
      </c>
      <c r="V139" s="80">
        <f t="shared" si="74"/>
        <v>5717.9973277086629</v>
      </c>
      <c r="W139" s="80">
        <f t="shared" si="74"/>
        <v>11270.317071119141</v>
      </c>
      <c r="X139" s="80">
        <f t="shared" si="74"/>
        <v>16927.960747159585</v>
      </c>
      <c r="Y139" s="80">
        <f t="shared" si="74"/>
        <v>22692.895958434252</v>
      </c>
      <c r="Z139" s="80">
        <f t="shared" si="74"/>
        <v>28567.126270885252</v>
      </c>
      <c r="AA139" s="80">
        <f t="shared" si="74"/>
        <v>34552.691849994764</v>
      </c>
      <c r="AB139" s="80">
        <f t="shared" si="74"/>
        <v>40651.670107667596</v>
      </c>
      <c r="AC139" s="80"/>
      <c r="AD139" s="80"/>
      <c r="AE139" s="80"/>
      <c r="AF139" s="80"/>
      <c r="AG139" s="80"/>
    </row>
    <row r="140" spans="1:33" s="59" customFormat="1" x14ac:dyDescent="0.3">
      <c r="B140" s="81"/>
      <c r="C140" s="80"/>
      <c r="D140" s="80"/>
      <c r="E140" s="80"/>
      <c r="F140" s="80"/>
      <c r="G140" s="80"/>
      <c r="H140" s="80"/>
      <c r="I140" s="80"/>
      <c r="J140" s="80"/>
      <c r="K140" s="80"/>
      <c r="L140" s="80"/>
      <c r="M140" s="80"/>
      <c r="N140" s="80"/>
      <c r="O140" s="80"/>
      <c r="P140" s="80"/>
      <c r="Q140" s="80"/>
      <c r="R140" s="80"/>
      <c r="S140" s="80"/>
      <c r="T140" s="80"/>
      <c r="U140" s="80"/>
      <c r="V140" s="80"/>
      <c r="W140" s="80"/>
      <c r="X140" s="80"/>
      <c r="Y140" s="80"/>
      <c r="Z140" s="80"/>
      <c r="AA140" s="80"/>
      <c r="AB140" s="80"/>
      <c r="AC140" s="80"/>
      <c r="AD140" s="80"/>
      <c r="AE140" s="80"/>
      <c r="AF140" s="80"/>
      <c r="AG140" s="80"/>
    </row>
    <row r="141" spans="1:33" x14ac:dyDescent="0.3">
      <c r="C141" s="42"/>
      <c r="D141" s="42"/>
      <c r="E141" s="42"/>
      <c r="F141" s="42"/>
      <c r="G141" s="42"/>
      <c r="H141" s="42"/>
      <c r="I141" s="42"/>
      <c r="J141" s="42"/>
      <c r="K141" s="42"/>
      <c r="L141" s="42"/>
      <c r="M141" s="42"/>
      <c r="N141" s="42"/>
      <c r="O141" s="42"/>
      <c r="P141" s="42"/>
      <c r="Q141" s="42"/>
      <c r="R141" s="42"/>
      <c r="S141" s="42"/>
      <c r="T141" s="42"/>
      <c r="U141" s="42"/>
      <c r="V141" s="42"/>
      <c r="W141" s="42"/>
      <c r="X141" s="42"/>
      <c r="Y141" s="42"/>
      <c r="Z141" s="42"/>
      <c r="AA141" s="42"/>
      <c r="AB141" s="42"/>
      <c r="AC141" s="42"/>
      <c r="AD141" s="42"/>
      <c r="AE141" s="42"/>
      <c r="AF141" s="42"/>
      <c r="AG141" s="42"/>
    </row>
    <row r="142" spans="1:33" x14ac:dyDescent="0.3">
      <c r="B142" t="s">
        <v>115</v>
      </c>
      <c r="C142" s="42">
        <f>C130*Finance!E22</f>
        <v>0</v>
      </c>
      <c r="D142" s="42">
        <f t="shared" ref="D142:AB142" si="75">MAX(0,D130-D143)</f>
        <v>0</v>
      </c>
      <c r="E142" s="42">
        <f t="shared" si="75"/>
        <v>0</v>
      </c>
      <c r="F142" s="42">
        <f t="shared" si="75"/>
        <v>0</v>
      </c>
      <c r="G142" s="42">
        <f t="shared" si="75"/>
        <v>0</v>
      </c>
      <c r="H142" s="42">
        <f t="shared" si="75"/>
        <v>0</v>
      </c>
      <c r="I142" s="42">
        <f t="shared" si="75"/>
        <v>0</v>
      </c>
      <c r="J142" s="42">
        <f t="shared" si="75"/>
        <v>0</v>
      </c>
      <c r="K142" s="42">
        <f t="shared" si="75"/>
        <v>0</v>
      </c>
      <c r="L142" s="42">
        <f t="shared" si="75"/>
        <v>0</v>
      </c>
      <c r="M142" s="42">
        <f t="shared" si="75"/>
        <v>0</v>
      </c>
      <c r="N142" s="42">
        <f t="shared" si="75"/>
        <v>0</v>
      </c>
      <c r="O142" s="42">
        <f t="shared" si="75"/>
        <v>0</v>
      </c>
      <c r="P142" s="42">
        <f t="shared" si="75"/>
        <v>0</v>
      </c>
      <c r="Q142" s="42">
        <f t="shared" si="75"/>
        <v>0</v>
      </c>
      <c r="R142" s="42">
        <f t="shared" si="75"/>
        <v>0</v>
      </c>
      <c r="S142" s="42">
        <f t="shared" si="75"/>
        <v>0</v>
      </c>
      <c r="T142" s="42">
        <f t="shared" si="75"/>
        <v>0</v>
      </c>
      <c r="U142" s="42">
        <f t="shared" si="75"/>
        <v>0</v>
      </c>
      <c r="V142" s="42">
        <f t="shared" si="75"/>
        <v>0</v>
      </c>
      <c r="W142" s="42">
        <f t="shared" si="75"/>
        <v>0</v>
      </c>
      <c r="X142" s="42">
        <f t="shared" si="75"/>
        <v>0</v>
      </c>
      <c r="Y142" s="42">
        <f t="shared" si="75"/>
        <v>0</v>
      </c>
      <c r="Z142" s="42">
        <f t="shared" si="75"/>
        <v>0</v>
      </c>
      <c r="AA142" s="42">
        <f t="shared" si="75"/>
        <v>0</v>
      </c>
      <c r="AB142" s="42">
        <f t="shared" si="75"/>
        <v>0</v>
      </c>
      <c r="AC142" s="42"/>
      <c r="AD142" s="42"/>
      <c r="AE142" s="42"/>
      <c r="AF142" s="42"/>
      <c r="AG142" s="42"/>
    </row>
    <row r="143" spans="1:33" s="120" customFormat="1" x14ac:dyDescent="0.3">
      <c r="B143" s="120" t="s">
        <v>116</v>
      </c>
      <c r="C143" s="121">
        <f>C130*Finance!E19</f>
        <v>38160</v>
      </c>
      <c r="D143" s="121">
        <f>(C143-D145)*(D$42&lt;=Finance!$E$20)</f>
        <v>35616</v>
      </c>
      <c r="E143" s="121">
        <f>(D143-E145)*(E$42&lt;=Finance!$E$20)</f>
        <v>33072</v>
      </c>
      <c r="F143" s="121">
        <f>(E143-F145)*(F$42&lt;=Finance!$E$20)</f>
        <v>30528</v>
      </c>
      <c r="G143" s="121">
        <f>(F143-G145)*(G$42&lt;=Finance!$E$20)</f>
        <v>27984</v>
      </c>
      <c r="H143" s="121">
        <f>(G143-H145)*(H$42&lt;=Finance!$E$20)</f>
        <v>25440</v>
      </c>
      <c r="I143" s="121">
        <f>(H143-I145)*(I$42&lt;=Finance!$E$20)</f>
        <v>22896</v>
      </c>
      <c r="J143" s="121">
        <f>(I143-J145)*(J$42&lt;=Finance!$E$20)</f>
        <v>20352</v>
      </c>
      <c r="K143" s="121">
        <f>(J143-K145)*(K$42&lt;=Finance!$E$20)</f>
        <v>17808</v>
      </c>
      <c r="L143" s="121">
        <f>(K143-L145)*(L$42&lt;=Finance!$E$20)</f>
        <v>15264</v>
      </c>
      <c r="M143" s="121">
        <f>(L143-M145)*(M$42&lt;=Finance!$E$20)</f>
        <v>12720</v>
      </c>
      <c r="N143" s="121">
        <f>(M143-N145)*(N$42&lt;=Finance!$E$20)</f>
        <v>10176</v>
      </c>
      <c r="O143" s="121">
        <f>(N143-O145)*(O$42&lt;=Finance!$E$20)</f>
        <v>7632</v>
      </c>
      <c r="P143" s="121">
        <f>(O143-P145)*(P$42&lt;=Finance!$E$20)</f>
        <v>5088</v>
      </c>
      <c r="Q143" s="121">
        <f>(P143-Q145)*(Q$42&lt;=Finance!$E$20)</f>
        <v>2544</v>
      </c>
      <c r="R143" s="121">
        <f>(Q143-R145)*(R$42&lt;=Finance!$E$20)</f>
        <v>0</v>
      </c>
      <c r="S143" s="121">
        <f>(R143-S145)*(S$42&lt;=Finance!$E$20)</f>
        <v>0</v>
      </c>
      <c r="T143" s="121">
        <f>(S143-T145)*(T$42&lt;=Finance!$E$20)</f>
        <v>0</v>
      </c>
      <c r="U143" s="121">
        <f>(T143-U145)*(U$42&lt;=Finance!$E$20)</f>
        <v>0</v>
      </c>
      <c r="V143" s="121">
        <f>(U143-V145)*(V$42&lt;=Finance!$E$20)</f>
        <v>0</v>
      </c>
      <c r="W143" s="121">
        <f>(V143-W145)*(W$42&lt;=Finance!$E$20)</f>
        <v>0</v>
      </c>
      <c r="X143" s="121">
        <f>(W143-X145)*(X$42&lt;=Finance!$E$20)</f>
        <v>0</v>
      </c>
      <c r="Y143" s="121">
        <f>(X143-Y145)*(Y$42&lt;=Finance!$E$20)</f>
        <v>0</v>
      </c>
      <c r="Z143" s="121">
        <f>(Y143-Z145)*(Z$42&lt;=Finance!$E$20)</f>
        <v>0</v>
      </c>
      <c r="AA143" s="121">
        <f>(Z143-AA145)*(AA$42&lt;=Finance!$E$20)</f>
        <v>0</v>
      </c>
      <c r="AB143" s="121">
        <f>(AA143-AB145)*(AB$42&lt;=Finance!$E$20)</f>
        <v>0</v>
      </c>
      <c r="AC143" s="121"/>
      <c r="AD143" s="121"/>
      <c r="AE143" s="121"/>
      <c r="AF143" s="121"/>
      <c r="AG143" s="121"/>
    </row>
    <row r="144" spans="1:33" x14ac:dyDescent="0.3">
      <c r="B144" s="120" t="s">
        <v>181</v>
      </c>
      <c r="C144" s="120"/>
      <c r="D144" s="121">
        <f>C143*Finance!E21</f>
        <v>3434.4</v>
      </c>
      <c r="E144" s="121">
        <f>D143*Finance!$E$21</f>
        <v>3205.44</v>
      </c>
      <c r="F144" s="121">
        <f>E143*Finance!$E$21</f>
        <v>2976.48</v>
      </c>
      <c r="G144" s="121">
        <f>F143*Finance!$E$21</f>
        <v>2747.52</v>
      </c>
      <c r="H144" s="121">
        <f>G143*Finance!$E$21</f>
        <v>2518.56</v>
      </c>
      <c r="I144" s="121">
        <f>H143*Finance!$E$21</f>
        <v>2289.6</v>
      </c>
      <c r="J144" s="121">
        <f>I143*Finance!$E$21</f>
        <v>2060.64</v>
      </c>
      <c r="K144" s="121">
        <f>J143*Finance!$E$21</f>
        <v>1831.6799999999998</v>
      </c>
      <c r="L144" s="121">
        <f>K143*Finance!$E$21</f>
        <v>1602.72</v>
      </c>
      <c r="M144" s="121">
        <f>L143*Finance!$E$21</f>
        <v>1373.76</v>
      </c>
      <c r="N144" s="121">
        <f>M143*Finance!$E$21</f>
        <v>1144.8</v>
      </c>
      <c r="O144" s="121">
        <f>N143*Finance!$E$21</f>
        <v>915.83999999999992</v>
      </c>
      <c r="P144" s="121">
        <f>O143*Finance!$E$21</f>
        <v>686.88</v>
      </c>
      <c r="Q144" s="121">
        <f>P143*Finance!$E$21</f>
        <v>457.91999999999996</v>
      </c>
      <c r="R144" s="121">
        <f>Q143*Finance!$E$21</f>
        <v>228.95999999999998</v>
      </c>
      <c r="S144" s="121">
        <f>R143*Finance!$E$21</f>
        <v>0</v>
      </c>
      <c r="T144" s="121">
        <f>S143*Finance!$E$21</f>
        <v>0</v>
      </c>
      <c r="U144" s="121">
        <f>T143*Finance!$E$21</f>
        <v>0</v>
      </c>
      <c r="V144" s="121">
        <f>U143*Finance!$E$21</f>
        <v>0</v>
      </c>
      <c r="W144" s="121">
        <f>V143*Finance!$E$21</f>
        <v>0</v>
      </c>
      <c r="X144" s="121">
        <f>W143*Finance!$E$21</f>
        <v>0</v>
      </c>
      <c r="Y144" s="121">
        <f>X143*Finance!$E$21</f>
        <v>0</v>
      </c>
      <c r="Z144" s="121">
        <f>Y143*Finance!$E$21</f>
        <v>0</v>
      </c>
      <c r="AA144" s="121">
        <f>Z143*Finance!$E$21</f>
        <v>0</v>
      </c>
      <c r="AB144" s="121">
        <f>AA143*Finance!$E$21</f>
        <v>0</v>
      </c>
      <c r="AC144" s="42"/>
      <c r="AD144" s="42"/>
      <c r="AE144" s="42"/>
      <c r="AF144" s="42"/>
      <c r="AG144" s="42"/>
    </row>
    <row r="145" spans="1:33" x14ac:dyDescent="0.3">
      <c r="B145" s="120" t="s">
        <v>183</v>
      </c>
      <c r="C145" s="120"/>
      <c r="D145" s="121">
        <f>C143/Finance!E20</f>
        <v>2544</v>
      </c>
      <c r="E145" s="121">
        <f>D145*(E$42&lt;=Finance!$E$20)</f>
        <v>2544</v>
      </c>
      <c r="F145" s="121">
        <f>E145*(F$42&lt;=Finance!$E$20)</f>
        <v>2544</v>
      </c>
      <c r="G145" s="121">
        <f>F145*(G$42&lt;=Finance!$E$20)</f>
        <v>2544</v>
      </c>
      <c r="H145" s="121">
        <f>G145*(H$42&lt;=Finance!$E$20)</f>
        <v>2544</v>
      </c>
      <c r="I145" s="121">
        <f>H145*(I$42&lt;=Finance!$E$20)</f>
        <v>2544</v>
      </c>
      <c r="J145" s="121">
        <f>I145*(J$42&lt;=Finance!$E$20)</f>
        <v>2544</v>
      </c>
      <c r="K145" s="121">
        <f>J145*(K$42&lt;=Finance!$E$20)</f>
        <v>2544</v>
      </c>
      <c r="L145" s="121">
        <f>K145*(L$42&lt;=Finance!$E$20)</f>
        <v>2544</v>
      </c>
      <c r="M145" s="121">
        <f>L145*(M$42&lt;=Finance!$E$20)</f>
        <v>2544</v>
      </c>
      <c r="N145" s="121">
        <f>M145*(N$42&lt;=Finance!$E$20)</f>
        <v>2544</v>
      </c>
      <c r="O145" s="121">
        <f>N145*(O$42&lt;=Finance!$E$20)</f>
        <v>2544</v>
      </c>
      <c r="P145" s="121">
        <f>O145*(P$42&lt;=Finance!$E$20)</f>
        <v>2544</v>
      </c>
      <c r="Q145" s="121">
        <f>P145*(Q$42&lt;=Finance!$E$20)</f>
        <v>2544</v>
      </c>
      <c r="R145" s="121">
        <f>Q145*(R$42&lt;=Finance!$E$20)</f>
        <v>2544</v>
      </c>
      <c r="S145" s="121">
        <f>R145*(S$42&lt;=Finance!$E$20)</f>
        <v>0</v>
      </c>
      <c r="T145" s="121">
        <f>S145*(T$42&lt;=Finance!$E$20)</f>
        <v>0</v>
      </c>
      <c r="U145" s="121">
        <f>T145*(U$42&lt;=Finance!$E$20)</f>
        <v>0</v>
      </c>
      <c r="V145" s="121">
        <f>U145*(V$42&lt;=Finance!$E$20)</f>
        <v>0</v>
      </c>
      <c r="W145" s="121">
        <f>V145*(W$42&lt;=Finance!$E$20)</f>
        <v>0</v>
      </c>
      <c r="X145" s="121">
        <f>W145*(X$42&lt;=Finance!$E$20)</f>
        <v>0</v>
      </c>
      <c r="Y145" s="121">
        <f>X145*(Y$42&lt;=Finance!$E$20)</f>
        <v>0</v>
      </c>
      <c r="Z145" s="121">
        <f>Y145*(Z$42&lt;=Finance!$E$20)</f>
        <v>0</v>
      </c>
      <c r="AA145" s="121">
        <f>Z145*(AA$42&lt;=Finance!$E$20)</f>
        <v>0</v>
      </c>
      <c r="AB145" s="121">
        <f>AA145*(AB$42&lt;=Finance!$E$20)</f>
        <v>0</v>
      </c>
      <c r="AC145" s="42"/>
      <c r="AD145" s="42"/>
      <c r="AE145" s="42"/>
      <c r="AF145" s="42"/>
      <c r="AG145" s="42"/>
    </row>
    <row r="146" spans="1:33" x14ac:dyDescent="0.3">
      <c r="C146" s="42"/>
      <c r="D146" s="42"/>
      <c r="E146" s="42"/>
      <c r="F146" s="42"/>
      <c r="G146" s="42"/>
      <c r="H146" s="42"/>
      <c r="I146" s="42"/>
      <c r="J146" s="42"/>
      <c r="K146" s="42"/>
      <c r="L146" s="42"/>
      <c r="M146" s="42"/>
      <c r="N146" s="42"/>
      <c r="O146" s="42"/>
      <c r="P146" s="42"/>
      <c r="Q146" s="42"/>
      <c r="R146" s="42"/>
      <c r="S146" s="42"/>
      <c r="T146" s="42"/>
      <c r="U146" s="42"/>
      <c r="V146" s="42"/>
      <c r="W146" s="42"/>
      <c r="X146" s="42"/>
      <c r="Y146" s="42"/>
      <c r="Z146" s="42"/>
      <c r="AA146" s="42"/>
      <c r="AB146" s="42"/>
      <c r="AC146" s="42"/>
      <c r="AD146" s="42"/>
      <c r="AE146" s="42"/>
      <c r="AF146" s="42"/>
      <c r="AG146" s="42"/>
    </row>
    <row r="147" spans="1:33" s="154" customFormat="1" x14ac:dyDescent="0.3">
      <c r="B147" s="154" t="s">
        <v>117</v>
      </c>
      <c r="C147" s="156"/>
      <c r="D147" s="156"/>
      <c r="E147" s="156"/>
      <c r="F147" s="156"/>
      <c r="G147" s="156"/>
      <c r="H147" s="156"/>
      <c r="I147" s="156"/>
      <c r="J147" s="156"/>
      <c r="K147" s="156"/>
      <c r="L147" s="156"/>
      <c r="M147" s="156"/>
      <c r="N147" s="156"/>
      <c r="O147" s="156"/>
      <c r="P147" s="156"/>
      <c r="Q147" s="156"/>
      <c r="R147" s="156"/>
      <c r="S147" s="156"/>
      <c r="T147" s="156"/>
      <c r="U147" s="156"/>
      <c r="V147" s="156"/>
      <c r="W147" s="156"/>
      <c r="X147" s="156"/>
      <c r="Y147" s="156"/>
      <c r="Z147" s="156"/>
      <c r="AA147" s="156"/>
      <c r="AB147" s="156"/>
      <c r="AC147" s="156"/>
      <c r="AD147" s="156"/>
      <c r="AE147" s="156"/>
      <c r="AF147" s="156"/>
      <c r="AG147" s="156"/>
    </row>
    <row r="148" spans="1:33" s="154" customFormat="1" x14ac:dyDescent="0.3">
      <c r="B148" s="154" t="s">
        <v>118</v>
      </c>
      <c r="C148" s="156"/>
      <c r="D148" s="156"/>
      <c r="E148" s="156"/>
      <c r="F148" s="156"/>
      <c r="G148" s="156"/>
      <c r="H148" s="156"/>
      <c r="I148" s="156"/>
      <c r="J148" s="156"/>
      <c r="K148" s="156"/>
      <c r="L148" s="156"/>
      <c r="M148" s="156"/>
      <c r="N148" s="156"/>
      <c r="O148" s="156"/>
      <c r="P148" s="156"/>
      <c r="Q148" s="156"/>
      <c r="R148" s="156"/>
      <c r="S148" s="156"/>
      <c r="T148" s="156"/>
      <c r="U148" s="156"/>
      <c r="V148" s="156"/>
      <c r="W148" s="156"/>
      <c r="X148" s="156"/>
      <c r="Y148" s="156"/>
      <c r="Z148" s="156"/>
      <c r="AA148" s="156"/>
      <c r="AB148" s="156"/>
      <c r="AC148" s="156"/>
      <c r="AD148" s="156"/>
      <c r="AE148" s="156"/>
      <c r="AF148" s="156"/>
      <c r="AG148" s="156"/>
    </row>
    <row r="149" spans="1:33" s="154" customFormat="1" x14ac:dyDescent="0.3">
      <c r="A149" s="157">
        <f>SUM(C149:AB149)</f>
        <v>0</v>
      </c>
      <c r="B149" s="154" t="s">
        <v>119</v>
      </c>
      <c r="C149" s="156"/>
      <c r="D149" s="156"/>
      <c r="E149" s="156"/>
      <c r="F149" s="156"/>
      <c r="G149" s="156"/>
      <c r="H149" s="156"/>
      <c r="I149" s="156"/>
      <c r="J149" s="156"/>
      <c r="K149" s="156"/>
      <c r="L149" s="156"/>
      <c r="M149" s="156"/>
      <c r="N149" s="156"/>
      <c r="O149" s="156"/>
      <c r="P149" s="156"/>
      <c r="Q149" s="156"/>
      <c r="R149" s="156"/>
      <c r="S149" s="156"/>
      <c r="T149" s="156"/>
      <c r="U149" s="156"/>
      <c r="V149" s="156"/>
      <c r="W149" s="156"/>
      <c r="X149" s="156"/>
      <c r="Y149" s="156"/>
      <c r="Z149" s="156"/>
      <c r="AA149" s="156"/>
      <c r="AB149" s="156"/>
      <c r="AC149" s="156"/>
      <c r="AD149" s="156"/>
      <c r="AE149" s="156"/>
      <c r="AF149" s="156"/>
      <c r="AG149" s="156"/>
    </row>
    <row r="150" spans="1:33" s="154" customFormat="1" x14ac:dyDescent="0.3">
      <c r="B150" s="154" t="s">
        <v>120</v>
      </c>
      <c r="C150" s="156"/>
      <c r="D150" s="156"/>
      <c r="E150" s="156"/>
      <c r="F150" s="156"/>
      <c r="G150" s="156"/>
      <c r="H150" s="156"/>
      <c r="I150" s="156"/>
      <c r="J150" s="156"/>
      <c r="K150" s="156"/>
      <c r="L150" s="156"/>
      <c r="M150" s="156"/>
      <c r="N150" s="156"/>
      <c r="O150" s="156"/>
      <c r="P150" s="156"/>
      <c r="Q150" s="156"/>
      <c r="R150" s="156"/>
      <c r="S150" s="156"/>
      <c r="T150" s="156"/>
      <c r="U150" s="156"/>
      <c r="V150" s="156"/>
      <c r="W150" s="156"/>
      <c r="X150" s="156"/>
      <c r="Y150" s="156"/>
      <c r="Z150" s="156"/>
      <c r="AA150" s="156"/>
      <c r="AB150" s="156"/>
      <c r="AC150" s="156"/>
      <c r="AD150" s="156"/>
      <c r="AE150" s="156"/>
      <c r="AF150" s="156"/>
      <c r="AG150" s="156"/>
    </row>
    <row r="151" spans="1:33" x14ac:dyDescent="0.3">
      <c r="B151" t="s">
        <v>121</v>
      </c>
      <c r="C151" s="42">
        <f t="shared" ref="C151:AB151" si="76">C124</f>
        <v>0</v>
      </c>
      <c r="D151" s="42">
        <f t="shared" si="76"/>
        <v>0</v>
      </c>
      <c r="E151" s="42">
        <f t="shared" si="76"/>
        <v>0</v>
      </c>
      <c r="F151" s="42">
        <f t="shared" si="76"/>
        <v>0</v>
      </c>
      <c r="G151" s="42">
        <f t="shared" si="76"/>
        <v>0</v>
      </c>
      <c r="H151" s="42">
        <f t="shared" si="76"/>
        <v>0</v>
      </c>
      <c r="I151" s="42">
        <f t="shared" si="76"/>
        <v>0</v>
      </c>
      <c r="J151" s="42">
        <f t="shared" si="76"/>
        <v>0</v>
      </c>
      <c r="K151" s="42">
        <f t="shared" si="76"/>
        <v>0</v>
      </c>
      <c r="L151" s="42">
        <f t="shared" si="76"/>
        <v>0</v>
      </c>
      <c r="M151" s="42">
        <f t="shared" si="76"/>
        <v>0</v>
      </c>
      <c r="N151" s="42">
        <f t="shared" si="76"/>
        <v>0</v>
      </c>
      <c r="O151" s="42">
        <f t="shared" si="76"/>
        <v>0</v>
      </c>
      <c r="P151" s="42">
        <f t="shared" si="76"/>
        <v>0</v>
      </c>
      <c r="Q151" s="42">
        <f t="shared" si="76"/>
        <v>0</v>
      </c>
      <c r="R151" s="42">
        <f t="shared" si="76"/>
        <v>0</v>
      </c>
      <c r="S151" s="42">
        <f t="shared" si="76"/>
        <v>0</v>
      </c>
      <c r="T151" s="42">
        <f t="shared" si="76"/>
        <v>0</v>
      </c>
      <c r="U151" s="42">
        <f t="shared" si="76"/>
        <v>0</v>
      </c>
      <c r="V151" s="42">
        <f t="shared" si="76"/>
        <v>0</v>
      </c>
      <c r="W151" s="42">
        <f t="shared" si="76"/>
        <v>0</v>
      </c>
      <c r="X151" s="42">
        <f t="shared" si="76"/>
        <v>0</v>
      </c>
      <c r="Y151" s="42">
        <f t="shared" si="76"/>
        <v>0</v>
      </c>
      <c r="Z151" s="42">
        <f t="shared" si="76"/>
        <v>0</v>
      </c>
      <c r="AA151" s="42">
        <f t="shared" si="76"/>
        <v>0</v>
      </c>
      <c r="AB151" s="42">
        <f t="shared" si="76"/>
        <v>0</v>
      </c>
      <c r="AC151" s="42"/>
      <c r="AD151" s="42"/>
      <c r="AE151" s="42"/>
      <c r="AF151" s="42"/>
      <c r="AG151" s="42"/>
    </row>
    <row r="152" spans="1:33" x14ac:dyDescent="0.3">
      <c r="B152" t="s">
        <v>122</v>
      </c>
      <c r="C152" s="42"/>
      <c r="D152" s="42">
        <f t="shared" ref="D152:AB152" si="77">MIN(0,$C$33-$C$32*(D137+D147+D148+D149+D150+D151+C165))*(D42&lt;=$C$19)*(C165&gt;$C$33)</f>
        <v>0</v>
      </c>
      <c r="E152" s="42">
        <f t="shared" si="77"/>
        <v>0</v>
      </c>
      <c r="F152" s="42">
        <f t="shared" si="77"/>
        <v>0</v>
      </c>
      <c r="G152" s="42">
        <f t="shared" si="77"/>
        <v>0</v>
      </c>
      <c r="H152" s="42">
        <f t="shared" si="77"/>
        <v>0</v>
      </c>
      <c r="I152" s="42">
        <f t="shared" si="77"/>
        <v>0</v>
      </c>
      <c r="J152" s="42">
        <f t="shared" si="77"/>
        <v>0</v>
      </c>
      <c r="K152" s="42">
        <f t="shared" si="77"/>
        <v>0</v>
      </c>
      <c r="L152" s="42">
        <f t="shared" si="77"/>
        <v>0</v>
      </c>
      <c r="M152" s="42">
        <f t="shared" si="77"/>
        <v>0</v>
      </c>
      <c r="N152" s="42">
        <f t="shared" si="77"/>
        <v>0</v>
      </c>
      <c r="O152" s="42">
        <f t="shared" si="77"/>
        <v>0</v>
      </c>
      <c r="P152" s="42">
        <f t="shared" si="77"/>
        <v>0</v>
      </c>
      <c r="Q152" s="42">
        <f t="shared" si="77"/>
        <v>0</v>
      </c>
      <c r="R152" s="42">
        <f t="shared" si="77"/>
        <v>0</v>
      </c>
      <c r="S152" s="42">
        <f t="shared" si="77"/>
        <v>0</v>
      </c>
      <c r="T152" s="42">
        <f t="shared" si="77"/>
        <v>0</v>
      </c>
      <c r="U152" s="42">
        <f t="shared" si="77"/>
        <v>0</v>
      </c>
      <c r="V152" s="42">
        <f t="shared" si="77"/>
        <v>0</v>
      </c>
      <c r="W152" s="42">
        <f t="shared" si="77"/>
        <v>0</v>
      </c>
      <c r="X152" s="42">
        <f t="shared" si="77"/>
        <v>0</v>
      </c>
      <c r="Y152" s="42">
        <f t="shared" si="77"/>
        <v>0</v>
      </c>
      <c r="Z152" s="42">
        <f t="shared" si="77"/>
        <v>0</v>
      </c>
      <c r="AA152" s="42">
        <f t="shared" si="77"/>
        <v>0</v>
      </c>
      <c r="AB152" s="42">
        <f t="shared" si="77"/>
        <v>0</v>
      </c>
      <c r="AC152" s="42"/>
      <c r="AD152" s="42"/>
      <c r="AE152" s="42"/>
      <c r="AF152" s="42"/>
      <c r="AG152" s="42"/>
    </row>
    <row r="153" spans="1:33" x14ac:dyDescent="0.3">
      <c r="B153" s="3" t="s">
        <v>123</v>
      </c>
      <c r="C153" s="48">
        <f t="shared" ref="C153:AB153" si="78">C137+SUM(C142:C152)</f>
        <v>0</v>
      </c>
      <c r="D153" s="48">
        <f>D137+SUM(D142:D152)</f>
        <v>40011.324969050889</v>
      </c>
      <c r="E153" s="48">
        <f t="shared" si="78"/>
        <v>37558.490662810771</v>
      </c>
      <c r="F153" s="48">
        <f t="shared" si="78"/>
        <v>35107.324989984139</v>
      </c>
      <c r="G153" s="48">
        <f t="shared" si="78"/>
        <v>32980.924720041323</v>
      </c>
      <c r="H153" s="48">
        <f t="shared" si="78"/>
        <v>30541.262238028859</v>
      </c>
      <c r="I153" s="48">
        <f t="shared" si="78"/>
        <v>28103.560555165815</v>
      </c>
      <c r="J153" s="48">
        <f t="shared" si="78"/>
        <v>25667.855819609777</v>
      </c>
      <c r="K153" s="48">
        <f t="shared" si="78"/>
        <v>23234.184827394813</v>
      </c>
      <c r="L153" s="48">
        <f t="shared" si="78"/>
        <v>20802.585033543834</v>
      </c>
      <c r="M153" s="48">
        <f t="shared" si="78"/>
        <v>18373.094563357678</v>
      </c>
      <c r="N153" s="48">
        <f t="shared" si="78"/>
        <v>16425.752223883377</v>
      </c>
      <c r="O153" s="48">
        <f t="shared" si="78"/>
        <v>14000.597515564001</v>
      </c>
      <c r="P153" s="48">
        <f t="shared" si="78"/>
        <v>11577.670644072547</v>
      </c>
      <c r="Q153" s="48">
        <f t="shared" si="78"/>
        <v>9157.01253233237</v>
      </c>
      <c r="R153" s="48">
        <f t="shared" si="78"/>
        <v>6738.6648327265775</v>
      </c>
      <c r="S153" s="48">
        <f t="shared" si="78"/>
        <v>6866.6699394989755</v>
      </c>
      <c r="T153" s="48">
        <f t="shared" si="78"/>
        <v>6997.0710013490261</v>
      </c>
      <c r="U153" s="48">
        <f t="shared" si="78"/>
        <v>7040.2221835638666</v>
      </c>
      <c r="V153" s="48">
        <f t="shared" si="78"/>
        <v>5448.9280757300457</v>
      </c>
      <c r="W153" s="48">
        <f t="shared" si="78"/>
        <v>5552.3197434104786</v>
      </c>
      <c r="X153" s="48">
        <f t="shared" si="78"/>
        <v>5657.6436760404431</v>
      </c>
      <c r="Y153" s="48">
        <f t="shared" si="78"/>
        <v>5764.9352112746674</v>
      </c>
      <c r="Z153" s="48">
        <f t="shared" si="78"/>
        <v>5874.2303124509981</v>
      </c>
      <c r="AA153" s="48">
        <f t="shared" si="78"/>
        <v>5985.5655791095141</v>
      </c>
      <c r="AB153" s="48">
        <f t="shared" si="78"/>
        <v>6098.9782576728312</v>
      </c>
      <c r="AC153" s="48"/>
      <c r="AD153" s="48"/>
      <c r="AE153" s="48"/>
      <c r="AF153" s="48"/>
      <c r="AG153" s="48"/>
    </row>
    <row r="154" spans="1:33" x14ac:dyDescent="0.3">
      <c r="C154" s="82">
        <f>C153/MAX($C$127:$AB$127)</f>
        <v>0</v>
      </c>
      <c r="D154" s="82">
        <f>D153/MAX($C$127:$AB$127)</f>
        <v>1.0485148052686293</v>
      </c>
      <c r="E154" s="82">
        <f>E153/MAX($C$127:$AB$127)</f>
        <v>0.9842371766983955</v>
      </c>
      <c r="F154" s="82">
        <f>F153/MAX($C$127:$AB$127)</f>
        <v>0.92000327541887161</v>
      </c>
      <c r="G154" s="82">
        <f t="shared" ref="G154:AB154" si="79">G153/MAX($C$127:$AB$127)</f>
        <v>0.86427999790464682</v>
      </c>
      <c r="H154" s="82">
        <f t="shared" si="79"/>
        <v>0.80034754292528454</v>
      </c>
      <c r="I154" s="82">
        <f t="shared" si="79"/>
        <v>0.73646647157143119</v>
      </c>
      <c r="J154" s="82">
        <f t="shared" si="79"/>
        <v>0.67263773112184944</v>
      </c>
      <c r="K154" s="82">
        <f t="shared" si="79"/>
        <v>0.60886228583319735</v>
      </c>
      <c r="L154" s="82">
        <f t="shared" si="79"/>
        <v>0.54514111723123249</v>
      </c>
      <c r="M154" s="82">
        <f t="shared" si="79"/>
        <v>0.48147522440664775</v>
      </c>
      <c r="N154" s="82">
        <f t="shared" si="79"/>
        <v>0.4304442406678034</v>
      </c>
      <c r="O154" s="82">
        <f t="shared" si="79"/>
        <v>0.36689196843721178</v>
      </c>
      <c r="P154" s="82">
        <f t="shared" si="79"/>
        <v>0.3033980776748571</v>
      </c>
      <c r="Q154" s="82">
        <f t="shared" si="79"/>
        <v>0.23996364078439125</v>
      </c>
      <c r="R154" s="82">
        <f t="shared" si="79"/>
        <v>0.17658974928528767</v>
      </c>
      <c r="S154" s="82">
        <f t="shared" si="79"/>
        <v>0.17994418080448049</v>
      </c>
      <c r="T154" s="82">
        <f t="shared" si="79"/>
        <v>0.18336139940642102</v>
      </c>
      <c r="U154" s="82">
        <f t="shared" si="79"/>
        <v>0.1844921955860552</v>
      </c>
      <c r="V154" s="82">
        <f t="shared" si="79"/>
        <v>0.14279161624030517</v>
      </c>
      <c r="W154" s="82">
        <f t="shared" si="79"/>
        <v>0.14550104149398529</v>
      </c>
      <c r="X154" s="82">
        <f t="shared" si="79"/>
        <v>0.14826110262160491</v>
      </c>
      <c r="Y154" s="82">
        <f t="shared" si="79"/>
        <v>0.15107272566233404</v>
      </c>
      <c r="Z154" s="82">
        <f t="shared" si="79"/>
        <v>0.15393685305165089</v>
      </c>
      <c r="AA154" s="82">
        <f t="shared" si="79"/>
        <v>0.15685444389699985</v>
      </c>
      <c r="AB154" s="82">
        <f t="shared" si="79"/>
        <v>0.15982647425767377</v>
      </c>
      <c r="AC154" s="82"/>
      <c r="AD154" s="82"/>
      <c r="AE154" s="82"/>
      <c r="AF154" s="82"/>
      <c r="AG154" s="82"/>
    </row>
    <row r="155" spans="1:33" x14ac:dyDescent="0.3">
      <c r="B155" s="11" t="s">
        <v>124</v>
      </c>
      <c r="C155" s="83">
        <f>C137</f>
        <v>-38160</v>
      </c>
      <c r="D155" s="83">
        <f>+D137+D103</f>
        <v>-1583.075030949115</v>
      </c>
      <c r="E155" s="83">
        <f t="shared" ref="E155:AB155" si="80">+E137+E103</f>
        <v>-1262.9493371892313</v>
      </c>
      <c r="F155" s="83">
        <f t="shared" si="80"/>
        <v>-941.15501001586654</v>
      </c>
      <c r="G155" s="83">
        <f t="shared" si="80"/>
        <v>-294.59527995868211</v>
      </c>
      <c r="H155" s="83">
        <f t="shared" si="80"/>
        <v>38.702238028858119</v>
      </c>
      <c r="I155" s="83">
        <f t="shared" si="80"/>
        <v>373.960555165816</v>
      </c>
      <c r="J155" s="83">
        <f t="shared" si="80"/>
        <v>711.21581960977801</v>
      </c>
      <c r="K155" s="83">
        <f t="shared" si="80"/>
        <v>1050.5048273948123</v>
      </c>
      <c r="L155" s="83">
        <f t="shared" si="80"/>
        <v>1391.8650335438315</v>
      </c>
      <c r="M155" s="83">
        <f t="shared" si="80"/>
        <v>1735.3345633576773</v>
      </c>
      <c r="N155" s="83">
        <f t="shared" si="80"/>
        <v>2560.952223883377</v>
      </c>
      <c r="O155" s="83">
        <f t="shared" si="80"/>
        <v>2908.7575155640006</v>
      </c>
      <c r="P155" s="83">
        <f t="shared" si="80"/>
        <v>3258.7906440725465</v>
      </c>
      <c r="Q155" s="83">
        <f t="shared" si="80"/>
        <v>3611.09253233237</v>
      </c>
      <c r="R155" s="83">
        <f t="shared" si="80"/>
        <v>3965.7048327265779</v>
      </c>
      <c r="S155" s="83">
        <f t="shared" si="80"/>
        <v>6866.6699394989755</v>
      </c>
      <c r="T155" s="83">
        <f t="shared" si="80"/>
        <v>6997.0710013490261</v>
      </c>
      <c r="U155" s="83">
        <f t="shared" si="80"/>
        <v>7129.9119342234035</v>
      </c>
      <c r="V155" s="83">
        <f t="shared" si="80"/>
        <v>7265.2374343067277</v>
      </c>
      <c r="W155" s="83">
        <f t="shared" si="80"/>
        <v>7403.0929912139718</v>
      </c>
      <c r="X155" s="83">
        <f t="shared" si="80"/>
        <v>7543.5249013872572</v>
      </c>
      <c r="Y155" s="83">
        <f t="shared" si="80"/>
        <v>7686.5802816995565</v>
      </c>
      <c r="Z155" s="83">
        <f t="shared" si="80"/>
        <v>7832.3070832679969</v>
      </c>
      <c r="AA155" s="83">
        <f t="shared" si="80"/>
        <v>7980.7541054793519</v>
      </c>
      <c r="AB155" s="83">
        <f t="shared" si="80"/>
        <v>8131.9710102304416</v>
      </c>
      <c r="AC155" s="83"/>
      <c r="AD155" s="83"/>
      <c r="AE155" s="83"/>
      <c r="AF155" s="83"/>
      <c r="AG155" s="83"/>
    </row>
    <row r="156" spans="1:33" s="12" customFormat="1" x14ac:dyDescent="0.3">
      <c r="B156" s="11" t="s">
        <v>125</v>
      </c>
      <c r="C156" s="83">
        <f>C139</f>
        <v>-38160</v>
      </c>
      <c r="D156" s="83">
        <f>D155-D96</f>
        <v>-1583.075030949115</v>
      </c>
      <c r="E156" s="83">
        <f t="shared" ref="E156:AB156" si="81">E155-E96</f>
        <v>-1262.9493371892313</v>
      </c>
      <c r="F156" s="83">
        <f t="shared" si="81"/>
        <v>-941.15501001586654</v>
      </c>
      <c r="G156" s="83">
        <f t="shared" si="81"/>
        <v>-294.59527995868211</v>
      </c>
      <c r="H156" s="83">
        <f t="shared" si="81"/>
        <v>38.702238028858119</v>
      </c>
      <c r="I156" s="83">
        <f t="shared" si="81"/>
        <v>373.960555165816</v>
      </c>
      <c r="J156" s="83">
        <f t="shared" si="81"/>
        <v>711.21581960977801</v>
      </c>
      <c r="K156" s="83">
        <f t="shared" si="81"/>
        <v>1050.5048273948123</v>
      </c>
      <c r="L156" s="83">
        <f t="shared" si="81"/>
        <v>1391.8650335438315</v>
      </c>
      <c r="M156" s="83">
        <f t="shared" si="81"/>
        <v>1735.3345633576773</v>
      </c>
      <c r="N156" s="83">
        <f t="shared" si="81"/>
        <v>2560.952223883377</v>
      </c>
      <c r="O156" s="83">
        <f t="shared" si="81"/>
        <v>2908.7575155640006</v>
      </c>
      <c r="P156" s="83">
        <f t="shared" si="81"/>
        <v>3258.7906440725465</v>
      </c>
      <c r="Q156" s="83">
        <f t="shared" si="81"/>
        <v>3611.09253233237</v>
      </c>
      <c r="R156" s="83">
        <f t="shared" si="81"/>
        <v>3965.7048327265779</v>
      </c>
      <c r="S156" s="83">
        <f t="shared" si="81"/>
        <v>6866.6699394989755</v>
      </c>
      <c r="T156" s="83">
        <f t="shared" si="81"/>
        <v>5637.0592342453383</v>
      </c>
      <c r="U156" s="83">
        <f t="shared" si="81"/>
        <v>5729.0339506675527</v>
      </c>
      <c r="V156" s="83">
        <f t="shared" si="81"/>
        <v>5830.5280757300461</v>
      </c>
      <c r="W156" s="83">
        <f t="shared" si="81"/>
        <v>5933.919743410479</v>
      </c>
      <c r="X156" s="83">
        <f t="shared" si="81"/>
        <v>6039.2436760404435</v>
      </c>
      <c r="Y156" s="83">
        <f t="shared" si="81"/>
        <v>6146.5352112746677</v>
      </c>
      <c r="Z156" s="83">
        <f t="shared" si="81"/>
        <v>6255.8303124509976</v>
      </c>
      <c r="AA156" s="83">
        <f t="shared" si="81"/>
        <v>6367.1655791095145</v>
      </c>
      <c r="AB156" s="83">
        <f t="shared" si="81"/>
        <v>6480.578257672827</v>
      </c>
      <c r="AC156" s="83"/>
      <c r="AD156" s="83"/>
      <c r="AE156" s="83"/>
      <c r="AF156" s="83"/>
      <c r="AG156" s="83"/>
    </row>
    <row r="157" spans="1:33" s="12" customFormat="1" x14ac:dyDescent="0.3">
      <c r="B157" s="11"/>
      <c r="C157" s="83"/>
      <c r="D157" s="83"/>
      <c r="E157" s="83"/>
      <c r="F157" s="83"/>
      <c r="G157" s="83"/>
      <c r="H157" s="83"/>
      <c r="I157" s="83"/>
      <c r="J157" s="83"/>
      <c r="K157" s="83"/>
      <c r="L157" s="83"/>
      <c r="M157" s="83"/>
      <c r="N157" s="83"/>
      <c r="O157" s="83"/>
      <c r="P157" s="83"/>
      <c r="Q157" s="83"/>
      <c r="R157" s="83"/>
      <c r="S157" s="83"/>
      <c r="T157" s="83"/>
      <c r="U157" s="83"/>
      <c r="V157" s="83"/>
      <c r="W157" s="83"/>
      <c r="X157" s="83"/>
      <c r="Y157" s="83"/>
      <c r="Z157" s="83"/>
      <c r="AA157" s="83"/>
      <c r="AB157" s="83"/>
      <c r="AC157" s="83"/>
      <c r="AD157" s="83"/>
      <c r="AE157" s="83"/>
      <c r="AF157" s="83"/>
      <c r="AG157" s="83"/>
    </row>
    <row r="158" spans="1:33" s="12" customFormat="1" x14ac:dyDescent="0.3">
      <c r="B158" s="11"/>
      <c r="C158" s="83">
        <f>C155</f>
        <v>-38160</v>
      </c>
      <c r="D158" s="83">
        <f>C158+D155</f>
        <v>-39743.075030949112</v>
      </c>
      <c r="E158" s="83">
        <f>D158+E155</f>
        <v>-41006.024368138344</v>
      </c>
      <c r="F158" s="83">
        <f t="shared" ref="F158:O158" si="82">E158+F155</f>
        <v>-41947.179378154207</v>
      </c>
      <c r="G158" s="83">
        <f t="shared" si="82"/>
        <v>-42241.774658112889</v>
      </c>
      <c r="H158" s="83">
        <f t="shared" si="82"/>
        <v>-42203.072420084034</v>
      </c>
      <c r="I158" s="83">
        <f t="shared" si="82"/>
        <v>-41829.111864918217</v>
      </c>
      <c r="J158" s="83">
        <f t="shared" si="82"/>
        <v>-41117.896045308436</v>
      </c>
      <c r="K158" s="83">
        <f>J158+K155</f>
        <v>-40067.391217913624</v>
      </c>
      <c r="L158" s="83">
        <f t="shared" si="82"/>
        <v>-38675.526184369795</v>
      </c>
      <c r="M158" s="83">
        <f t="shared" si="82"/>
        <v>-36940.19162101212</v>
      </c>
      <c r="N158" s="83">
        <f t="shared" si="82"/>
        <v>-34379.239397128746</v>
      </c>
      <c r="O158" s="83">
        <f t="shared" si="82"/>
        <v>-31470.481881564745</v>
      </c>
      <c r="P158" s="83">
        <f t="shared" ref="P158" si="83">O158+P155</f>
        <v>-28211.691237492199</v>
      </c>
      <c r="Q158" s="83">
        <f t="shared" ref="Q158" si="84">P158+Q155</f>
        <v>-24600.598705159828</v>
      </c>
      <c r="R158" s="83">
        <f t="shared" ref="R158" si="85">Q158+R155</f>
        <v>-20634.893872433251</v>
      </c>
      <c r="S158" s="83">
        <f t="shared" ref="S158" si="86">R158+S155</f>
        <v>-13768.223932934276</v>
      </c>
      <c r="T158" s="83">
        <f t="shared" ref="T158" si="87">S158+T155</f>
        <v>-6771.1529315852495</v>
      </c>
      <c r="U158" s="83">
        <f t="shared" ref="U158" si="88">T158+U155</f>
        <v>358.75900263815402</v>
      </c>
      <c r="V158" s="83">
        <f t="shared" ref="V158" si="89">U158+V155</f>
        <v>7623.9964369448817</v>
      </c>
      <c r="W158" s="83">
        <f t="shared" ref="W158" si="90">V158+W155</f>
        <v>15027.089428158853</v>
      </c>
      <c r="X158" s="83">
        <f t="shared" ref="X158" si="91">W158+X155</f>
        <v>22570.614329546112</v>
      </c>
      <c r="Y158" s="83">
        <f t="shared" ref="Y158" si="92">X158+Y155</f>
        <v>30257.194611245668</v>
      </c>
      <c r="Z158" s="83">
        <f t="shared" ref="Z158" si="93">Y158+Z155</f>
        <v>38089.501694513667</v>
      </c>
      <c r="AA158" s="83">
        <f t="shared" ref="AA158" si="94">Z158+AA155</f>
        <v>46070.255799993021</v>
      </c>
      <c r="AB158" s="83">
        <f t="shared" ref="AB158" si="95">AA158+AB155</f>
        <v>54202.226810223467</v>
      </c>
      <c r="AC158" s="83"/>
      <c r="AD158" s="83"/>
      <c r="AE158" s="83"/>
      <c r="AF158" s="83"/>
      <c r="AG158" s="83"/>
    </row>
    <row r="159" spans="1:33" s="12" customFormat="1" x14ac:dyDescent="0.3">
      <c r="C159" s="83">
        <f>C156</f>
        <v>-38160</v>
      </c>
      <c r="D159" s="83">
        <f>C159+D156</f>
        <v>-39743.075030949112</v>
      </c>
      <c r="E159" s="83">
        <f>D159+E156</f>
        <v>-41006.024368138344</v>
      </c>
      <c r="F159" s="83">
        <f>E159+F156</f>
        <v>-41947.179378154207</v>
      </c>
      <c r="G159" s="83">
        <f>F159+G156</f>
        <v>-42241.774658112889</v>
      </c>
      <c r="H159" s="83">
        <f>G159+H156</f>
        <v>-42203.072420084034</v>
      </c>
      <c r="I159" s="83">
        <f>H159+I156</f>
        <v>-41829.111864918217</v>
      </c>
      <c r="J159" s="83">
        <f>I159+J156</f>
        <v>-41117.896045308436</v>
      </c>
      <c r="K159" s="83">
        <f>J159+K156</f>
        <v>-40067.391217913624</v>
      </c>
      <c r="L159" s="83">
        <f t="shared" ref="L159:AB159" si="96">K159+L156</f>
        <v>-38675.526184369795</v>
      </c>
      <c r="M159" s="83">
        <f t="shared" si="96"/>
        <v>-36940.19162101212</v>
      </c>
      <c r="N159" s="83">
        <f t="shared" si="96"/>
        <v>-34379.239397128746</v>
      </c>
      <c r="O159" s="83">
        <f t="shared" si="96"/>
        <v>-31470.481881564745</v>
      </c>
      <c r="P159" s="83">
        <f t="shared" si="96"/>
        <v>-28211.691237492199</v>
      </c>
      <c r="Q159" s="83">
        <f t="shared" si="96"/>
        <v>-24600.598705159828</v>
      </c>
      <c r="R159" s="83">
        <f t="shared" si="96"/>
        <v>-20634.893872433251</v>
      </c>
      <c r="S159" s="83">
        <f t="shared" si="96"/>
        <v>-13768.223932934276</v>
      </c>
      <c r="T159" s="83">
        <f t="shared" si="96"/>
        <v>-8131.1646986889373</v>
      </c>
      <c r="U159" s="83">
        <f t="shared" si="96"/>
        <v>-2402.1307480213845</v>
      </c>
      <c r="V159" s="83">
        <f t="shared" si="96"/>
        <v>3428.3973277086616</v>
      </c>
      <c r="W159" s="83">
        <f t="shared" si="96"/>
        <v>9362.3170711191415</v>
      </c>
      <c r="X159" s="83">
        <f t="shared" si="96"/>
        <v>15401.560747159585</v>
      </c>
      <c r="Y159" s="83">
        <f t="shared" si="96"/>
        <v>21548.095958434253</v>
      </c>
      <c r="Z159" s="83">
        <f t="shared" si="96"/>
        <v>27803.926270885251</v>
      </c>
      <c r="AA159" s="83">
        <f t="shared" si="96"/>
        <v>34171.091849994766</v>
      </c>
      <c r="AB159" s="83">
        <f t="shared" si="96"/>
        <v>40651.670107667596</v>
      </c>
      <c r="AC159" s="83"/>
      <c r="AD159" s="83"/>
      <c r="AE159" s="83"/>
      <c r="AF159" s="83"/>
      <c r="AG159" s="83"/>
    </row>
    <row r="160" spans="1:33" s="12" customFormat="1" x14ac:dyDescent="0.3">
      <c r="C160" s="104">
        <v>0</v>
      </c>
      <c r="D160" s="104">
        <v>0</v>
      </c>
      <c r="E160" s="104">
        <v>0</v>
      </c>
      <c r="F160" s="104">
        <v>0</v>
      </c>
      <c r="G160" s="104">
        <v>0</v>
      </c>
      <c r="H160" s="104">
        <v>0</v>
      </c>
      <c r="I160" s="104">
        <v>0</v>
      </c>
      <c r="J160" s="104">
        <v>0</v>
      </c>
      <c r="K160" s="104">
        <v>0</v>
      </c>
      <c r="L160" s="104">
        <v>0</v>
      </c>
      <c r="M160" s="104">
        <v>0</v>
      </c>
      <c r="N160" s="104">
        <v>0</v>
      </c>
      <c r="O160" s="104">
        <v>0</v>
      </c>
      <c r="P160" s="104">
        <v>0</v>
      </c>
      <c r="Q160" s="104">
        <v>0</v>
      </c>
      <c r="R160" s="104">
        <v>0</v>
      </c>
      <c r="S160" s="104">
        <v>0</v>
      </c>
      <c r="T160" s="104">
        <v>0</v>
      </c>
      <c r="U160" s="104">
        <v>0</v>
      </c>
      <c r="V160" s="104">
        <v>0</v>
      </c>
      <c r="W160" s="104">
        <v>0</v>
      </c>
      <c r="X160" s="104">
        <v>0</v>
      </c>
      <c r="Y160" s="104">
        <v>0</v>
      </c>
      <c r="Z160" s="104">
        <v>0</v>
      </c>
      <c r="AA160" s="104">
        <v>0</v>
      </c>
      <c r="AB160" s="104">
        <v>0</v>
      </c>
      <c r="AC160" s="83"/>
      <c r="AD160" s="83"/>
      <c r="AE160" s="83"/>
      <c r="AF160" s="83"/>
      <c r="AG160" s="83"/>
    </row>
    <row r="161" spans="2:33" x14ac:dyDescent="0.3">
      <c r="B161" s="2" t="s">
        <v>126</v>
      </c>
      <c r="C161" s="2">
        <v>0</v>
      </c>
      <c r="D161" s="2">
        <v>1</v>
      </c>
      <c r="E161" s="2">
        <v>2</v>
      </c>
      <c r="F161" s="2">
        <v>3</v>
      </c>
      <c r="G161" s="2">
        <v>4</v>
      </c>
      <c r="H161" s="2">
        <v>5</v>
      </c>
      <c r="I161" s="2">
        <v>6</v>
      </c>
      <c r="J161" s="2">
        <v>7</v>
      </c>
      <c r="K161" s="2">
        <v>8</v>
      </c>
      <c r="L161" s="2">
        <v>9</v>
      </c>
      <c r="M161" s="2">
        <v>10</v>
      </c>
      <c r="N161" s="2">
        <v>11</v>
      </c>
      <c r="O161" s="2">
        <v>12</v>
      </c>
      <c r="P161" s="2">
        <v>13</v>
      </c>
      <c r="Q161" s="2">
        <v>14</v>
      </c>
      <c r="R161" s="2">
        <v>15</v>
      </c>
      <c r="S161" s="2">
        <v>16</v>
      </c>
      <c r="T161" s="2">
        <v>17</v>
      </c>
      <c r="U161" s="2">
        <v>18</v>
      </c>
      <c r="V161" s="2">
        <v>19</v>
      </c>
      <c r="W161" s="2">
        <v>20</v>
      </c>
      <c r="X161" s="2">
        <v>21</v>
      </c>
      <c r="Y161" s="2">
        <v>22</v>
      </c>
      <c r="Z161" s="2">
        <v>23</v>
      </c>
      <c r="AA161" s="2">
        <v>24</v>
      </c>
      <c r="AB161" s="2">
        <v>25</v>
      </c>
      <c r="AC161" s="2"/>
      <c r="AD161" s="2"/>
      <c r="AE161" s="2"/>
      <c r="AF161" s="2"/>
      <c r="AG161" s="2"/>
    </row>
    <row r="163" spans="2:33" x14ac:dyDescent="0.3">
      <c r="B163" s="3" t="s">
        <v>127</v>
      </c>
    </row>
    <row r="164" spans="2:33" s="14" customFormat="1" x14ac:dyDescent="0.3">
      <c r="B164" s="14" t="s">
        <v>128</v>
      </c>
      <c r="C164" s="84">
        <f>C130-C70</f>
        <v>38160</v>
      </c>
      <c r="D164" s="84">
        <f t="shared" ref="D164:AB164" si="97">(D130+C164-D70)*(D42&lt;=$C$19)</f>
        <v>36633.599999999999</v>
      </c>
      <c r="E164" s="84">
        <f t="shared" si="97"/>
        <v>35107.199999999997</v>
      </c>
      <c r="F164" s="84">
        <f t="shared" si="97"/>
        <v>33580.799999999996</v>
      </c>
      <c r="G164" s="84">
        <f t="shared" si="97"/>
        <v>32054.399999999994</v>
      </c>
      <c r="H164" s="84">
        <f t="shared" si="97"/>
        <v>30527.999999999993</v>
      </c>
      <c r="I164" s="84">
        <f t="shared" si="97"/>
        <v>29001.599999999991</v>
      </c>
      <c r="J164" s="84">
        <f t="shared" si="97"/>
        <v>27475.19999999999</v>
      </c>
      <c r="K164" s="84">
        <f t="shared" si="97"/>
        <v>25948.799999999988</v>
      </c>
      <c r="L164" s="84">
        <f t="shared" si="97"/>
        <v>24422.399999999987</v>
      </c>
      <c r="M164" s="84">
        <f t="shared" si="97"/>
        <v>22895.999999999985</v>
      </c>
      <c r="N164" s="84">
        <f t="shared" si="97"/>
        <v>21369.599999999984</v>
      </c>
      <c r="O164" s="84">
        <f t="shared" si="97"/>
        <v>19843.199999999983</v>
      </c>
      <c r="P164" s="84">
        <f t="shared" si="97"/>
        <v>18316.799999999981</v>
      </c>
      <c r="Q164" s="84">
        <f t="shared" si="97"/>
        <v>16790.39999999998</v>
      </c>
      <c r="R164" s="84">
        <f t="shared" si="97"/>
        <v>15263.99999999998</v>
      </c>
      <c r="S164" s="84">
        <f t="shared" si="97"/>
        <v>13737.59999999998</v>
      </c>
      <c r="T164" s="84">
        <f t="shared" si="97"/>
        <v>12211.199999999981</v>
      </c>
      <c r="U164" s="84">
        <f t="shared" si="97"/>
        <v>10684.799999999981</v>
      </c>
      <c r="V164" s="84">
        <f t="shared" si="97"/>
        <v>9158.3999999999814</v>
      </c>
      <c r="W164" s="84">
        <f t="shared" si="97"/>
        <v>7631.9999999999818</v>
      </c>
      <c r="X164" s="84">
        <f t="shared" si="97"/>
        <v>6105.5999999999822</v>
      </c>
      <c r="Y164" s="84">
        <f t="shared" si="97"/>
        <v>4579.1999999999825</v>
      </c>
      <c r="Z164" s="84">
        <f t="shared" si="97"/>
        <v>3052.7999999999824</v>
      </c>
      <c r="AA164" s="84">
        <f t="shared" si="97"/>
        <v>1526.3999999999824</v>
      </c>
      <c r="AB164" s="84">
        <f t="shared" si="97"/>
        <v>0</v>
      </c>
      <c r="AC164" s="84"/>
      <c r="AD164" s="84"/>
      <c r="AE164" s="84"/>
      <c r="AF164" s="84"/>
      <c r="AG164" s="84"/>
    </row>
    <row r="165" spans="2:33" x14ac:dyDescent="0.3">
      <c r="B165" t="s">
        <v>129</v>
      </c>
      <c r="C165" s="38">
        <f>C153</f>
        <v>0</v>
      </c>
      <c r="D165" s="38">
        <f t="shared" ref="D165:AB165" si="98">(C165+D153)*(D42&lt;=$C$19)</f>
        <v>40011.324969050889</v>
      </c>
      <c r="E165" s="38">
        <f t="shared" si="98"/>
        <v>77569.815631861653</v>
      </c>
      <c r="F165" s="38">
        <f t="shared" si="98"/>
        <v>112677.14062184579</v>
      </c>
      <c r="G165" s="38">
        <f t="shared" si="98"/>
        <v>145658.06534188712</v>
      </c>
      <c r="H165" s="38">
        <f t="shared" si="98"/>
        <v>176199.32757991599</v>
      </c>
      <c r="I165" s="38">
        <f t="shared" si="98"/>
        <v>204302.8881350818</v>
      </c>
      <c r="J165" s="38">
        <f t="shared" si="98"/>
        <v>229970.74395469157</v>
      </c>
      <c r="K165" s="38">
        <f t="shared" si="98"/>
        <v>253204.92878208638</v>
      </c>
      <c r="L165" s="38">
        <f t="shared" si="98"/>
        <v>274007.51381563023</v>
      </c>
      <c r="M165" s="38">
        <f t="shared" si="98"/>
        <v>292380.60837898788</v>
      </c>
      <c r="N165" s="38">
        <f t="shared" si="98"/>
        <v>308806.36060287128</v>
      </c>
      <c r="O165" s="38">
        <f t="shared" si="98"/>
        <v>322806.95811843529</v>
      </c>
      <c r="P165" s="38">
        <f t="shared" si="98"/>
        <v>334384.62876250781</v>
      </c>
      <c r="Q165" s="38">
        <f t="shared" si="98"/>
        <v>343541.6412948402</v>
      </c>
      <c r="R165" s="38">
        <f t="shared" si="98"/>
        <v>350280.30612756679</v>
      </c>
      <c r="S165" s="38">
        <f t="shared" si="98"/>
        <v>357146.97606706579</v>
      </c>
      <c r="T165" s="38">
        <f t="shared" si="98"/>
        <v>364144.0470684148</v>
      </c>
      <c r="U165" s="38">
        <f t="shared" si="98"/>
        <v>371184.26925197867</v>
      </c>
      <c r="V165" s="38">
        <f t="shared" si="98"/>
        <v>376633.19732770871</v>
      </c>
      <c r="W165" s="38">
        <f t="shared" si="98"/>
        <v>382185.51707111916</v>
      </c>
      <c r="X165" s="38">
        <f t="shared" si="98"/>
        <v>387843.16074715962</v>
      </c>
      <c r="Y165" s="38">
        <f t="shared" si="98"/>
        <v>393608.09595843428</v>
      </c>
      <c r="Z165" s="38">
        <f t="shared" si="98"/>
        <v>399482.3262708853</v>
      </c>
      <c r="AA165" s="38">
        <f t="shared" si="98"/>
        <v>405467.89184999483</v>
      </c>
      <c r="AB165" s="38">
        <f t="shared" si="98"/>
        <v>411566.87010766764</v>
      </c>
      <c r="AC165" s="38"/>
      <c r="AD165" s="38"/>
      <c r="AE165" s="38"/>
      <c r="AF165" s="38"/>
      <c r="AG165" s="38"/>
    </row>
    <row r="166" spans="2:33" x14ac:dyDescent="0.3">
      <c r="B166" t="s">
        <v>130</v>
      </c>
      <c r="C166" s="38"/>
      <c r="D166" s="38">
        <f>SUM($D$132:D135)</f>
        <v>0</v>
      </c>
      <c r="E166" s="38">
        <f>SUM($D$132:E135)</f>
        <v>0</v>
      </c>
      <c r="F166" s="38">
        <f>SUM($D$132:F135)</f>
        <v>0</v>
      </c>
      <c r="G166" s="38">
        <f>SUM($D$132:G135)</f>
        <v>0</v>
      </c>
      <c r="H166" s="38">
        <f>SUM($D$132:H135)</f>
        <v>0</v>
      </c>
      <c r="I166" s="38">
        <f>SUM($D$132:I135)</f>
        <v>0</v>
      </c>
      <c r="J166" s="38">
        <f>SUM($D$132:J135)</f>
        <v>0</v>
      </c>
      <c r="K166" s="38">
        <f>SUM($D$132:K135)</f>
        <v>0</v>
      </c>
      <c r="L166" s="38">
        <f>SUM($D$132:L135)</f>
        <v>0</v>
      </c>
      <c r="M166" s="38">
        <f>SUM($D$132:M135)</f>
        <v>0</v>
      </c>
      <c r="N166" s="38">
        <f>SUM($D$132:N135)</f>
        <v>0</v>
      </c>
      <c r="O166" s="38">
        <f>SUM($D$132:O135)</f>
        <v>0</v>
      </c>
      <c r="P166" s="38">
        <f>SUM($D$132:P135)</f>
        <v>0</v>
      </c>
      <c r="Q166" s="38">
        <f>SUM($D$132:Q135)</f>
        <v>0</v>
      </c>
      <c r="R166" s="38">
        <f>SUM($D$132:R135)</f>
        <v>0</v>
      </c>
      <c r="S166" s="38">
        <f>SUM($D$132:S135)</f>
        <v>0</v>
      </c>
      <c r="T166" s="38">
        <f>SUM($D$132:T135)</f>
        <v>0</v>
      </c>
      <c r="U166" s="38">
        <f>SUM($D$132:U135)</f>
        <v>0</v>
      </c>
      <c r="V166" s="38">
        <f>SUM($D$132:V135)</f>
        <v>0</v>
      </c>
      <c r="W166" s="38">
        <f>SUM($D$132:W135)</f>
        <v>0</v>
      </c>
      <c r="X166" s="38">
        <f>SUM($D$132:X135)</f>
        <v>0</v>
      </c>
      <c r="Y166" s="38">
        <f>SUM($D$132:Y135)</f>
        <v>0</v>
      </c>
      <c r="Z166" s="38">
        <f>SUM($D$132:Z135)</f>
        <v>0</v>
      </c>
      <c r="AA166" s="38">
        <f>SUM($D$132:AA135)</f>
        <v>0</v>
      </c>
      <c r="AB166" s="38">
        <f>SUM($D$132:AB135)</f>
        <v>0</v>
      </c>
      <c r="AC166" s="38"/>
      <c r="AD166" s="38"/>
      <c r="AE166" s="38"/>
      <c r="AF166" s="38"/>
      <c r="AG166" s="38"/>
    </row>
    <row r="167" spans="2:33" x14ac:dyDescent="0.3">
      <c r="B167" s="3" t="s">
        <v>131</v>
      </c>
      <c r="C167" s="61">
        <f>C164+C165</f>
        <v>38160</v>
      </c>
      <c r="D167" s="61">
        <f t="shared" ref="D167:AB167" si="99">D164+D165+D166</f>
        <v>76644.924969050888</v>
      </c>
      <c r="E167" s="61">
        <f t="shared" si="99"/>
        <v>112677.01563186165</v>
      </c>
      <c r="F167" s="61">
        <f t="shared" si="99"/>
        <v>146257.94062184577</v>
      </c>
      <c r="G167" s="61">
        <f t="shared" si="99"/>
        <v>177712.46534188712</v>
      </c>
      <c r="H167" s="61">
        <f t="shared" si="99"/>
        <v>206727.32757991599</v>
      </c>
      <c r="I167" s="61">
        <f t="shared" si="99"/>
        <v>233304.48813508177</v>
      </c>
      <c r="J167" s="61">
        <f t="shared" si="99"/>
        <v>257445.94395469155</v>
      </c>
      <c r="K167" s="61">
        <f t="shared" si="99"/>
        <v>279153.7287820864</v>
      </c>
      <c r="L167" s="61">
        <f t="shared" si="99"/>
        <v>298429.91381563019</v>
      </c>
      <c r="M167" s="61">
        <f t="shared" si="99"/>
        <v>315276.60837898788</v>
      </c>
      <c r="N167" s="61">
        <f t="shared" si="99"/>
        <v>330175.96060287126</v>
      </c>
      <c r="O167" s="61">
        <f t="shared" si="99"/>
        <v>342650.1581184353</v>
      </c>
      <c r="P167" s="61">
        <f t="shared" si="99"/>
        <v>352701.4287625078</v>
      </c>
      <c r="Q167" s="61">
        <f t="shared" si="99"/>
        <v>360332.04129484016</v>
      </c>
      <c r="R167" s="61">
        <f t="shared" si="99"/>
        <v>365544.30612756679</v>
      </c>
      <c r="S167" s="61">
        <f t="shared" si="99"/>
        <v>370884.57606706576</v>
      </c>
      <c r="T167" s="61">
        <f t="shared" si="99"/>
        <v>376355.24706841476</v>
      </c>
      <c r="U167" s="61">
        <f t="shared" si="99"/>
        <v>381869.06925197865</v>
      </c>
      <c r="V167" s="61">
        <f t="shared" si="99"/>
        <v>385791.59732770867</v>
      </c>
      <c r="W167" s="61">
        <f t="shared" si="99"/>
        <v>389817.51707111916</v>
      </c>
      <c r="X167" s="61">
        <f t="shared" si="99"/>
        <v>393948.7607471596</v>
      </c>
      <c r="Y167" s="61">
        <f t="shared" si="99"/>
        <v>398187.29595843423</v>
      </c>
      <c r="Z167" s="61">
        <f t="shared" si="99"/>
        <v>402535.12627088529</v>
      </c>
      <c r="AA167" s="61">
        <f t="shared" si="99"/>
        <v>406994.2918499948</v>
      </c>
      <c r="AB167" s="61">
        <f t="shared" si="99"/>
        <v>411566.87010766764</v>
      </c>
      <c r="AC167" s="61"/>
      <c r="AD167" s="61"/>
      <c r="AE167" s="61"/>
      <c r="AF167" s="61"/>
      <c r="AG167" s="61"/>
    </row>
    <row r="169" spans="2:33" s="3" customFormat="1" x14ac:dyDescent="0.3">
      <c r="B169" s="3" t="s">
        <v>132</v>
      </c>
    </row>
    <row r="170" spans="2:33" x14ac:dyDescent="0.3">
      <c r="B170" t="s">
        <v>133</v>
      </c>
      <c r="C170" s="38">
        <f>C143</f>
        <v>38160</v>
      </c>
      <c r="D170" s="38">
        <f t="shared" ref="D170:AB170" si="100">C143</f>
        <v>38160</v>
      </c>
      <c r="E170" s="38">
        <f t="shared" si="100"/>
        <v>35616</v>
      </c>
      <c r="F170" s="38">
        <f t="shared" si="100"/>
        <v>33072</v>
      </c>
      <c r="G170" s="38">
        <f t="shared" si="100"/>
        <v>30528</v>
      </c>
      <c r="H170" s="38">
        <f t="shared" si="100"/>
        <v>27984</v>
      </c>
      <c r="I170" s="38">
        <f t="shared" si="100"/>
        <v>25440</v>
      </c>
      <c r="J170" s="38">
        <f t="shared" si="100"/>
        <v>22896</v>
      </c>
      <c r="K170" s="38">
        <f t="shared" si="100"/>
        <v>20352</v>
      </c>
      <c r="L170" s="38">
        <f t="shared" si="100"/>
        <v>17808</v>
      </c>
      <c r="M170" s="38">
        <f t="shared" si="100"/>
        <v>15264</v>
      </c>
      <c r="N170" s="38">
        <f t="shared" si="100"/>
        <v>12720</v>
      </c>
      <c r="O170" s="38">
        <f t="shared" si="100"/>
        <v>10176</v>
      </c>
      <c r="P170" s="38">
        <f t="shared" si="100"/>
        <v>7632</v>
      </c>
      <c r="Q170" s="38">
        <f t="shared" si="100"/>
        <v>5088</v>
      </c>
      <c r="R170" s="38">
        <f t="shared" si="100"/>
        <v>2544</v>
      </c>
      <c r="S170" s="38">
        <f t="shared" si="100"/>
        <v>0</v>
      </c>
      <c r="T170" s="38">
        <f t="shared" si="100"/>
        <v>0</v>
      </c>
      <c r="U170" s="38">
        <f t="shared" si="100"/>
        <v>0</v>
      </c>
      <c r="V170" s="38">
        <f t="shared" si="100"/>
        <v>0</v>
      </c>
      <c r="W170" s="38">
        <f t="shared" si="100"/>
        <v>0</v>
      </c>
      <c r="X170" s="38">
        <f t="shared" si="100"/>
        <v>0</v>
      </c>
      <c r="Y170" s="38">
        <f t="shared" si="100"/>
        <v>0</v>
      </c>
      <c r="Z170" s="38">
        <f t="shared" si="100"/>
        <v>0</v>
      </c>
      <c r="AA170" s="38">
        <f t="shared" si="100"/>
        <v>0</v>
      </c>
      <c r="AB170" s="38">
        <f t="shared" si="100"/>
        <v>0</v>
      </c>
      <c r="AC170" s="38"/>
      <c r="AD170" s="38"/>
      <c r="AE170" s="38"/>
      <c r="AF170" s="38"/>
      <c r="AG170" s="38"/>
    </row>
    <row r="171" spans="2:33" x14ac:dyDescent="0.3">
      <c r="B171" s="3" t="s">
        <v>134</v>
      </c>
      <c r="C171" s="38">
        <f>C170+C169</f>
        <v>38160</v>
      </c>
      <c r="D171" s="38">
        <f t="shared" ref="D171:AB171" si="101">D170+D169</f>
        <v>38160</v>
      </c>
      <c r="E171" s="38">
        <f t="shared" si="101"/>
        <v>35616</v>
      </c>
      <c r="F171" s="38">
        <f t="shared" si="101"/>
        <v>33072</v>
      </c>
      <c r="G171" s="38">
        <f t="shared" si="101"/>
        <v>30528</v>
      </c>
      <c r="H171" s="38">
        <f t="shared" si="101"/>
        <v>27984</v>
      </c>
      <c r="I171" s="38">
        <f t="shared" si="101"/>
        <v>25440</v>
      </c>
      <c r="J171" s="38">
        <f t="shared" si="101"/>
        <v>22896</v>
      </c>
      <c r="K171" s="38">
        <f t="shared" si="101"/>
        <v>20352</v>
      </c>
      <c r="L171" s="38">
        <f t="shared" si="101"/>
        <v>17808</v>
      </c>
      <c r="M171" s="38">
        <f t="shared" si="101"/>
        <v>15264</v>
      </c>
      <c r="N171" s="38">
        <f t="shared" si="101"/>
        <v>12720</v>
      </c>
      <c r="O171" s="38">
        <f t="shared" si="101"/>
        <v>10176</v>
      </c>
      <c r="P171" s="38">
        <f t="shared" si="101"/>
        <v>7632</v>
      </c>
      <c r="Q171" s="38">
        <f t="shared" si="101"/>
        <v>5088</v>
      </c>
      <c r="R171" s="38">
        <f t="shared" si="101"/>
        <v>2544</v>
      </c>
      <c r="S171" s="38">
        <f t="shared" si="101"/>
        <v>0</v>
      </c>
      <c r="T171" s="38">
        <f t="shared" si="101"/>
        <v>0</v>
      </c>
      <c r="U171" s="38">
        <f t="shared" si="101"/>
        <v>0</v>
      </c>
      <c r="V171" s="38">
        <f t="shared" si="101"/>
        <v>0</v>
      </c>
      <c r="W171" s="38">
        <f t="shared" si="101"/>
        <v>0</v>
      </c>
      <c r="X171" s="38">
        <f t="shared" si="101"/>
        <v>0</v>
      </c>
      <c r="Y171" s="38">
        <f t="shared" si="101"/>
        <v>0</v>
      </c>
      <c r="Z171" s="38">
        <f t="shared" si="101"/>
        <v>0</v>
      </c>
      <c r="AA171" s="38">
        <f t="shared" si="101"/>
        <v>0</v>
      </c>
      <c r="AB171" s="38">
        <f t="shared" si="101"/>
        <v>0</v>
      </c>
      <c r="AC171" s="38"/>
      <c r="AD171" s="38"/>
      <c r="AE171" s="38"/>
      <c r="AF171" s="38"/>
      <c r="AG171" s="38"/>
    </row>
    <row r="173" spans="2:33" x14ac:dyDescent="0.3">
      <c r="B173" s="3" t="s">
        <v>135</v>
      </c>
    </row>
    <row r="174" spans="2:33" x14ac:dyDescent="0.3">
      <c r="B174" t="s">
        <v>136</v>
      </c>
      <c r="C174" s="38">
        <f>C142*(C42&lt;=$C$19)</f>
        <v>0</v>
      </c>
      <c r="D174" s="38">
        <f t="shared" ref="D174:AB174" si="102">(C174*(D42&lt;=$C$19))+D142+D152</f>
        <v>0</v>
      </c>
      <c r="E174" s="38">
        <f t="shared" si="102"/>
        <v>0</v>
      </c>
      <c r="F174" s="38">
        <f t="shared" si="102"/>
        <v>0</v>
      </c>
      <c r="G174" s="38">
        <f t="shared" si="102"/>
        <v>0</v>
      </c>
      <c r="H174" s="38">
        <f t="shared" si="102"/>
        <v>0</v>
      </c>
      <c r="I174" s="38">
        <f t="shared" si="102"/>
        <v>0</v>
      </c>
      <c r="J174" s="38">
        <f t="shared" si="102"/>
        <v>0</v>
      </c>
      <c r="K174" s="38">
        <f t="shared" si="102"/>
        <v>0</v>
      </c>
      <c r="L174" s="38">
        <f t="shared" si="102"/>
        <v>0</v>
      </c>
      <c r="M174" s="38">
        <f t="shared" si="102"/>
        <v>0</v>
      </c>
      <c r="N174" s="38">
        <f t="shared" si="102"/>
        <v>0</v>
      </c>
      <c r="O174" s="38">
        <f t="shared" si="102"/>
        <v>0</v>
      </c>
      <c r="P174" s="38">
        <f t="shared" si="102"/>
        <v>0</v>
      </c>
      <c r="Q174" s="38">
        <f t="shared" si="102"/>
        <v>0</v>
      </c>
      <c r="R174" s="38">
        <f t="shared" si="102"/>
        <v>0</v>
      </c>
      <c r="S174" s="38">
        <f t="shared" si="102"/>
        <v>0</v>
      </c>
      <c r="T174" s="38">
        <f t="shared" si="102"/>
        <v>0</v>
      </c>
      <c r="U174" s="38">
        <f t="shared" si="102"/>
        <v>0</v>
      </c>
      <c r="V174" s="38">
        <f t="shared" si="102"/>
        <v>0</v>
      </c>
      <c r="W174" s="38">
        <f t="shared" si="102"/>
        <v>0</v>
      </c>
      <c r="X174" s="38">
        <f t="shared" si="102"/>
        <v>0</v>
      </c>
      <c r="Y174" s="38">
        <f t="shared" si="102"/>
        <v>0</v>
      </c>
      <c r="Z174" s="38">
        <f t="shared" si="102"/>
        <v>0</v>
      </c>
      <c r="AA174" s="38">
        <f t="shared" si="102"/>
        <v>0</v>
      </c>
      <c r="AB174" s="38">
        <f t="shared" si="102"/>
        <v>0</v>
      </c>
      <c r="AC174" s="38"/>
      <c r="AD174" s="38"/>
      <c r="AE174" s="38"/>
      <c r="AF174" s="38"/>
      <c r="AG174" s="38"/>
    </row>
    <row r="175" spans="2:33" x14ac:dyDescent="0.3">
      <c r="B175" t="s">
        <v>97</v>
      </c>
      <c r="D175" s="38">
        <f t="shared" ref="D175:AB175" si="103">(D116+C175)*(D42&lt;=$C$19)</f>
        <v>-3109.4750309491151</v>
      </c>
      <c r="E175" s="38">
        <f t="shared" si="103"/>
        <v>-5898.8243681383465</v>
      </c>
      <c r="F175" s="38">
        <f t="shared" si="103"/>
        <v>-8366.3793781542136</v>
      </c>
      <c r="G175" s="38">
        <f t="shared" si="103"/>
        <v>-10187.374658112896</v>
      </c>
      <c r="H175" s="38">
        <f t="shared" si="103"/>
        <v>-11675.072420084038</v>
      </c>
      <c r="I175" s="38">
        <f t="shared" si="103"/>
        <v>-12827.511864918222</v>
      </c>
      <c r="J175" s="38">
        <f t="shared" si="103"/>
        <v>-13642.696045308445</v>
      </c>
      <c r="K175" s="38">
        <f t="shared" si="103"/>
        <v>-14118.591217913632</v>
      </c>
      <c r="L175" s="38">
        <f t="shared" si="103"/>
        <v>-14253.126184369801</v>
      </c>
      <c r="M175" s="38">
        <f t="shared" si="103"/>
        <v>-14044.191621012124</v>
      </c>
      <c r="N175" s="38">
        <f t="shared" si="103"/>
        <v>-13009.639397128747</v>
      </c>
      <c r="O175" s="38">
        <f t="shared" si="103"/>
        <v>-11627.281881564746</v>
      </c>
      <c r="P175" s="38">
        <f t="shared" si="103"/>
        <v>-9894.8912374922002</v>
      </c>
      <c r="Q175" s="38">
        <f t="shared" si="103"/>
        <v>-7810.1987051598298</v>
      </c>
      <c r="R175" s="38">
        <f t="shared" si="103"/>
        <v>-5370.893872433252</v>
      </c>
      <c r="S175" s="38">
        <f t="shared" si="103"/>
        <v>-30.623932934276127</v>
      </c>
      <c r="T175" s="38">
        <f t="shared" si="103"/>
        <v>5440.0470684147504</v>
      </c>
      <c r="U175" s="38">
        <f t="shared" si="103"/>
        <v>10953.869251978616</v>
      </c>
      <c r="V175" s="38">
        <f t="shared" si="103"/>
        <v>14876.397327708662</v>
      </c>
      <c r="W175" s="38">
        <f t="shared" si="103"/>
        <v>18902.317071119141</v>
      </c>
      <c r="X175" s="38">
        <f t="shared" si="103"/>
        <v>23033.560747159583</v>
      </c>
      <c r="Y175" s="38">
        <f t="shared" si="103"/>
        <v>27272.095958434249</v>
      </c>
      <c r="Z175" s="38">
        <f t="shared" si="103"/>
        <v>31619.926270885248</v>
      </c>
      <c r="AA175" s="38">
        <f t="shared" si="103"/>
        <v>36079.091849994758</v>
      </c>
      <c r="AB175" s="38">
        <f t="shared" si="103"/>
        <v>40651.670107667611</v>
      </c>
      <c r="AC175" s="38"/>
      <c r="AD175" s="38"/>
      <c r="AE175" s="38"/>
      <c r="AF175" s="38"/>
      <c r="AG175" s="38"/>
    </row>
    <row r="176" spans="2:33" s="3" customFormat="1" x14ac:dyDescent="0.3">
      <c r="B176" s="3" t="s">
        <v>137</v>
      </c>
      <c r="C176" s="61">
        <f>C174+C175</f>
        <v>0</v>
      </c>
      <c r="D176" s="61">
        <f t="shared" ref="D176:AB176" si="104">D174+D175</f>
        <v>-3109.4750309491151</v>
      </c>
      <c r="E176" s="61">
        <f t="shared" si="104"/>
        <v>-5898.8243681383465</v>
      </c>
      <c r="F176" s="61">
        <f t="shared" si="104"/>
        <v>-8366.3793781542136</v>
      </c>
      <c r="G176" s="61">
        <f t="shared" si="104"/>
        <v>-10187.374658112896</v>
      </c>
      <c r="H176" s="61">
        <f t="shared" si="104"/>
        <v>-11675.072420084038</v>
      </c>
      <c r="I176" s="61">
        <f t="shared" si="104"/>
        <v>-12827.511864918222</v>
      </c>
      <c r="J176" s="61">
        <f t="shared" si="104"/>
        <v>-13642.696045308445</v>
      </c>
      <c r="K176" s="61">
        <f t="shared" si="104"/>
        <v>-14118.591217913632</v>
      </c>
      <c r="L176" s="61">
        <f t="shared" si="104"/>
        <v>-14253.126184369801</v>
      </c>
      <c r="M176" s="61">
        <f t="shared" si="104"/>
        <v>-14044.191621012124</v>
      </c>
      <c r="N176" s="61">
        <f t="shared" si="104"/>
        <v>-13009.639397128747</v>
      </c>
      <c r="O176" s="61">
        <f t="shared" si="104"/>
        <v>-11627.281881564746</v>
      </c>
      <c r="P176" s="61">
        <f t="shared" si="104"/>
        <v>-9894.8912374922002</v>
      </c>
      <c r="Q176" s="61">
        <f t="shared" si="104"/>
        <v>-7810.1987051598298</v>
      </c>
      <c r="R176" s="61">
        <f t="shared" si="104"/>
        <v>-5370.893872433252</v>
      </c>
      <c r="S176" s="61">
        <f t="shared" si="104"/>
        <v>-30.623932934276127</v>
      </c>
      <c r="T176" s="61">
        <f t="shared" si="104"/>
        <v>5440.0470684147504</v>
      </c>
      <c r="U176" s="61">
        <f t="shared" si="104"/>
        <v>10953.869251978616</v>
      </c>
      <c r="V176" s="61">
        <f t="shared" si="104"/>
        <v>14876.397327708662</v>
      </c>
      <c r="W176" s="61">
        <f t="shared" si="104"/>
        <v>18902.317071119141</v>
      </c>
      <c r="X176" s="61">
        <f t="shared" si="104"/>
        <v>23033.560747159583</v>
      </c>
      <c r="Y176" s="61">
        <f t="shared" si="104"/>
        <v>27272.095958434249</v>
      </c>
      <c r="Z176" s="61">
        <f t="shared" si="104"/>
        <v>31619.926270885248</v>
      </c>
      <c r="AA176" s="61">
        <f t="shared" si="104"/>
        <v>36079.091849994758</v>
      </c>
      <c r="AB176" s="61">
        <f t="shared" si="104"/>
        <v>40651.670107667611</v>
      </c>
      <c r="AC176" s="61"/>
      <c r="AD176" s="61"/>
      <c r="AE176" s="61"/>
      <c r="AF176" s="61"/>
      <c r="AG176" s="61"/>
    </row>
    <row r="178" spans="2:33" s="59" customFormat="1" x14ac:dyDescent="0.3">
      <c r="B178" s="59" t="s">
        <v>138</v>
      </c>
      <c r="C178" s="60">
        <f t="shared" ref="C178:AB178" si="105">C167-C171-C176</f>
        <v>0</v>
      </c>
      <c r="D178" s="60">
        <f t="shared" si="105"/>
        <v>41594.400000000001</v>
      </c>
      <c r="E178" s="60">
        <f t="shared" si="105"/>
        <v>82959.839999999997</v>
      </c>
      <c r="F178" s="60">
        <f t="shared" si="105"/>
        <v>121552.31999999999</v>
      </c>
      <c r="G178" s="60">
        <f t="shared" si="105"/>
        <v>157371.84000000003</v>
      </c>
      <c r="H178" s="60">
        <f t="shared" si="105"/>
        <v>190418.40000000002</v>
      </c>
      <c r="I178" s="60">
        <f t="shared" si="105"/>
        <v>220692</v>
      </c>
      <c r="J178" s="60">
        <f t="shared" si="105"/>
        <v>248192.63999999998</v>
      </c>
      <c r="K178" s="60">
        <f t="shared" si="105"/>
        <v>272920.32000000001</v>
      </c>
      <c r="L178" s="60">
        <f t="shared" si="105"/>
        <v>294875.03999999998</v>
      </c>
      <c r="M178" s="60">
        <f t="shared" si="105"/>
        <v>314056.8</v>
      </c>
      <c r="N178" s="60">
        <f t="shared" si="105"/>
        <v>330465.59999999998</v>
      </c>
      <c r="O178" s="60">
        <f t="shared" si="105"/>
        <v>344101.44000000006</v>
      </c>
      <c r="P178" s="60">
        <f t="shared" si="105"/>
        <v>354964.32</v>
      </c>
      <c r="Q178" s="60">
        <f t="shared" si="105"/>
        <v>363054.24</v>
      </c>
      <c r="R178" s="60">
        <f t="shared" si="105"/>
        <v>368371.20000000001</v>
      </c>
      <c r="S178" s="60">
        <f t="shared" si="105"/>
        <v>370915.2</v>
      </c>
      <c r="T178" s="60">
        <f t="shared" si="105"/>
        <v>370915.2</v>
      </c>
      <c r="U178" s="60">
        <f t="shared" si="105"/>
        <v>370915.2</v>
      </c>
      <c r="V178" s="60">
        <f t="shared" si="105"/>
        <v>370915.2</v>
      </c>
      <c r="W178" s="60">
        <f t="shared" si="105"/>
        <v>370915.2</v>
      </c>
      <c r="X178" s="60">
        <f t="shared" si="105"/>
        <v>370915.2</v>
      </c>
      <c r="Y178" s="60">
        <f t="shared" si="105"/>
        <v>370915.19999999995</v>
      </c>
      <c r="Z178" s="60">
        <f t="shared" si="105"/>
        <v>370915.20000000007</v>
      </c>
      <c r="AA178" s="60">
        <f t="shared" si="105"/>
        <v>370915.20000000007</v>
      </c>
      <c r="AB178" s="60">
        <f t="shared" si="105"/>
        <v>370915.2</v>
      </c>
      <c r="AC178" s="60"/>
      <c r="AD178" s="60"/>
      <c r="AE178" s="60"/>
      <c r="AF178" s="60"/>
      <c r="AG178" s="60"/>
    </row>
    <row r="179" spans="2:33" x14ac:dyDescent="0.3">
      <c r="D179" s="38"/>
      <c r="E179" s="38"/>
      <c r="F179" s="38"/>
      <c r="G179" s="38"/>
      <c r="H179" s="38"/>
      <c r="I179" s="38"/>
      <c r="J179" s="38"/>
      <c r="K179" s="38"/>
      <c r="L179" s="38"/>
      <c r="M179" s="38"/>
      <c r="N179" s="38"/>
      <c r="O179" s="38"/>
      <c r="P179" s="38"/>
      <c r="Q179" s="38"/>
      <c r="R179" s="38"/>
      <c r="S179" s="38"/>
      <c r="T179" s="38"/>
      <c r="U179" s="38"/>
      <c r="V179" s="38"/>
      <c r="W179" s="38"/>
      <c r="X179" s="38"/>
      <c r="Y179" s="38"/>
      <c r="Z179" s="38"/>
      <c r="AA179" s="38"/>
      <c r="AB179" s="38"/>
      <c r="AC179" s="38"/>
      <c r="AD179" s="38"/>
      <c r="AE179" s="38"/>
      <c r="AF179" s="38"/>
      <c r="AG179" s="38"/>
    </row>
  </sheetData>
  <sheetProtection selectLockedCells="1" selectUnlockedCells="1"/>
  <mergeCells count="3">
    <mergeCell ref="A17:A19"/>
    <mergeCell ref="D2:E2"/>
    <mergeCell ref="B2:C2"/>
  </mergeCells>
  <conditionalFormatting sqref="M26:U40">
    <cfRule type="cellIs" dxfId="1" priority="1" operator="greaterThanOrEqual">
      <formula>$N$12</formula>
    </cfRule>
  </conditionalFormatting>
  <pageMargins left="0.70866141732283472" right="0.70866141732283472" top="0.74803149606299213" bottom="0.74803149606299213" header="0.31496062992125984" footer="0.31496062992125984"/>
  <pageSetup paperSize="9" scale="60" orientation="landscape" horizontalDpi="300" verticalDpi="3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0DF09A-1839-4237-A1C5-4591822E039D}">
  <sheetPr codeName="Sheet5"/>
  <dimension ref="A1:AD178"/>
  <sheetViews>
    <sheetView zoomScale="70" zoomScaleNormal="70" workbookViewId="0">
      <selection activeCell="I2" sqref="I2"/>
    </sheetView>
  </sheetViews>
  <sheetFormatPr defaultRowHeight="14.4" x14ac:dyDescent="0.3"/>
  <cols>
    <col min="2" max="2" width="27.33203125" customWidth="1"/>
    <col min="3" max="3" width="16.109375" customWidth="1"/>
    <col min="4" max="4" width="12" customWidth="1"/>
    <col min="5" max="5" width="13.6640625" customWidth="1"/>
    <col min="6" max="6" width="12.88671875" customWidth="1"/>
    <col min="7" max="7" width="24.5546875" customWidth="1"/>
    <col min="8" max="8" width="25.44140625" customWidth="1"/>
    <col min="9" max="9" width="19.21875" customWidth="1"/>
    <col min="10" max="10" width="13" customWidth="1"/>
    <col min="11" max="11" width="11.21875" customWidth="1"/>
    <col min="12" max="12" width="12.6640625" customWidth="1"/>
    <col min="13" max="13" width="12.5546875" customWidth="1"/>
    <col min="14" max="14" width="14.5546875" customWidth="1"/>
    <col min="15" max="15" width="13.77734375" customWidth="1"/>
    <col min="16" max="16" width="11.88671875" customWidth="1"/>
    <col min="17" max="17" width="12" customWidth="1"/>
    <col min="18" max="18" width="15.5546875" customWidth="1"/>
    <col min="19" max="19" width="12.5546875" customWidth="1"/>
    <col min="20" max="20" width="12" customWidth="1"/>
    <col min="21" max="21" width="13" customWidth="1"/>
    <col min="22" max="22" width="13.44140625" customWidth="1"/>
    <col min="23" max="23" width="14.5546875" customWidth="1"/>
    <col min="24" max="24" width="15.77734375" customWidth="1"/>
    <col min="25" max="25" width="12.88671875" customWidth="1"/>
    <col min="26" max="26" width="12.5546875" customWidth="1"/>
    <col min="27" max="27" width="11.77734375" customWidth="1"/>
    <col min="28" max="28" width="21.109375" customWidth="1"/>
  </cols>
  <sheetData>
    <row r="1" spans="2:16" x14ac:dyDescent="0.3">
      <c r="I1" t="s">
        <v>173</v>
      </c>
    </row>
    <row r="2" spans="2:16" ht="23.4" x14ac:dyDescent="0.45">
      <c r="B2" s="228" t="s">
        <v>139</v>
      </c>
      <c r="C2" s="228"/>
      <c r="D2" s="227" t="str">
        <f>Summary!D6</f>
        <v>Test</v>
      </c>
      <c r="E2" s="227"/>
      <c r="H2" t="s">
        <v>0</v>
      </c>
      <c r="I2" s="85">
        <f>'Calculation Debt'!I2</f>
        <v>36000</v>
      </c>
      <c r="J2" s="31"/>
      <c r="K2" s="111"/>
    </row>
    <row r="3" spans="2:16" x14ac:dyDescent="0.3">
      <c r="H3" t="s">
        <v>1</v>
      </c>
      <c r="I3" s="1">
        <f>H11</f>
        <v>0</v>
      </c>
      <c r="J3" s="31"/>
    </row>
    <row r="4" spans="2:16" x14ac:dyDescent="0.3">
      <c r="B4" s="2" t="s">
        <v>2</v>
      </c>
      <c r="C4" s="2"/>
      <c r="D4" s="2"/>
      <c r="E4" s="2"/>
      <c r="F4" s="2"/>
      <c r="G4" s="2"/>
      <c r="H4" s="2" t="s">
        <v>3</v>
      </c>
      <c r="I4" s="1">
        <f>SUM(I2:I3)</f>
        <v>36000</v>
      </c>
      <c r="J4" s="31"/>
      <c r="K4" s="2" t="s">
        <v>4</v>
      </c>
      <c r="L4" s="2"/>
      <c r="M4" s="2"/>
      <c r="N4" s="2"/>
    </row>
    <row r="5" spans="2:16" x14ac:dyDescent="0.3">
      <c r="B5" s="3" t="s">
        <v>5</v>
      </c>
      <c r="E5" s="4" t="s">
        <v>205</v>
      </c>
      <c r="K5" s="3" t="s">
        <v>7</v>
      </c>
      <c r="N5" s="5">
        <f>SUM(C126)</f>
        <v>38160</v>
      </c>
      <c r="O5" s="1"/>
      <c r="P5" s="6"/>
    </row>
    <row r="6" spans="2:16" x14ac:dyDescent="0.3">
      <c r="B6" t="s">
        <v>8</v>
      </c>
      <c r="C6" s="7">
        <f>IF(Summary!D8&gt;0,Summary!D8,1)</f>
        <v>1</v>
      </c>
      <c r="D6" s="105">
        <f>Summary!H8</f>
        <v>0</v>
      </c>
      <c r="E6" t="s">
        <v>207</v>
      </c>
      <c r="H6" s="8">
        <v>0</v>
      </c>
      <c r="I6" s="9">
        <f>Summary!D11</f>
        <v>750</v>
      </c>
      <c r="J6" s="10" t="s">
        <v>10</v>
      </c>
      <c r="K6" s="11" t="s">
        <v>11</v>
      </c>
      <c r="L6" s="12"/>
      <c r="M6" s="12"/>
      <c r="N6" s="13">
        <f>IRR(C154:AG154)</f>
        <v>0.13564612495030981</v>
      </c>
    </row>
    <row r="7" spans="2:16" x14ac:dyDescent="0.3">
      <c r="B7" t="s">
        <v>12</v>
      </c>
      <c r="C7" s="86">
        <f>'Calculation Debt'!C7</f>
        <v>48</v>
      </c>
      <c r="E7" s="14" t="s">
        <v>13</v>
      </c>
      <c r="F7" s="15"/>
      <c r="G7" s="15"/>
      <c r="H7" s="16">
        <f>Summary!R26+Summary!AB26</f>
        <v>2160</v>
      </c>
      <c r="I7" s="106">
        <f>Summary!H11</f>
        <v>0</v>
      </c>
      <c r="J7" t="s">
        <v>159</v>
      </c>
      <c r="K7" s="3" t="s">
        <v>14</v>
      </c>
      <c r="N7" s="17">
        <f>IRR(C155:AG155)</f>
        <v>0.11002745393177582</v>
      </c>
    </row>
    <row r="8" spans="2:16" x14ac:dyDescent="0.3">
      <c r="C8" s="87"/>
      <c r="D8" s="87">
        <v>0.90500000000000003</v>
      </c>
      <c r="E8" t="s">
        <v>15</v>
      </c>
      <c r="H8" s="18">
        <f>I6</f>
        <v>750</v>
      </c>
      <c r="K8" s="3" t="s">
        <v>16</v>
      </c>
      <c r="L8" s="3"/>
      <c r="M8" s="3"/>
      <c r="N8" s="13">
        <f>D66/N5</f>
        <v>0.1151814719352957</v>
      </c>
    </row>
    <row r="9" spans="2:16" x14ac:dyDescent="0.3">
      <c r="B9" t="s">
        <v>17</v>
      </c>
      <c r="C9" s="153">
        <f>Summary!D10+Summary!H10+Summary!M9+Summary!W7+Summary!W14+Summary!AB7+Summary!AB14+Summary!AG7+Summary!AG14+Summary!AL7+Summary!AL14+Summary!AQ7+Summary!AQ14+Summary!AV7+Summary!AV14+Summary!BA7+Summary!BA14+Summary!BF7+Summary!BF14+Summary!BK7+Summary!BK14</f>
        <v>48000</v>
      </c>
      <c r="D9">
        <f>Summary!H10</f>
        <v>0</v>
      </c>
      <c r="K9" s="3" t="s">
        <v>18</v>
      </c>
      <c r="N9" s="13">
        <f>D52/C126</f>
        <v>0.15706616795206721</v>
      </c>
      <c r="O9" s="19"/>
    </row>
    <row r="10" spans="2:16" x14ac:dyDescent="0.3">
      <c r="B10" t="s">
        <v>19</v>
      </c>
      <c r="C10" s="7">
        <f>'Calculation Debt'!C10</f>
        <v>5.0000000000000001E-3</v>
      </c>
      <c r="D10" s="7">
        <v>4.0000000000000002E-4</v>
      </c>
      <c r="E10" s="3" t="s">
        <v>20</v>
      </c>
      <c r="K10" s="3" t="s">
        <v>21</v>
      </c>
      <c r="L10" s="3" t="s">
        <v>157</v>
      </c>
      <c r="N10" s="103">
        <f>COUNTIF(C157:AB157,"&lt;0")</f>
        <v>8</v>
      </c>
    </row>
    <row r="11" spans="2:16" x14ac:dyDescent="0.3">
      <c r="B11" t="s">
        <v>22</v>
      </c>
      <c r="C11" s="20">
        <f>'Calculation Debt'!C11</f>
        <v>0</v>
      </c>
      <c r="D11" s="20">
        <v>0</v>
      </c>
      <c r="E11" t="s">
        <v>23</v>
      </c>
      <c r="H11" s="21">
        <f>Summary!D13</f>
        <v>0</v>
      </c>
      <c r="I11" s="89" t="s">
        <v>174</v>
      </c>
      <c r="J11" s="89" t="s">
        <v>175</v>
      </c>
      <c r="K11" s="89"/>
      <c r="L11" s="3" t="s">
        <v>158</v>
      </c>
      <c r="N11" s="3">
        <f>COUNTIF(C158:AB158,"&lt;0")</f>
        <v>10</v>
      </c>
    </row>
    <row r="12" spans="2:16" x14ac:dyDescent="0.3">
      <c r="B12" t="s">
        <v>208</v>
      </c>
      <c r="C12" s="20">
        <f>'Calculation Debt'!C12</f>
        <v>7</v>
      </c>
      <c r="D12" s="20">
        <v>10</v>
      </c>
      <c r="E12" t="s">
        <v>25</v>
      </c>
      <c r="H12" s="8">
        <v>12</v>
      </c>
      <c r="I12" s="89">
        <v>3250</v>
      </c>
      <c r="J12" s="89">
        <v>100</v>
      </c>
      <c r="K12" s="89"/>
      <c r="L12" s="12"/>
      <c r="M12" s="22" t="s">
        <v>26</v>
      </c>
      <c r="N12" s="23">
        <v>0.11</v>
      </c>
      <c r="O12" s="12"/>
    </row>
    <row r="13" spans="2:16" x14ac:dyDescent="0.3">
      <c r="B13" s="154" t="s">
        <v>27</v>
      </c>
      <c r="C13" s="158">
        <f>'Calculation Debt'!C13</f>
        <v>0</v>
      </c>
      <c r="D13" s="20">
        <v>15.5</v>
      </c>
      <c r="E13" t="s">
        <v>28</v>
      </c>
      <c r="H13" s="24">
        <v>0</v>
      </c>
      <c r="I13" s="89">
        <f>(Summary!D9+Summary!H9+Summary!W6+Summary!AB6+Summary!AG6+Summary!AL6+Summary!AQ6+Summary!AV6+Summary!BA6+Summary!BF6+Summary!BK6)/J12</f>
        <v>0.48</v>
      </c>
      <c r="J13" s="89">
        <f>ROUND(I13,0)*I12</f>
        <v>0</v>
      </c>
      <c r="K13" s="89" t="s">
        <v>176</v>
      </c>
    </row>
    <row r="14" spans="2:16" x14ac:dyDescent="0.3">
      <c r="B14" t="s">
        <v>29</v>
      </c>
      <c r="C14" s="7">
        <f>'Calculation Debt'!C14</f>
        <v>0</v>
      </c>
      <c r="D14" s="7">
        <v>0</v>
      </c>
      <c r="E14" t="s">
        <v>30</v>
      </c>
      <c r="H14" s="8">
        <v>0</v>
      </c>
      <c r="I14" s="89">
        <f>Summary!H9/J12</f>
        <v>0</v>
      </c>
      <c r="J14" s="89">
        <f>ROUND(I14,0)*I12</f>
        <v>0</v>
      </c>
      <c r="K14" s="89" t="s">
        <v>176</v>
      </c>
    </row>
    <row r="15" spans="2:16" x14ac:dyDescent="0.3">
      <c r="B15" t="s">
        <v>209</v>
      </c>
      <c r="C15" s="20">
        <f>Summary!D18</f>
        <v>12.486760352189341</v>
      </c>
      <c r="E15" t="s">
        <v>32</v>
      </c>
      <c r="H15" s="27">
        <f>IFERROR(H11/H12,0)</f>
        <v>0</v>
      </c>
    </row>
    <row r="16" spans="2:16" x14ac:dyDescent="0.3">
      <c r="B16" t="s">
        <v>33</v>
      </c>
      <c r="C16" s="7">
        <f>'Calculation Debt'!C16</f>
        <v>2.5000000000000001E-2</v>
      </c>
      <c r="D16" s="7">
        <v>2.5000000000000001E-2</v>
      </c>
      <c r="E16" t="s">
        <v>34</v>
      </c>
      <c r="H16" s="27">
        <f>IFERROR(H13/H14,0)</f>
        <v>0</v>
      </c>
    </row>
    <row r="17" spans="1:21" x14ac:dyDescent="0.3">
      <c r="A17" s="226"/>
      <c r="B17" t="s">
        <v>35</v>
      </c>
      <c r="C17" s="7">
        <f>'Calculation Debt'!C17</f>
        <v>2.5000000000000001E-2</v>
      </c>
      <c r="D17" s="7">
        <v>2.5000000000000001E-2</v>
      </c>
      <c r="J17" s="31">
        <f>$D$7*$H$22*(1+$C$16)^(D42-1)*(D42&lt;=$C$19)</f>
        <v>0</v>
      </c>
    </row>
    <row r="18" spans="1:21" x14ac:dyDescent="0.3">
      <c r="A18" s="226"/>
      <c r="B18" t="s">
        <v>36</v>
      </c>
      <c r="C18" s="7">
        <f>'Calculation Debt'!C18</f>
        <v>2.5000000000000001E-2</v>
      </c>
      <c r="D18" s="7">
        <v>2.5000000000000001E-2</v>
      </c>
    </row>
    <row r="19" spans="1:21" x14ac:dyDescent="0.3">
      <c r="A19" s="226"/>
      <c r="B19" t="s">
        <v>210</v>
      </c>
      <c r="C19" s="29">
        <f>'Auto Calculate'!F11</f>
        <v>25</v>
      </c>
      <c r="D19" s="29">
        <f>'Auto Calculate'!F11</f>
        <v>25</v>
      </c>
      <c r="E19" s="4" t="s">
        <v>211</v>
      </c>
      <c r="H19" t="s">
        <v>165</v>
      </c>
      <c r="I19" t="s">
        <v>166</v>
      </c>
    </row>
    <row r="20" spans="1:21" x14ac:dyDescent="0.3">
      <c r="B20" t="s">
        <v>39</v>
      </c>
      <c r="C20" s="29">
        <f>'Calculation Debt'!C20</f>
        <v>1</v>
      </c>
      <c r="E20" t="s">
        <v>40</v>
      </c>
      <c r="H20" s="30">
        <f>'Calculation Debt'!H20</f>
        <v>400</v>
      </c>
      <c r="I20" s="109">
        <f>'Calculation Debt'!I20</f>
        <v>100</v>
      </c>
    </row>
    <row r="21" spans="1:21" x14ac:dyDescent="0.3">
      <c r="E21" t="s">
        <v>41</v>
      </c>
      <c r="H21" s="159">
        <f>'Calculation Debt'!H21</f>
        <v>0</v>
      </c>
    </row>
    <row r="22" spans="1:21" x14ac:dyDescent="0.3">
      <c r="A22" s="33"/>
      <c r="E22" t="s">
        <v>43</v>
      </c>
      <c r="H22" s="30">
        <f>Summary!Q24</f>
        <v>10</v>
      </c>
    </row>
    <row r="23" spans="1:21" x14ac:dyDescent="0.3">
      <c r="E23" t="s">
        <v>44</v>
      </c>
      <c r="H23" s="30">
        <f>'Calculation Debt'!H23</f>
        <v>3.75</v>
      </c>
      <c r="J23" s="34"/>
    </row>
    <row r="24" spans="1:21" ht="15.6" x14ac:dyDescent="0.3">
      <c r="E24" t="s">
        <v>45</v>
      </c>
      <c r="H24" s="159">
        <f>'Calculation Debt'!H24</f>
        <v>1.2150000000000001</v>
      </c>
      <c r="K24" s="12"/>
      <c r="L24" s="12"/>
      <c r="M24" s="12"/>
      <c r="N24" s="12"/>
      <c r="O24" s="12"/>
      <c r="P24" s="12"/>
      <c r="Q24" s="25"/>
      <c r="R24" s="12"/>
      <c r="S24" s="12"/>
      <c r="T24" s="12"/>
      <c r="U24" s="12"/>
    </row>
    <row r="25" spans="1:21" x14ac:dyDescent="0.3">
      <c r="E25" t="s">
        <v>46</v>
      </c>
      <c r="H25" s="24">
        <v>0</v>
      </c>
      <c r="K25" s="12"/>
      <c r="L25" s="26"/>
      <c r="M25" s="11"/>
      <c r="N25" s="11"/>
      <c r="O25" s="11"/>
      <c r="P25" s="11"/>
      <c r="Q25" s="11"/>
      <c r="R25" s="11"/>
      <c r="S25" s="11"/>
      <c r="T25" s="11"/>
      <c r="U25" s="11"/>
    </row>
    <row r="26" spans="1:21" x14ac:dyDescent="0.3">
      <c r="E26" t="s">
        <v>47</v>
      </c>
      <c r="H26" s="24">
        <v>0</v>
      </c>
      <c r="K26" s="12"/>
      <c r="L26" s="163"/>
      <c r="M26" s="164"/>
      <c r="N26" s="164"/>
      <c r="O26" s="164"/>
      <c r="P26" s="164"/>
      <c r="Q26" s="164"/>
      <c r="R26" s="164"/>
      <c r="S26" s="164"/>
      <c r="T26" s="164"/>
      <c r="U26" s="164"/>
    </row>
    <row r="27" spans="1:21" x14ac:dyDescent="0.3">
      <c r="H27" t="s">
        <v>48</v>
      </c>
      <c r="I27" t="s">
        <v>49</v>
      </c>
      <c r="K27" s="28"/>
      <c r="L27" s="163"/>
      <c r="M27" s="164"/>
      <c r="N27" s="164"/>
      <c r="O27" s="164"/>
      <c r="P27" s="164"/>
      <c r="Q27" s="164"/>
      <c r="R27" s="164"/>
      <c r="S27" s="164"/>
      <c r="T27" s="164"/>
      <c r="U27" s="164"/>
    </row>
    <row r="28" spans="1:21" x14ac:dyDescent="0.3">
      <c r="E28" s="15" t="s">
        <v>212</v>
      </c>
      <c r="F28" s="15"/>
      <c r="G28" s="15"/>
      <c r="H28" s="35">
        <f>'Calculation Debt'!H28</f>
        <v>25</v>
      </c>
      <c r="I28" s="35">
        <f>'Calculation Debt'!I28</f>
        <v>12.5</v>
      </c>
      <c r="K28" s="28"/>
      <c r="L28" s="163"/>
      <c r="M28" s="164"/>
      <c r="N28" s="164"/>
      <c r="O28" s="164"/>
      <c r="P28" s="164"/>
      <c r="Q28" s="164"/>
      <c r="R28" s="164"/>
      <c r="S28" s="164"/>
      <c r="T28" s="164"/>
      <c r="U28" s="164"/>
    </row>
    <row r="29" spans="1:21" ht="15.6" x14ac:dyDescent="0.3">
      <c r="E29" s="15" t="s">
        <v>213</v>
      </c>
      <c r="F29" s="15"/>
      <c r="G29" s="15"/>
      <c r="H29" s="36">
        <f>'Calculation Debt'!H29</f>
        <v>1</v>
      </c>
      <c r="I29" s="36">
        <f>'Calculation Debt'!I29</f>
        <v>1</v>
      </c>
      <c r="K29" s="32"/>
      <c r="L29" s="163"/>
      <c r="M29" s="164"/>
      <c r="N29" s="164"/>
      <c r="O29" s="164"/>
      <c r="P29" s="164"/>
      <c r="Q29" s="164"/>
      <c r="R29" s="164"/>
      <c r="S29" s="164"/>
      <c r="T29" s="164"/>
      <c r="U29" s="164"/>
    </row>
    <row r="30" spans="1:21" x14ac:dyDescent="0.3">
      <c r="C30" s="160"/>
      <c r="E30" s="15" t="s">
        <v>214</v>
      </c>
      <c r="F30" s="15"/>
      <c r="G30" s="15"/>
      <c r="H30" s="35">
        <f>'Calculation Debt'!H30</f>
        <v>15</v>
      </c>
      <c r="I30" s="35">
        <f>'Calculation Debt'!I30</f>
        <v>15</v>
      </c>
      <c r="K30" s="12"/>
      <c r="L30" s="163"/>
      <c r="M30" s="164"/>
      <c r="N30" s="164"/>
      <c r="O30" s="164"/>
      <c r="P30" s="164"/>
      <c r="Q30" s="164"/>
      <c r="R30" s="164"/>
      <c r="S30" s="164"/>
      <c r="T30" s="164"/>
      <c r="U30" s="164"/>
    </row>
    <row r="31" spans="1:21" x14ac:dyDescent="0.3">
      <c r="C31" s="160"/>
      <c r="E31" s="15" t="s">
        <v>215</v>
      </c>
      <c r="F31" s="15"/>
      <c r="G31" s="15"/>
      <c r="H31" s="36">
        <f>'Calculation Debt'!H31</f>
        <v>1</v>
      </c>
      <c r="I31" s="36">
        <f>'Calculation Debt'!I31</f>
        <v>1</v>
      </c>
      <c r="K31" s="12"/>
      <c r="L31" s="163"/>
      <c r="M31" s="164"/>
      <c r="N31" s="164"/>
      <c r="O31" s="164"/>
      <c r="P31" s="164"/>
      <c r="Q31" s="164"/>
      <c r="R31" s="164"/>
      <c r="S31" s="164"/>
      <c r="T31" s="164"/>
      <c r="U31" s="164"/>
    </row>
    <row r="32" spans="1:21" x14ac:dyDescent="0.3">
      <c r="C32" s="160"/>
      <c r="E32" s="15" t="s">
        <v>54</v>
      </c>
      <c r="H32" s="36">
        <f>'Calculation Debt'!H32</f>
        <v>0.25</v>
      </c>
      <c r="K32" s="12"/>
      <c r="L32" s="163"/>
      <c r="M32" s="164"/>
      <c r="N32" s="164"/>
      <c r="O32" s="164"/>
      <c r="P32" s="164"/>
      <c r="Q32" s="164"/>
      <c r="R32" s="164"/>
      <c r="S32" s="164"/>
      <c r="T32" s="164"/>
      <c r="U32" s="164"/>
    </row>
    <row r="33" spans="2:30" x14ac:dyDescent="0.3">
      <c r="C33" s="161"/>
      <c r="K33" s="12"/>
      <c r="L33" s="163"/>
      <c r="M33" s="164"/>
      <c r="N33" s="164"/>
      <c r="O33" s="164"/>
      <c r="P33" s="164"/>
      <c r="Q33" s="164"/>
      <c r="R33" s="164"/>
      <c r="S33" s="164"/>
      <c r="T33" s="164"/>
      <c r="U33" s="164"/>
    </row>
    <row r="34" spans="2:30" x14ac:dyDescent="0.3">
      <c r="B34" s="14"/>
      <c r="C34" s="162"/>
      <c r="H34" s="3"/>
      <c r="K34" s="12"/>
      <c r="L34" s="163"/>
      <c r="M34" s="164"/>
      <c r="N34" s="164"/>
      <c r="O34" s="164"/>
      <c r="P34" s="164"/>
      <c r="Q34" s="164"/>
      <c r="R34" s="164"/>
      <c r="S34" s="164"/>
      <c r="T34" s="164"/>
      <c r="U34" s="164"/>
    </row>
    <row r="35" spans="2:30" x14ac:dyDescent="0.3">
      <c r="D35" s="15"/>
      <c r="I35" s="105"/>
      <c r="L35" s="163"/>
      <c r="M35" s="164"/>
      <c r="N35" s="164"/>
      <c r="O35" s="164"/>
      <c r="P35" s="164"/>
      <c r="Q35" s="164"/>
      <c r="R35" s="164"/>
      <c r="S35" s="164"/>
      <c r="T35" s="164"/>
      <c r="U35" s="164"/>
    </row>
    <row r="36" spans="2:30" x14ac:dyDescent="0.3">
      <c r="D36" s="15"/>
      <c r="I36" s="105"/>
      <c r="L36" s="163"/>
      <c r="M36" s="164"/>
      <c r="N36" s="164"/>
      <c r="O36" s="164"/>
      <c r="P36" s="164"/>
      <c r="Q36" s="164"/>
      <c r="R36" s="164"/>
      <c r="S36" s="164"/>
      <c r="T36" s="164"/>
      <c r="U36" s="164"/>
    </row>
    <row r="37" spans="2:30" x14ac:dyDescent="0.3">
      <c r="L37" s="163"/>
      <c r="M37" s="164"/>
      <c r="N37" s="164"/>
      <c r="O37" s="164"/>
      <c r="P37" s="164"/>
      <c r="Q37" s="164"/>
      <c r="R37" s="164"/>
      <c r="S37" s="164"/>
      <c r="T37" s="164"/>
      <c r="U37" s="164"/>
    </row>
    <row r="38" spans="2:30" x14ac:dyDescent="0.3">
      <c r="L38" s="163"/>
      <c r="M38" s="164"/>
      <c r="N38" s="164"/>
      <c r="O38" s="164"/>
      <c r="P38" s="164"/>
      <c r="Q38" s="164"/>
      <c r="R38" s="164"/>
      <c r="S38" s="164"/>
      <c r="T38" s="164"/>
      <c r="U38" s="164"/>
    </row>
    <row r="39" spans="2:30" x14ac:dyDescent="0.3">
      <c r="D39" s="37"/>
      <c r="L39" s="163"/>
      <c r="M39" s="164"/>
      <c r="N39" s="164"/>
      <c r="O39" s="164"/>
      <c r="P39" s="164"/>
      <c r="Q39" s="164"/>
      <c r="R39" s="164"/>
      <c r="S39" s="164"/>
      <c r="T39" s="164"/>
      <c r="U39" s="164"/>
    </row>
    <row r="40" spans="2:30" x14ac:dyDescent="0.3">
      <c r="D40" s="38"/>
      <c r="E40" s="38"/>
      <c r="F40" s="38"/>
      <c r="H40" s="38"/>
      <c r="I40" s="38"/>
      <c r="L40" s="163"/>
      <c r="M40" s="164"/>
      <c r="N40" s="164"/>
      <c r="O40" s="164"/>
      <c r="P40" s="164"/>
      <c r="Q40" s="164"/>
      <c r="R40" s="164"/>
      <c r="S40" s="164"/>
      <c r="T40" s="164"/>
      <c r="U40" s="164"/>
    </row>
    <row r="41" spans="2:30" x14ac:dyDescent="0.3">
      <c r="F41" s="39"/>
      <c r="G41" s="39"/>
    </row>
    <row r="42" spans="2:30" x14ac:dyDescent="0.3">
      <c r="B42" s="40" t="s">
        <v>200</v>
      </c>
      <c r="C42" s="2">
        <v>0</v>
      </c>
      <c r="D42" s="2">
        <v>1</v>
      </c>
      <c r="E42" s="2">
        <v>2</v>
      </c>
      <c r="F42" s="2">
        <v>3</v>
      </c>
      <c r="G42" s="2">
        <v>4</v>
      </c>
      <c r="H42" s="2">
        <v>5</v>
      </c>
      <c r="I42" s="2">
        <v>6</v>
      </c>
      <c r="J42" s="2">
        <v>7</v>
      </c>
      <c r="K42" s="2">
        <v>8</v>
      </c>
      <c r="L42" s="2">
        <v>9</v>
      </c>
      <c r="M42" s="2">
        <v>10</v>
      </c>
      <c r="N42" s="2">
        <v>11</v>
      </c>
      <c r="O42" s="2">
        <v>12</v>
      </c>
      <c r="P42" s="2">
        <v>13</v>
      </c>
      <c r="Q42" s="2">
        <v>14</v>
      </c>
      <c r="R42" s="2">
        <v>15</v>
      </c>
      <c r="S42" s="2">
        <v>16</v>
      </c>
      <c r="T42" s="2">
        <v>17</v>
      </c>
      <c r="U42" s="2">
        <v>18</v>
      </c>
      <c r="V42" s="2">
        <v>19</v>
      </c>
      <c r="W42" s="2">
        <v>20</v>
      </c>
      <c r="X42" s="2">
        <v>21</v>
      </c>
      <c r="Y42" s="2">
        <v>22</v>
      </c>
      <c r="Z42" s="2">
        <v>23</v>
      </c>
      <c r="AA42" s="2">
        <v>24</v>
      </c>
      <c r="AB42" s="2">
        <v>25</v>
      </c>
      <c r="AC42" s="2"/>
      <c r="AD42" s="2"/>
    </row>
    <row r="43" spans="2:30" x14ac:dyDescent="0.3">
      <c r="D43" s="41"/>
      <c r="E43" s="41"/>
      <c r="F43" s="41"/>
      <c r="G43" s="41"/>
      <c r="H43" s="41"/>
      <c r="I43" s="41"/>
      <c r="J43" s="41"/>
      <c r="K43" s="41"/>
    </row>
    <row r="44" spans="2:30" x14ac:dyDescent="0.3">
      <c r="B44" t="s">
        <v>56</v>
      </c>
      <c r="D44" s="42">
        <f>Summary!D10+Summary!H10+Summary!M9+Summary!W7+Summary!AB7+Summary!AG7+Summary!AL7+Summary!AQ7+Summary!AV7+Summary!BA7+Summary!BF7+Summary!BK7+Summary!AQ14+Summary!AV14+Summary!BA14+Summary!BF14+Summary!BK14+Summary!W14+Summary!AB14+Summary!AG14+Summary!AL14</f>
        <v>48000</v>
      </c>
      <c r="E44" s="42">
        <f>(D44-D44*($C$10))*(E$42&lt;=$C$19)</f>
        <v>47760</v>
      </c>
      <c r="F44" s="42">
        <f t="shared" ref="F44:AB44" si="0">(E44-E44*($C$10))*(F$42&lt;=$C$19)</f>
        <v>47521.2</v>
      </c>
      <c r="G44" s="42">
        <f t="shared" si="0"/>
        <v>47283.593999999997</v>
      </c>
      <c r="H44" s="42">
        <f t="shared" si="0"/>
        <v>47047.176029999995</v>
      </c>
      <c r="I44" s="42">
        <f t="shared" si="0"/>
        <v>46811.940149849994</v>
      </c>
      <c r="J44" s="42">
        <f t="shared" si="0"/>
        <v>46577.880449100747</v>
      </c>
      <c r="K44" s="42">
        <f t="shared" si="0"/>
        <v>46344.991046855241</v>
      </c>
      <c r="L44" s="42">
        <f t="shared" si="0"/>
        <v>46113.266091620964</v>
      </c>
      <c r="M44" s="42">
        <f t="shared" si="0"/>
        <v>45882.699761162861</v>
      </c>
      <c r="N44" s="42">
        <f t="shared" si="0"/>
        <v>45653.286262357047</v>
      </c>
      <c r="O44" s="42">
        <f t="shared" si="0"/>
        <v>45425.019831045262</v>
      </c>
      <c r="P44" s="42">
        <f t="shared" si="0"/>
        <v>45197.894731890032</v>
      </c>
      <c r="Q44" s="42">
        <f t="shared" si="0"/>
        <v>44971.905258230581</v>
      </c>
      <c r="R44" s="42">
        <f t="shared" si="0"/>
        <v>44747.045731939426</v>
      </c>
      <c r="S44" s="42">
        <f t="shared" si="0"/>
        <v>44523.310503279732</v>
      </c>
      <c r="T44" s="42">
        <f t="shared" si="0"/>
        <v>44300.693950763336</v>
      </c>
      <c r="U44" s="42">
        <f t="shared" si="0"/>
        <v>44079.190481009522</v>
      </c>
      <c r="V44" s="42">
        <f t="shared" si="0"/>
        <v>43858.794528604478</v>
      </c>
      <c r="W44" s="42">
        <f t="shared" si="0"/>
        <v>43639.500555961458</v>
      </c>
      <c r="X44" s="42">
        <f t="shared" si="0"/>
        <v>43421.303053181648</v>
      </c>
      <c r="Y44" s="42">
        <f t="shared" si="0"/>
        <v>43204.196537915741</v>
      </c>
      <c r="Z44" s="42">
        <f t="shared" si="0"/>
        <v>42988.17555522616</v>
      </c>
      <c r="AA44" s="42">
        <f t="shared" si="0"/>
        <v>42773.234677450033</v>
      </c>
      <c r="AB44" s="42">
        <f t="shared" si="0"/>
        <v>42559.368504062782</v>
      </c>
      <c r="AC44" s="42"/>
      <c r="AD44" s="42"/>
    </row>
    <row r="45" spans="2:30" x14ac:dyDescent="0.3">
      <c r="B45" t="s">
        <v>57</v>
      </c>
      <c r="C45" s="42"/>
      <c r="D45" s="43">
        <f t="shared" ref="D45:AB45" si="1">$D$44*$C$6*(D$42&lt;=$C$19)</f>
        <v>48000</v>
      </c>
      <c r="E45" s="43">
        <f t="shared" si="1"/>
        <v>48000</v>
      </c>
      <c r="F45" s="43">
        <f t="shared" si="1"/>
        <v>48000</v>
      </c>
      <c r="G45" s="43">
        <f t="shared" si="1"/>
        <v>48000</v>
      </c>
      <c r="H45" s="43">
        <f t="shared" si="1"/>
        <v>48000</v>
      </c>
      <c r="I45" s="43">
        <f t="shared" si="1"/>
        <v>48000</v>
      </c>
      <c r="J45" s="43">
        <f t="shared" si="1"/>
        <v>48000</v>
      </c>
      <c r="K45" s="43">
        <f t="shared" si="1"/>
        <v>48000</v>
      </c>
      <c r="L45" s="43">
        <f t="shared" si="1"/>
        <v>48000</v>
      </c>
      <c r="M45" s="43">
        <f t="shared" si="1"/>
        <v>48000</v>
      </c>
      <c r="N45" s="43">
        <f t="shared" si="1"/>
        <v>48000</v>
      </c>
      <c r="O45" s="43">
        <f t="shared" si="1"/>
        <v>48000</v>
      </c>
      <c r="P45" s="43">
        <f t="shared" si="1"/>
        <v>48000</v>
      </c>
      <c r="Q45" s="43">
        <f t="shared" si="1"/>
        <v>48000</v>
      </c>
      <c r="R45" s="43">
        <f t="shared" si="1"/>
        <v>48000</v>
      </c>
      <c r="S45" s="43">
        <f t="shared" si="1"/>
        <v>48000</v>
      </c>
      <c r="T45" s="43">
        <f t="shared" si="1"/>
        <v>48000</v>
      </c>
      <c r="U45" s="43">
        <f t="shared" si="1"/>
        <v>48000</v>
      </c>
      <c r="V45" s="43">
        <f t="shared" si="1"/>
        <v>48000</v>
      </c>
      <c r="W45" s="43">
        <f t="shared" si="1"/>
        <v>48000</v>
      </c>
      <c r="X45" s="43">
        <f t="shared" si="1"/>
        <v>48000</v>
      </c>
      <c r="Y45" s="43">
        <f t="shared" si="1"/>
        <v>48000</v>
      </c>
      <c r="Z45" s="43">
        <f t="shared" si="1"/>
        <v>48000</v>
      </c>
      <c r="AA45" s="43">
        <f t="shared" si="1"/>
        <v>48000</v>
      </c>
      <c r="AB45" s="43">
        <f t="shared" si="1"/>
        <v>48000</v>
      </c>
      <c r="AC45" s="43"/>
      <c r="AD45" s="43"/>
    </row>
    <row r="46" spans="2:30" x14ac:dyDescent="0.3">
      <c r="B46" t="s">
        <v>58</v>
      </c>
      <c r="C46" s="42"/>
      <c r="D46" s="44">
        <f>MIN(IFERROR(D45/E44,0),100%)*(D$42&lt;=$C$19)</f>
        <v>1</v>
      </c>
      <c r="E46" s="44">
        <f t="shared" ref="E46:AB46" si="2">MIN(IFERROR(E45/E44,0),100%)*(E$42&lt;=$C$19)</f>
        <v>1</v>
      </c>
      <c r="F46" s="44">
        <f t="shared" si="2"/>
        <v>1</v>
      </c>
      <c r="G46" s="44">
        <f t="shared" si="2"/>
        <v>1</v>
      </c>
      <c r="H46" s="44">
        <f t="shared" si="2"/>
        <v>1</v>
      </c>
      <c r="I46" s="44">
        <f t="shared" si="2"/>
        <v>1</v>
      </c>
      <c r="J46" s="44">
        <f t="shared" si="2"/>
        <v>1</v>
      </c>
      <c r="K46" s="44">
        <f t="shared" si="2"/>
        <v>1</v>
      </c>
      <c r="L46" s="44">
        <f t="shared" si="2"/>
        <v>1</v>
      </c>
      <c r="M46" s="44">
        <f t="shared" si="2"/>
        <v>1</v>
      </c>
      <c r="N46" s="44">
        <f t="shared" si="2"/>
        <v>1</v>
      </c>
      <c r="O46" s="44">
        <f t="shared" si="2"/>
        <v>1</v>
      </c>
      <c r="P46" s="44">
        <f t="shared" si="2"/>
        <v>1</v>
      </c>
      <c r="Q46" s="44">
        <f t="shared" si="2"/>
        <v>1</v>
      </c>
      <c r="R46" s="44">
        <f t="shared" si="2"/>
        <v>1</v>
      </c>
      <c r="S46" s="44">
        <f t="shared" si="2"/>
        <v>1</v>
      </c>
      <c r="T46" s="44">
        <f t="shared" si="2"/>
        <v>1</v>
      </c>
      <c r="U46" s="44">
        <f t="shared" si="2"/>
        <v>1</v>
      </c>
      <c r="V46" s="44">
        <f t="shared" si="2"/>
        <v>1</v>
      </c>
      <c r="W46" s="44">
        <f t="shared" si="2"/>
        <v>1</v>
      </c>
      <c r="X46" s="44">
        <f t="shared" si="2"/>
        <v>1</v>
      </c>
      <c r="Y46" s="44">
        <f t="shared" si="2"/>
        <v>1</v>
      </c>
      <c r="Z46" s="44">
        <f t="shared" si="2"/>
        <v>1</v>
      </c>
      <c r="AA46" s="44">
        <f t="shared" si="2"/>
        <v>1</v>
      </c>
      <c r="AB46" s="44">
        <f t="shared" si="2"/>
        <v>1</v>
      </c>
      <c r="AC46" s="44"/>
      <c r="AD46" s="44"/>
    </row>
    <row r="47" spans="2:30" x14ac:dyDescent="0.3">
      <c r="B47" t="s">
        <v>59</v>
      </c>
      <c r="C47" s="45"/>
      <c r="D47" s="45">
        <f>$C$12*((1+$C$17)^(D42-1))*(D$42&lt;=$C$19)</f>
        <v>7</v>
      </c>
      <c r="E47" s="45">
        <f t="shared" ref="E47:AB47" si="3">$C$12*((1+$C$17)^(E42-1))*(E42&lt;=$C$19)</f>
        <v>7.1749999999999989</v>
      </c>
      <c r="F47" s="45">
        <f t="shared" si="3"/>
        <v>7.3543749999999992</v>
      </c>
      <c r="G47" s="45">
        <f t="shared" si="3"/>
        <v>7.5382343749999992</v>
      </c>
      <c r="H47" s="45">
        <f t="shared" si="3"/>
        <v>7.7266902343749981</v>
      </c>
      <c r="I47" s="45">
        <f t="shared" si="3"/>
        <v>7.9198574902343726</v>
      </c>
      <c r="J47" s="45">
        <f t="shared" si="3"/>
        <v>8.1178539274902306</v>
      </c>
      <c r="K47" s="45">
        <f t="shared" si="3"/>
        <v>8.3208002756774881</v>
      </c>
      <c r="L47" s="45">
        <f t="shared" si="3"/>
        <v>8.5288202825694235</v>
      </c>
      <c r="M47" s="45">
        <f t="shared" si="3"/>
        <v>8.7420407896336574</v>
      </c>
      <c r="N47" s="45">
        <f t="shared" si="3"/>
        <v>8.960591809374499</v>
      </c>
      <c r="O47" s="45">
        <f t="shared" si="3"/>
        <v>9.1846066046088612</v>
      </c>
      <c r="P47" s="45">
        <f t="shared" si="3"/>
        <v>9.4142217697240831</v>
      </c>
      <c r="Q47" s="45">
        <f t="shared" si="3"/>
        <v>9.6495773139671837</v>
      </c>
      <c r="R47" s="45">
        <f t="shared" si="3"/>
        <v>9.8908167468163626</v>
      </c>
      <c r="S47" s="45">
        <f t="shared" si="3"/>
        <v>10.138087165486773</v>
      </c>
      <c r="T47" s="45">
        <f t="shared" si="3"/>
        <v>10.391539344623942</v>
      </c>
      <c r="U47" s="45">
        <f t="shared" si="3"/>
        <v>10.651327828239539</v>
      </c>
      <c r="V47" s="45">
        <f t="shared" si="3"/>
        <v>10.917611023945527</v>
      </c>
      <c r="W47" s="45">
        <f t="shared" si="3"/>
        <v>11.190551299544166</v>
      </c>
      <c r="X47" s="45">
        <f t="shared" si="3"/>
        <v>11.470315082032769</v>
      </c>
      <c r="Y47" s="45">
        <f t="shared" si="3"/>
        <v>11.757072959083587</v>
      </c>
      <c r="Z47" s="45">
        <f t="shared" si="3"/>
        <v>12.050999783060677</v>
      </c>
      <c r="AA47" s="45">
        <f t="shared" si="3"/>
        <v>12.352274777637193</v>
      </c>
      <c r="AB47" s="45">
        <f t="shared" si="3"/>
        <v>12.661081647078122</v>
      </c>
      <c r="AC47" s="45"/>
      <c r="AD47" s="45"/>
    </row>
    <row r="48" spans="2:30" x14ac:dyDescent="0.3">
      <c r="B48" t="s">
        <v>60</v>
      </c>
      <c r="C48" s="45"/>
      <c r="D48" s="45">
        <f>IF(Summary!$D$19&lt;1,$C$15*((1+$C$18)^(D42-1))*(D42&lt;=$C$19),Summary!$D$19)</f>
        <v>12.486760352189341</v>
      </c>
      <c r="E48" s="45">
        <f>IF(Summary!$D$19&lt;1,$C$15*((1+$C$18)^(E42-1))*(E42&lt;=$C$19),Summary!$D$19)</f>
        <v>12.798929360994073</v>
      </c>
      <c r="F48" s="45">
        <f>IF(Summary!$D$19&lt;1,$C$15*((1+$C$18)^(F42-1))*(F42&lt;=$C$19),Summary!$D$19)</f>
        <v>13.118902595018925</v>
      </c>
      <c r="G48" s="45">
        <f>IF(Summary!$D$19&lt;1,$C$15*((1+$C$18)^(G42-1))*(G42&lt;=$C$19),Summary!$D$19)</f>
        <v>13.446875159894399</v>
      </c>
      <c r="H48" s="45">
        <f>IF(Summary!$D$19&lt;1,$C$15*((1+$C$18)^(H42-1))*(H42&lt;=$C$19),Summary!$D$19)</f>
        <v>13.783047038891757</v>
      </c>
      <c r="I48" s="45">
        <f>IF(Summary!$D$19&lt;1,$C$15*((1+$C$18)^(I42-1))*(I42&lt;=$C$19),Summary!$D$19)</f>
        <v>14.12762321486405</v>
      </c>
      <c r="J48" s="45">
        <f>IF(Summary!$D$19&lt;1,$C$15*((1+$C$18)^(J42-1))*(J42&lt;=$C$19),Summary!$D$19)</f>
        <v>14.480813795235649</v>
      </c>
      <c r="K48" s="45">
        <f>IF(Summary!$D$19&lt;1,$C$15*((1+$C$18)^(K42-1))*(K42&lt;=$C$19),Summary!$D$19)</f>
        <v>14.842834140116542</v>
      </c>
      <c r="L48" s="45">
        <f>IF(Summary!$D$19&lt;1,$C$15*((1+$C$18)^(L42-1))*(L42&lt;=$C$19),Summary!$D$19)</f>
        <v>15.213904993619453</v>
      </c>
      <c r="M48" s="45">
        <f>IF(Summary!$D$19&lt;1,$C$15*((1+$C$18)^(M42-1))*(M42&lt;=$C$19),Summary!$D$19)</f>
        <v>15.594252618459937</v>
      </c>
      <c r="N48" s="45">
        <f>IF(Summary!$D$19&lt;1,$C$15*((1+$C$18)^(N42-1))*(N42&lt;=$C$19),Summary!$D$19)</f>
        <v>15.984108933921435</v>
      </c>
      <c r="O48" s="45">
        <f>IF(Summary!$D$19&lt;1,$C$15*((1+$C$18)^(O42-1))*(O42&lt;=$C$19),Summary!$D$19)</f>
        <v>16.383711657269473</v>
      </c>
      <c r="P48" s="45">
        <f>IF(Summary!$D$19&lt;1,$C$15*((1+$C$18)^(P42-1))*(P42&lt;=$C$19),Summary!$D$19)</f>
        <v>16.793304448701207</v>
      </c>
      <c r="Q48" s="45">
        <f>IF(Summary!$D$19&lt;1,$C$15*((1+$C$18)^(Q42-1))*(Q42&lt;=$C$19),Summary!$D$19)</f>
        <v>17.213137059918736</v>
      </c>
      <c r="R48" s="45">
        <f>IF(Summary!$D$19&lt;1,$C$15*((1+$C$18)^(R42-1))*(R42&lt;=$C$19),Summary!$D$19)</f>
        <v>17.643465486416702</v>
      </c>
      <c r="S48" s="45">
        <f>IF(Summary!$D$19&lt;1,$C$15*((1+$C$18)^(S42-1))*(S42&lt;=$C$19),Summary!$D$19)</f>
        <v>18.084552123577122</v>
      </c>
      <c r="T48" s="45">
        <f>IF(Summary!$D$19&lt;1,$C$15*((1+$C$18)^(T42-1))*(T42&lt;=$C$19),Summary!$D$19)</f>
        <v>18.536665926666551</v>
      </c>
      <c r="U48" s="45">
        <f>IF(Summary!$D$19&lt;1,$C$15*((1+$C$18)^(U42-1))*(U42&lt;=$C$19),Summary!$D$19)</f>
        <v>19.000082574833211</v>
      </c>
      <c r="V48" s="45">
        <f>IF(Summary!$D$19&lt;1,$C$15*((1+$C$18)^(V42-1))*(V42&lt;=$C$19),Summary!$D$19)</f>
        <v>19.475084639204042</v>
      </c>
      <c r="W48" s="45">
        <f>IF(Summary!$D$19&lt;1,$C$15*((1+$C$18)^(W42-1))*(W42&lt;=$C$19),Summary!$D$19)</f>
        <v>19.961961755184142</v>
      </c>
      <c r="X48" s="45">
        <f>IF(Summary!$D$19&lt;1,$C$15*((1+$C$18)^(X42-1))*(X42&lt;=$C$19),Summary!$D$19)</f>
        <v>20.461010799063743</v>
      </c>
      <c r="Y48" s="45">
        <f>IF(Summary!$D$19&lt;1,$C$15*((1+$C$18)^(Y42-1))*(Y42&lt;=$C$19),Summary!$D$19)</f>
        <v>20.972536069040334</v>
      </c>
      <c r="Z48" s="45">
        <f>IF(Summary!$D$19&lt;1,$C$15*((1+$C$18)^(Z42-1))*(Z42&lt;=$C$19),Summary!$D$19)</f>
        <v>21.496849470766342</v>
      </c>
      <c r="AA48" s="45">
        <f>IF(Summary!$D$19&lt;1,$C$15*((1+$C$18)^(AA42-1))*(AA42&lt;=$C$19),Summary!$D$19)</f>
        <v>22.034270707535502</v>
      </c>
      <c r="AB48" s="45">
        <f>IF(Summary!$D$19&lt;1,$C$15*((1+$C$18)^(AB42-1))*(AB42&lt;=$C$19),Summary!$D$19)</f>
        <v>22.585127475223889</v>
      </c>
      <c r="AC48" s="45"/>
      <c r="AD48" s="45"/>
    </row>
    <row r="49" spans="1:30" x14ac:dyDescent="0.3">
      <c r="C49" s="45"/>
      <c r="D49" s="45"/>
      <c r="E49" s="45"/>
      <c r="F49" s="45"/>
      <c r="G49" s="45"/>
      <c r="H49" s="45"/>
      <c r="I49" s="45"/>
      <c r="J49" s="45"/>
      <c r="K49" s="45"/>
      <c r="L49" s="45"/>
      <c r="M49" s="45"/>
      <c r="N49" s="45"/>
      <c r="O49" s="45"/>
      <c r="P49" s="45"/>
      <c r="Q49" s="45"/>
      <c r="R49" s="45"/>
      <c r="S49" s="45"/>
      <c r="T49" s="45"/>
      <c r="U49" s="45"/>
      <c r="V49" s="45"/>
      <c r="W49" s="45"/>
      <c r="X49" s="45"/>
      <c r="Y49" s="45"/>
      <c r="Z49" s="45"/>
      <c r="AA49" s="45"/>
      <c r="AB49" s="45"/>
      <c r="AC49" s="45"/>
      <c r="AD49" s="45"/>
    </row>
    <row r="50" spans="1:30" x14ac:dyDescent="0.3">
      <c r="B50" t="s">
        <v>61</v>
      </c>
      <c r="C50" s="45"/>
      <c r="D50" s="46">
        <f>(D$44*(1-D$46)*D$47)/100</f>
        <v>0</v>
      </c>
      <c r="E50" s="46">
        <f t="shared" ref="E50:AB50" si="4">(E$44*(1-E$46)*E$47)/100</f>
        <v>0</v>
      </c>
      <c r="F50" s="46">
        <f t="shared" si="4"/>
        <v>0</v>
      </c>
      <c r="G50" s="46">
        <f t="shared" si="4"/>
        <v>0</v>
      </c>
      <c r="H50" s="46">
        <f t="shared" si="4"/>
        <v>0</v>
      </c>
      <c r="I50" s="46">
        <f t="shared" si="4"/>
        <v>0</v>
      </c>
      <c r="J50" s="46">
        <f t="shared" si="4"/>
        <v>0</v>
      </c>
      <c r="K50" s="46">
        <f t="shared" si="4"/>
        <v>0</v>
      </c>
      <c r="L50" s="46">
        <f t="shared" si="4"/>
        <v>0</v>
      </c>
      <c r="M50" s="46">
        <f t="shared" si="4"/>
        <v>0</v>
      </c>
      <c r="N50" s="46">
        <f t="shared" si="4"/>
        <v>0</v>
      </c>
      <c r="O50" s="46">
        <f t="shared" si="4"/>
        <v>0</v>
      </c>
      <c r="P50" s="46">
        <f t="shared" si="4"/>
        <v>0</v>
      </c>
      <c r="Q50" s="46">
        <f t="shared" si="4"/>
        <v>0</v>
      </c>
      <c r="R50" s="46">
        <f t="shared" si="4"/>
        <v>0</v>
      </c>
      <c r="S50" s="46">
        <f t="shared" si="4"/>
        <v>0</v>
      </c>
      <c r="T50" s="46">
        <f t="shared" si="4"/>
        <v>0</v>
      </c>
      <c r="U50" s="46">
        <f t="shared" si="4"/>
        <v>0</v>
      </c>
      <c r="V50" s="46">
        <f t="shared" si="4"/>
        <v>0</v>
      </c>
      <c r="W50" s="46">
        <f t="shared" si="4"/>
        <v>0</v>
      </c>
      <c r="X50" s="46">
        <f t="shared" si="4"/>
        <v>0</v>
      </c>
      <c r="Y50" s="46">
        <f t="shared" si="4"/>
        <v>0</v>
      </c>
      <c r="Z50" s="46">
        <f t="shared" si="4"/>
        <v>0</v>
      </c>
      <c r="AA50" s="46">
        <f t="shared" si="4"/>
        <v>0</v>
      </c>
      <c r="AB50" s="46">
        <f t="shared" si="4"/>
        <v>0</v>
      </c>
      <c r="AC50" s="46"/>
      <c r="AD50" s="46"/>
    </row>
    <row r="51" spans="1:30" x14ac:dyDescent="0.3">
      <c r="B51" t="s">
        <v>62</v>
      </c>
      <c r="C51" s="45"/>
      <c r="D51" s="47">
        <f>(+D$44*(D$46)*D$48)/100</f>
        <v>5993.6449690508844</v>
      </c>
      <c r="E51" s="47">
        <f t="shared" ref="E51:AB51" si="5">(+E$44*(E$46)*E$48)/100</f>
        <v>6112.7686628107695</v>
      </c>
      <c r="F51" s="47">
        <f t="shared" si="5"/>
        <v>6234.2599399841329</v>
      </c>
      <c r="G51" s="47">
        <f t="shared" si="5"/>
        <v>6358.1658562913181</v>
      </c>
      <c r="H51" s="47">
        <f t="shared" si="5"/>
        <v>6484.5344026851071</v>
      </c>
      <c r="I51" s="47">
        <f t="shared" si="5"/>
        <v>6613.4145239384725</v>
      </c>
      <c r="J51" s="47">
        <f t="shared" si="5"/>
        <v>6744.8561376017497</v>
      </c>
      <c r="K51" s="47">
        <f t="shared" si="5"/>
        <v>6878.9101533365847</v>
      </c>
      <c r="L51" s="47">
        <f t="shared" si="5"/>
        <v>7015.6284926341477</v>
      </c>
      <c r="M51" s="47">
        <f t="shared" si="5"/>
        <v>7155.0641089252513</v>
      </c>
      <c r="N51" s="47">
        <f t="shared" si="5"/>
        <v>7297.2710080901406</v>
      </c>
      <c r="O51" s="47">
        <f t="shared" si="5"/>
        <v>7442.3042693759326</v>
      </c>
      <c r="P51" s="47">
        <f t="shared" si="5"/>
        <v>7590.2200667297766</v>
      </c>
      <c r="Q51" s="47">
        <f t="shared" si="5"/>
        <v>7741.0756905560311</v>
      </c>
      <c r="R51" s="47">
        <f t="shared" si="5"/>
        <v>7894.9295699058302</v>
      </c>
      <c r="S51" s="47">
        <f t="shared" si="5"/>
        <v>8051.8412951077098</v>
      </c>
      <c r="T51" s="47">
        <f t="shared" si="5"/>
        <v>8211.8716408479777</v>
      </c>
      <c r="U51" s="47">
        <f t="shared" si="5"/>
        <v>8375.0825897098293</v>
      </c>
      <c r="V51" s="47">
        <f t="shared" si="5"/>
        <v>8541.5373561803135</v>
      </c>
      <c r="W51" s="47">
        <f t="shared" si="5"/>
        <v>8711.300411134398</v>
      </c>
      <c r="X51" s="47">
        <f t="shared" si="5"/>
        <v>8884.4375068056925</v>
      </c>
      <c r="Y51" s="47">
        <f t="shared" si="5"/>
        <v>9061.0157022534549</v>
      </c>
      <c r="Z51" s="47">
        <f t="shared" si="5"/>
        <v>9241.1033893357417</v>
      </c>
      <c r="AA51" s="47">
        <f t="shared" si="5"/>
        <v>9424.7703191987894</v>
      </c>
      <c r="AB51" s="47">
        <f t="shared" si="5"/>
        <v>9612.087629292866</v>
      </c>
      <c r="AC51" s="47"/>
      <c r="AD51" s="47"/>
    </row>
    <row r="52" spans="1:30" x14ac:dyDescent="0.3">
      <c r="A52" s="3"/>
      <c r="B52" s="3" t="s">
        <v>5</v>
      </c>
      <c r="C52" s="48"/>
      <c r="D52" s="48">
        <f>SUM(D50:D51)</f>
        <v>5993.6449690508844</v>
      </c>
      <c r="E52" s="48">
        <f t="shared" ref="E52:AB52" si="6">SUM(E50:E51)</f>
        <v>6112.7686628107695</v>
      </c>
      <c r="F52" s="48">
        <f t="shared" si="6"/>
        <v>6234.2599399841329</v>
      </c>
      <c r="G52" s="48">
        <f t="shared" si="6"/>
        <v>6358.1658562913181</v>
      </c>
      <c r="H52" s="48">
        <f t="shared" si="6"/>
        <v>6484.5344026851071</v>
      </c>
      <c r="I52" s="48">
        <f t="shared" si="6"/>
        <v>6613.4145239384725</v>
      </c>
      <c r="J52" s="48">
        <f t="shared" si="6"/>
        <v>6744.8561376017497</v>
      </c>
      <c r="K52" s="48">
        <f t="shared" si="6"/>
        <v>6878.9101533365847</v>
      </c>
      <c r="L52" s="48">
        <f t="shared" si="6"/>
        <v>7015.6284926341477</v>
      </c>
      <c r="M52" s="48">
        <f t="shared" si="6"/>
        <v>7155.0641089252513</v>
      </c>
      <c r="N52" s="48">
        <f t="shared" si="6"/>
        <v>7297.2710080901406</v>
      </c>
      <c r="O52" s="48">
        <f t="shared" si="6"/>
        <v>7442.3042693759326</v>
      </c>
      <c r="P52" s="48">
        <f t="shared" si="6"/>
        <v>7590.2200667297766</v>
      </c>
      <c r="Q52" s="48">
        <f t="shared" si="6"/>
        <v>7741.0756905560311</v>
      </c>
      <c r="R52" s="48">
        <f t="shared" si="6"/>
        <v>7894.9295699058302</v>
      </c>
      <c r="S52" s="48">
        <f t="shared" si="6"/>
        <v>8051.8412951077098</v>
      </c>
      <c r="T52" s="48">
        <f t="shared" si="6"/>
        <v>8211.8716408479777</v>
      </c>
      <c r="U52" s="48">
        <f t="shared" si="6"/>
        <v>8375.0825897098293</v>
      </c>
      <c r="V52" s="48">
        <f t="shared" si="6"/>
        <v>8541.5373561803135</v>
      </c>
      <c r="W52" s="48">
        <f t="shared" si="6"/>
        <v>8711.300411134398</v>
      </c>
      <c r="X52" s="48">
        <f t="shared" si="6"/>
        <v>8884.4375068056925</v>
      </c>
      <c r="Y52" s="48">
        <f t="shared" si="6"/>
        <v>9061.0157022534549</v>
      </c>
      <c r="Z52" s="48">
        <f t="shared" si="6"/>
        <v>9241.1033893357417</v>
      </c>
      <c r="AA52" s="48">
        <f t="shared" si="6"/>
        <v>9424.7703191987894</v>
      </c>
      <c r="AB52" s="48">
        <f t="shared" si="6"/>
        <v>9612.087629292866</v>
      </c>
      <c r="AC52" s="48"/>
      <c r="AD52" s="48"/>
    </row>
    <row r="53" spans="1:30" x14ac:dyDescent="0.3">
      <c r="C53" s="49"/>
      <c r="D53" s="38"/>
    </row>
    <row r="54" spans="1:30" x14ac:dyDescent="0.3">
      <c r="C54" s="49"/>
      <c r="D54" s="38"/>
      <c r="E54" s="38"/>
      <c r="F54" s="38"/>
      <c r="G54" s="38"/>
      <c r="H54" s="38"/>
    </row>
    <row r="55" spans="1:30" x14ac:dyDescent="0.3">
      <c r="B55" t="s">
        <v>63</v>
      </c>
      <c r="C55" s="49"/>
      <c r="D55" s="42">
        <f>$H$20*(1+$C$16)^(D42-1)*(D42&lt;=$C$19)</f>
        <v>400</v>
      </c>
      <c r="E55" s="42">
        <f t="shared" ref="E55:F55" si="7">$H$20*(1+$C$16)^(E42-1)*(E42&lt;=$C$19)</f>
        <v>409.99999999999994</v>
      </c>
      <c r="F55" s="42">
        <f t="shared" si="7"/>
        <v>420.24999999999994</v>
      </c>
      <c r="G55" s="42">
        <f>$I$20*(1+$C$16)^(G42-1)*(G42&lt;=$C$19)</f>
        <v>107.68906249999999</v>
      </c>
      <c r="H55" s="42">
        <f t="shared" ref="H55:AB55" si="8">$I$20*(1+$C$16)^(H42-1)*(H42&lt;=$C$19)</f>
        <v>110.38128906249997</v>
      </c>
      <c r="I55" s="42">
        <f t="shared" si="8"/>
        <v>113.14082128906247</v>
      </c>
      <c r="J55" s="42">
        <f t="shared" si="8"/>
        <v>115.96934182128902</v>
      </c>
      <c r="K55" s="42">
        <f t="shared" si="8"/>
        <v>118.86857536682125</v>
      </c>
      <c r="L55" s="42">
        <f t="shared" si="8"/>
        <v>121.84028975099177</v>
      </c>
      <c r="M55" s="42">
        <f t="shared" si="8"/>
        <v>124.88629699476654</v>
      </c>
      <c r="N55" s="42">
        <f t="shared" si="8"/>
        <v>128.00845441963571</v>
      </c>
      <c r="O55" s="42">
        <f t="shared" si="8"/>
        <v>131.20866578012661</v>
      </c>
      <c r="P55" s="42">
        <f t="shared" si="8"/>
        <v>134.48888242462976</v>
      </c>
      <c r="Q55" s="42">
        <f t="shared" si="8"/>
        <v>137.85110448524549</v>
      </c>
      <c r="R55" s="42">
        <f t="shared" si="8"/>
        <v>141.29738209737661</v>
      </c>
      <c r="S55" s="42">
        <f t="shared" si="8"/>
        <v>144.82981664981105</v>
      </c>
      <c r="T55" s="42">
        <f t="shared" si="8"/>
        <v>148.45056206605631</v>
      </c>
      <c r="U55" s="42">
        <f t="shared" si="8"/>
        <v>152.1618261177077</v>
      </c>
      <c r="V55" s="42">
        <f t="shared" si="8"/>
        <v>155.96587177065041</v>
      </c>
      <c r="W55" s="42">
        <f t="shared" si="8"/>
        <v>159.86501856491665</v>
      </c>
      <c r="X55" s="42">
        <f t="shared" si="8"/>
        <v>163.86164402903955</v>
      </c>
      <c r="Y55" s="42">
        <f t="shared" si="8"/>
        <v>167.95818512976552</v>
      </c>
      <c r="Z55" s="42">
        <f t="shared" si="8"/>
        <v>172.15713975800966</v>
      </c>
      <c r="AA55" s="42">
        <f t="shared" si="8"/>
        <v>176.46106825195992</v>
      </c>
      <c r="AB55" s="42">
        <f t="shared" si="8"/>
        <v>180.8725949582589</v>
      </c>
      <c r="AC55" s="42"/>
      <c r="AD55" s="42"/>
    </row>
    <row r="56" spans="1:30" x14ac:dyDescent="0.3">
      <c r="B56" t="s">
        <v>64</v>
      </c>
      <c r="C56" s="38"/>
      <c r="D56" s="42">
        <f t="shared" ref="D56:AB56" si="9">$C$7*$H$21*(1+$C$16)^(D42-1)*(D42&lt;=$C$19)</f>
        <v>0</v>
      </c>
      <c r="E56" s="42">
        <f t="shared" si="9"/>
        <v>0</v>
      </c>
      <c r="F56" s="42">
        <f t="shared" si="9"/>
        <v>0</v>
      </c>
      <c r="G56" s="42">
        <f t="shared" si="9"/>
        <v>0</v>
      </c>
      <c r="H56" s="42">
        <f t="shared" si="9"/>
        <v>0</v>
      </c>
      <c r="I56" s="42">
        <f t="shared" si="9"/>
        <v>0</v>
      </c>
      <c r="J56" s="42">
        <f t="shared" si="9"/>
        <v>0</v>
      </c>
      <c r="K56" s="42">
        <f t="shared" si="9"/>
        <v>0</v>
      </c>
      <c r="L56" s="42">
        <f t="shared" si="9"/>
        <v>0</v>
      </c>
      <c r="M56" s="42">
        <f t="shared" si="9"/>
        <v>0</v>
      </c>
      <c r="N56" s="42">
        <f t="shared" si="9"/>
        <v>0</v>
      </c>
      <c r="O56" s="42">
        <f t="shared" si="9"/>
        <v>0</v>
      </c>
      <c r="P56" s="42">
        <f t="shared" si="9"/>
        <v>0</v>
      </c>
      <c r="Q56" s="42">
        <f t="shared" si="9"/>
        <v>0</v>
      </c>
      <c r="R56" s="42">
        <f t="shared" si="9"/>
        <v>0</v>
      </c>
      <c r="S56" s="42">
        <f t="shared" si="9"/>
        <v>0</v>
      </c>
      <c r="T56" s="42">
        <f t="shared" si="9"/>
        <v>0</v>
      </c>
      <c r="U56" s="42">
        <f t="shared" si="9"/>
        <v>0</v>
      </c>
      <c r="V56" s="42">
        <f t="shared" si="9"/>
        <v>0</v>
      </c>
      <c r="W56" s="42">
        <f t="shared" si="9"/>
        <v>0</v>
      </c>
      <c r="X56" s="42">
        <f t="shared" si="9"/>
        <v>0</v>
      </c>
      <c r="Y56" s="42">
        <f t="shared" si="9"/>
        <v>0</v>
      </c>
      <c r="Z56" s="42">
        <f t="shared" si="9"/>
        <v>0</v>
      </c>
      <c r="AA56" s="42">
        <f t="shared" si="9"/>
        <v>0</v>
      </c>
      <c r="AB56" s="42">
        <f t="shared" si="9"/>
        <v>0</v>
      </c>
      <c r="AC56" s="42"/>
      <c r="AD56" s="42"/>
    </row>
    <row r="57" spans="1:30" x14ac:dyDescent="0.3">
      <c r="B57" t="s">
        <v>172</v>
      </c>
      <c r="C57" s="38"/>
      <c r="D57" s="42">
        <f>Summary!M11+Summary!W16+Summary!AB16+Summary!AG16+Summary!AL16+Summary!AQ16+Summary!AV16+Summary!BA16+Summary!BF16</f>
        <v>0</v>
      </c>
      <c r="E57" s="42">
        <f>D57*(1+$C$16)*(E$42&lt;=$C$19)</f>
        <v>0</v>
      </c>
      <c r="F57" s="42">
        <f t="shared" ref="F57:W57" si="10">E57*(1+$C$16)*(F$42&lt;=$C$19)</f>
        <v>0</v>
      </c>
      <c r="G57" s="42">
        <f t="shared" si="10"/>
        <v>0</v>
      </c>
      <c r="H57" s="42">
        <f t="shared" si="10"/>
        <v>0</v>
      </c>
      <c r="I57" s="42">
        <f t="shared" si="10"/>
        <v>0</v>
      </c>
      <c r="J57" s="42">
        <f t="shared" si="10"/>
        <v>0</v>
      </c>
      <c r="K57" s="42">
        <f t="shared" si="10"/>
        <v>0</v>
      </c>
      <c r="L57" s="42">
        <f t="shared" si="10"/>
        <v>0</v>
      </c>
      <c r="M57" s="42">
        <f t="shared" si="10"/>
        <v>0</v>
      </c>
      <c r="N57" s="42">
        <f t="shared" si="10"/>
        <v>0</v>
      </c>
      <c r="O57" s="42">
        <f t="shared" si="10"/>
        <v>0</v>
      </c>
      <c r="P57" s="42">
        <f t="shared" si="10"/>
        <v>0</v>
      </c>
      <c r="Q57" s="42">
        <f t="shared" si="10"/>
        <v>0</v>
      </c>
      <c r="R57" s="42">
        <f t="shared" si="10"/>
        <v>0</v>
      </c>
      <c r="S57" s="42">
        <f t="shared" si="10"/>
        <v>0</v>
      </c>
      <c r="T57" s="42">
        <f t="shared" si="10"/>
        <v>0</v>
      </c>
      <c r="U57" s="42">
        <f t="shared" si="10"/>
        <v>0</v>
      </c>
      <c r="V57" s="42">
        <f t="shared" si="10"/>
        <v>0</v>
      </c>
      <c r="W57" s="42">
        <f t="shared" si="10"/>
        <v>0</v>
      </c>
      <c r="X57" s="42"/>
      <c r="Y57" s="42"/>
      <c r="Z57" s="42"/>
      <c r="AA57" s="42"/>
      <c r="AB57" s="42"/>
      <c r="AC57" s="42"/>
      <c r="AD57" s="42"/>
    </row>
    <row r="58" spans="1:30" x14ac:dyDescent="0.3">
      <c r="B58" t="s">
        <v>65</v>
      </c>
      <c r="C58" s="42"/>
      <c r="D58" s="42">
        <f>$C$7*$H$22*(1+$C$16)^(D42-1)*(D42&lt;=$C$19)+($D$7*$H$22*(1+$C$16)^(D42-1)*(D42&lt;=$C$19))</f>
        <v>480</v>
      </c>
      <c r="E58" s="42">
        <f t="shared" ref="E58:AB58" si="11">$C$7*$H$22*(1+$C$16)^(E42-1)*(E42&lt;=$C$19)+($D$7*$H$22*(1+$C$16)^(E42-1)*(E42&lt;=$C$19))</f>
        <v>491.99999999999994</v>
      </c>
      <c r="F58" s="42">
        <f t="shared" si="11"/>
        <v>504.29999999999995</v>
      </c>
      <c r="G58" s="42">
        <f t="shared" si="11"/>
        <v>516.90749999999991</v>
      </c>
      <c r="H58" s="42">
        <f t="shared" si="11"/>
        <v>529.83018749999985</v>
      </c>
      <c r="I58" s="42">
        <f t="shared" si="11"/>
        <v>543.07594218749978</v>
      </c>
      <c r="J58" s="42">
        <f t="shared" si="11"/>
        <v>556.65284074218732</v>
      </c>
      <c r="K58" s="42">
        <f t="shared" si="11"/>
        <v>570.56916176074196</v>
      </c>
      <c r="L58" s="42">
        <f t="shared" si="11"/>
        <v>584.83339080476048</v>
      </c>
      <c r="M58" s="42">
        <f t="shared" si="11"/>
        <v>599.45422557487939</v>
      </c>
      <c r="N58" s="42">
        <f t="shared" si="11"/>
        <v>614.44058121425144</v>
      </c>
      <c r="O58" s="42">
        <f t="shared" si="11"/>
        <v>629.80159574460765</v>
      </c>
      <c r="P58" s="42">
        <f t="shared" si="11"/>
        <v>645.54663563822282</v>
      </c>
      <c r="Q58" s="42">
        <f t="shared" si="11"/>
        <v>661.68530152917833</v>
      </c>
      <c r="R58" s="42">
        <f t="shared" si="11"/>
        <v>678.22743406740778</v>
      </c>
      <c r="S58" s="42">
        <f t="shared" si="11"/>
        <v>695.18311991909309</v>
      </c>
      <c r="T58" s="42">
        <f t="shared" si="11"/>
        <v>712.5626979170703</v>
      </c>
      <c r="U58" s="42">
        <f t="shared" si="11"/>
        <v>730.37676536499691</v>
      </c>
      <c r="V58" s="42">
        <f t="shared" si="11"/>
        <v>748.6361844991219</v>
      </c>
      <c r="W58" s="42">
        <f t="shared" si="11"/>
        <v>767.35208911159998</v>
      </c>
      <c r="X58" s="42">
        <f t="shared" si="11"/>
        <v>786.53589133938988</v>
      </c>
      <c r="Y58" s="42">
        <f t="shared" si="11"/>
        <v>806.19928862287452</v>
      </c>
      <c r="Z58" s="42">
        <f t="shared" si="11"/>
        <v>826.35427083844638</v>
      </c>
      <c r="AA58" s="42">
        <f t="shared" si="11"/>
        <v>847.01312760940755</v>
      </c>
      <c r="AB58" s="42">
        <f t="shared" si="11"/>
        <v>868.18845579964272</v>
      </c>
      <c r="AC58" s="42"/>
      <c r="AD58" s="42"/>
    </row>
    <row r="59" spans="1:30" x14ac:dyDescent="0.3">
      <c r="B59" t="s">
        <v>66</v>
      </c>
      <c r="C59" s="42"/>
      <c r="D59" s="42">
        <f>((($C$7+$D$7)*($H$24))+($H$25*D44)+$H$26)*((1+$C$16)^(D42-1))*(D42&lt;=$C$19)</f>
        <v>58.320000000000007</v>
      </c>
      <c r="E59" s="42">
        <f t="shared" ref="E59:AB59" si="12">((($C$7+$D$7)*($H$24))+($H$25*E44)+$H$26)*((1+$C$16)^(E42-1))*(E42&lt;=$C$19)</f>
        <v>59.778000000000006</v>
      </c>
      <c r="F59" s="42">
        <f t="shared" si="12"/>
        <v>61.272450000000006</v>
      </c>
      <c r="G59" s="42">
        <f t="shared" si="12"/>
        <v>62.804261250000003</v>
      </c>
      <c r="H59" s="42">
        <f t="shared" si="12"/>
        <v>64.374367781250001</v>
      </c>
      <c r="I59" s="42">
        <f t="shared" si="12"/>
        <v>65.983726975781238</v>
      </c>
      <c r="J59" s="42">
        <f t="shared" si="12"/>
        <v>67.633320150175763</v>
      </c>
      <c r="K59" s="42">
        <f t="shared" si="12"/>
        <v>69.324153153930155</v>
      </c>
      <c r="L59" s="42">
        <f t="shared" si="12"/>
        <v>71.057256982778412</v>
      </c>
      <c r="M59" s="42">
        <f t="shared" si="12"/>
        <v>72.833688407347864</v>
      </c>
      <c r="N59" s="42">
        <f t="shared" si="12"/>
        <v>74.654530617531549</v>
      </c>
      <c r="O59" s="42">
        <f t="shared" si="12"/>
        <v>76.520893882969844</v>
      </c>
      <c r="P59" s="42">
        <f t="shared" si="12"/>
        <v>78.433916230044076</v>
      </c>
      <c r="Q59" s="42">
        <f t="shared" si="12"/>
        <v>80.394764135795185</v>
      </c>
      <c r="R59" s="42">
        <f t="shared" si="12"/>
        <v>82.404633239190048</v>
      </c>
      <c r="S59" s="42">
        <f t="shared" si="12"/>
        <v>84.464749070169816</v>
      </c>
      <c r="T59" s="42">
        <f t="shared" si="12"/>
        <v>86.576367796924046</v>
      </c>
      <c r="U59" s="42">
        <f t="shared" si="12"/>
        <v>88.740776991847142</v>
      </c>
      <c r="V59" s="42">
        <f t="shared" si="12"/>
        <v>90.959296416643326</v>
      </c>
      <c r="W59" s="42">
        <f t="shared" si="12"/>
        <v>93.233278827059408</v>
      </c>
      <c r="X59" s="42">
        <f t="shared" si="12"/>
        <v>95.564110797735879</v>
      </c>
      <c r="Y59" s="42">
        <f t="shared" si="12"/>
        <v>97.953213567679271</v>
      </c>
      <c r="Z59" s="42">
        <f t="shared" si="12"/>
        <v>100.40204390687124</v>
      </c>
      <c r="AA59" s="42">
        <f t="shared" si="12"/>
        <v>102.91209500454303</v>
      </c>
      <c r="AB59" s="42">
        <f t="shared" si="12"/>
        <v>105.4848973796566</v>
      </c>
      <c r="AC59" s="42"/>
      <c r="AD59" s="42"/>
    </row>
    <row r="60" spans="1:30" x14ac:dyDescent="0.3">
      <c r="B60" t="s">
        <v>178</v>
      </c>
      <c r="C60" s="42"/>
      <c r="D60" s="42">
        <f>Summary!O12</f>
        <v>480</v>
      </c>
      <c r="E60" s="42">
        <f>D60*(E$42&lt;=Summary!$O$13)</f>
        <v>480</v>
      </c>
      <c r="F60" s="42">
        <f>E60*(F$42&lt;=Summary!$O$13)</f>
        <v>480</v>
      </c>
      <c r="G60" s="42">
        <f>F60*(G$42&lt;=Summary!$O$13)</f>
        <v>480</v>
      </c>
      <c r="H60" s="42">
        <f>G60*(H$42&lt;=Summary!$O$13)</f>
        <v>480</v>
      </c>
      <c r="I60" s="42">
        <f>H60*(I$42&lt;=Summary!$O$13)</f>
        <v>480</v>
      </c>
      <c r="J60" s="42">
        <f>I60*(J$42&lt;=Summary!$O$13)</f>
        <v>480</v>
      </c>
      <c r="K60" s="42">
        <f>J60*(K$42&lt;=Summary!$O$13)</f>
        <v>480</v>
      </c>
      <c r="L60" s="42">
        <f>K60*(L$42&lt;=Summary!$O$13)</f>
        <v>480</v>
      </c>
      <c r="M60" s="42">
        <f>L60*(M$42&lt;=Summary!$O$13)</f>
        <v>480</v>
      </c>
      <c r="N60" s="42">
        <f>M60*(N$42&lt;=Summary!$O$13)</f>
        <v>0</v>
      </c>
      <c r="O60" s="42">
        <f>N60*(O$42&lt;=Summary!$O$13)</f>
        <v>0</v>
      </c>
      <c r="P60" s="42">
        <f>O60*(P$42&lt;=Summary!$O$13)</f>
        <v>0</v>
      </c>
      <c r="Q60" s="42">
        <f>P60*(Q$42&lt;=Summary!$O$13)</f>
        <v>0</v>
      </c>
      <c r="R60" s="42">
        <f>Q60*(R$42&lt;=Summary!$O$13)</f>
        <v>0</v>
      </c>
      <c r="S60" s="42">
        <f>R60*(S$42&lt;=Summary!$O$13)</f>
        <v>0</v>
      </c>
      <c r="T60" s="42">
        <f>S60*(T$42&lt;=Summary!$O$13)</f>
        <v>0</v>
      </c>
      <c r="U60" s="42">
        <f>T60*(U$42&lt;=Summary!$O$13)</f>
        <v>0</v>
      </c>
      <c r="V60" s="42">
        <f>U60*(V$42&lt;=Summary!$O$13)</f>
        <v>0</v>
      </c>
      <c r="W60" s="42">
        <f>V60*(W$42&lt;=Summary!$O$13)</f>
        <v>0</v>
      </c>
      <c r="X60" s="42">
        <f>W60*(X$42&lt;=Summary!$O$13)</f>
        <v>0</v>
      </c>
      <c r="Y60" s="42">
        <f>X60*(Y$42&lt;=Summary!$O$13)</f>
        <v>0</v>
      </c>
      <c r="Z60" s="42">
        <f>Y60*(Z$42&lt;=Summary!$O$13)</f>
        <v>0</v>
      </c>
      <c r="AA60" s="42">
        <f>Z60*(AA$42&lt;=Summary!$O$13)</f>
        <v>0</v>
      </c>
      <c r="AB60" s="42">
        <f>AA60*(AB$42&lt;=Summary!$O$13)</f>
        <v>0</v>
      </c>
      <c r="AC60" s="42"/>
      <c r="AD60" s="42"/>
    </row>
    <row r="61" spans="1:30" x14ac:dyDescent="0.3">
      <c r="B61" t="s">
        <v>67</v>
      </c>
      <c r="C61" s="42"/>
      <c r="D61" s="42">
        <f t="shared" ref="D61:AB61" si="13">(($C$7+$D$7)*$H$23)*((1+$C$16)^(D42-1))*(D42&lt;=$C$19)</f>
        <v>180</v>
      </c>
      <c r="E61" s="42">
        <f t="shared" si="13"/>
        <v>184.49999999999997</v>
      </c>
      <c r="F61" s="42">
        <f t="shared" si="13"/>
        <v>189.11249999999998</v>
      </c>
      <c r="G61" s="42">
        <f t="shared" si="13"/>
        <v>193.84031249999998</v>
      </c>
      <c r="H61" s="42">
        <f t="shared" si="13"/>
        <v>198.68632031249996</v>
      </c>
      <c r="I61" s="42">
        <f t="shared" si="13"/>
        <v>203.65347832031244</v>
      </c>
      <c r="J61" s="42">
        <f t="shared" si="13"/>
        <v>208.74481527832023</v>
      </c>
      <c r="K61" s="42">
        <f t="shared" si="13"/>
        <v>213.96343566027824</v>
      </c>
      <c r="L61" s="42">
        <f t="shared" si="13"/>
        <v>219.31252155178518</v>
      </c>
      <c r="M61" s="42">
        <f t="shared" si="13"/>
        <v>224.79533459057978</v>
      </c>
      <c r="N61" s="42">
        <f t="shared" si="13"/>
        <v>230.41521795534427</v>
      </c>
      <c r="O61" s="42">
        <f t="shared" si="13"/>
        <v>236.17559840422788</v>
      </c>
      <c r="P61" s="42">
        <f t="shared" si="13"/>
        <v>242.07998836433356</v>
      </c>
      <c r="Q61" s="42">
        <f t="shared" si="13"/>
        <v>248.13198807344187</v>
      </c>
      <c r="R61" s="42">
        <f t="shared" si="13"/>
        <v>254.33528777527789</v>
      </c>
      <c r="S61" s="42">
        <f t="shared" si="13"/>
        <v>260.69366996965988</v>
      </c>
      <c r="T61" s="42">
        <f t="shared" si="13"/>
        <v>267.21101171890137</v>
      </c>
      <c r="U61" s="42">
        <f t="shared" si="13"/>
        <v>273.89128701187389</v>
      </c>
      <c r="V61" s="42">
        <f t="shared" si="13"/>
        <v>280.7385691871707</v>
      </c>
      <c r="W61" s="42">
        <f t="shared" si="13"/>
        <v>287.75703341684999</v>
      </c>
      <c r="X61" s="42">
        <f t="shared" si="13"/>
        <v>294.95095925227122</v>
      </c>
      <c r="Y61" s="42">
        <f t="shared" si="13"/>
        <v>302.32473323357794</v>
      </c>
      <c r="Z61" s="42">
        <f t="shared" si="13"/>
        <v>309.88285156441736</v>
      </c>
      <c r="AA61" s="42">
        <f t="shared" si="13"/>
        <v>317.62992285352783</v>
      </c>
      <c r="AB61" s="42">
        <f t="shared" si="13"/>
        <v>325.57067092486602</v>
      </c>
      <c r="AC61" s="42"/>
      <c r="AD61" s="42"/>
    </row>
    <row r="62" spans="1:30" x14ac:dyDescent="0.3">
      <c r="B62" t="s">
        <v>188</v>
      </c>
      <c r="C62" s="42"/>
      <c r="D62" s="42">
        <f>Summary!Q16*((1+Summary!$R$16)^(D42-1))*(D42&lt;=$C$19)</f>
        <v>0</v>
      </c>
      <c r="E62" s="42">
        <f>D62*(1+Summary!$R$16)*(E$42&lt;=$C$19)</f>
        <v>0</v>
      </c>
      <c r="F62" s="42">
        <f>E62*(1+Summary!$R$16)*(F$42&lt;=$C$19)</f>
        <v>0</v>
      </c>
      <c r="G62" s="42">
        <f>F62*(1+Summary!$R$16)*(G$42&lt;=$C$19)</f>
        <v>0</v>
      </c>
      <c r="H62" s="42">
        <f>G62*(1+Summary!$R$16)*(H$42&lt;=$C$19)</f>
        <v>0</v>
      </c>
      <c r="I62" s="42">
        <f>H62*(1+Summary!$R$16)*(I$42&lt;=$C$19)</f>
        <v>0</v>
      </c>
      <c r="J62" s="42">
        <f>I62*(1+Summary!$R$16)*(J$42&lt;=$C$19)</f>
        <v>0</v>
      </c>
      <c r="K62" s="42">
        <f>J62*(1+Summary!$R$16)*(K$42&lt;=$C$19)</f>
        <v>0</v>
      </c>
      <c r="L62" s="42">
        <f>K62*(1+Summary!$R$16)*(L$42&lt;=$C$19)</f>
        <v>0</v>
      </c>
      <c r="M62" s="42">
        <f>L62*(1+Summary!$R$16)*(M$42&lt;=$C$19)</f>
        <v>0</v>
      </c>
      <c r="N62" s="42">
        <f>M62*(1+Summary!$R$16)*(N$42&lt;=$C$19)</f>
        <v>0</v>
      </c>
      <c r="O62" s="42">
        <f>N62*(1+Summary!$R$16)*(O$42&lt;=$C$19)</f>
        <v>0</v>
      </c>
      <c r="P62" s="42">
        <f>O62*(1+Summary!$R$16)*(P$42&lt;=$C$19)</f>
        <v>0</v>
      </c>
      <c r="Q62" s="42">
        <f>P62*(1+Summary!$R$16)*(Q$42&lt;=$C$19)</f>
        <v>0</v>
      </c>
      <c r="R62" s="42">
        <f>Q62*(1+Summary!$R$16)*(R$42&lt;=$C$19)</f>
        <v>0</v>
      </c>
      <c r="S62" s="42">
        <f>R62*(1+Summary!$R$16)*(S$42&lt;=$C$19)</f>
        <v>0</v>
      </c>
      <c r="T62" s="42">
        <f>S62*(1+Summary!$R$16)*(T$42&lt;=$C$19)</f>
        <v>0</v>
      </c>
      <c r="U62" s="42">
        <f>T62*(1+Summary!$R$16)*(U$42&lt;=$C$19)</f>
        <v>0</v>
      </c>
      <c r="V62" s="42">
        <f>U62*(1+Summary!$R$16)*(V$42&lt;=$C$19)</f>
        <v>0</v>
      </c>
      <c r="W62" s="42">
        <f>V62*(1+Summary!$R$16)*(W$42&lt;=$C$19)</f>
        <v>0</v>
      </c>
      <c r="X62" s="42">
        <f>W62*(1+Summary!$R$16)*(X$42&lt;=$C$19)</f>
        <v>0</v>
      </c>
      <c r="Y62" s="42">
        <f>X62*(1+Summary!$R$16)*(Y$42&lt;=$C$19)</f>
        <v>0</v>
      </c>
      <c r="Z62" s="42">
        <f>Y62*(1+Summary!$R$16)*(Z$42&lt;=$C$19)</f>
        <v>0</v>
      </c>
      <c r="AA62" s="42">
        <f>Z62*(1+Summary!$R$16)*(AA$42&lt;=$C$19)</f>
        <v>0</v>
      </c>
      <c r="AB62" s="42">
        <f>AA62*(1+Summary!$R$16)*(AB$42&lt;=$C$19)</f>
        <v>0</v>
      </c>
      <c r="AC62" s="42"/>
      <c r="AD62" s="42"/>
    </row>
    <row r="63" spans="1:30" x14ac:dyDescent="0.3">
      <c r="B63" t="s">
        <v>217</v>
      </c>
      <c r="C63" s="42"/>
      <c r="D63" s="42">
        <f>Summary!Q17*((1+Summary!$R$17)^(D42-1))*(D42&lt;=$C$19)</f>
        <v>0</v>
      </c>
      <c r="E63" s="42">
        <f>D63*(1+Summary!$R$17)*(E$42&lt;=$C$19)</f>
        <v>0</v>
      </c>
      <c r="F63" s="42">
        <f>E63*(1+Summary!$R$17)*(F$42&lt;=$C$19)</f>
        <v>0</v>
      </c>
      <c r="G63" s="42">
        <f>F63*(1+Summary!$R$17)*(G$42&lt;=$C$19)</f>
        <v>0</v>
      </c>
      <c r="H63" s="42">
        <f>G63*(1+Summary!$R$17)*(H$42&lt;=$C$19)</f>
        <v>0</v>
      </c>
      <c r="I63" s="42">
        <f>H63*(1+Summary!$R$17)*(I$42&lt;=$C$19)</f>
        <v>0</v>
      </c>
      <c r="J63" s="42">
        <f>I63*(1+Summary!$R$17)*(J$42&lt;=$C$19)</f>
        <v>0</v>
      </c>
      <c r="K63" s="42">
        <f>J63*(1+Summary!$R$17)*(K$42&lt;=$C$19)</f>
        <v>0</v>
      </c>
      <c r="L63" s="42">
        <f>K63*(1+Summary!$R$17)*(L$42&lt;=$C$19)</f>
        <v>0</v>
      </c>
      <c r="M63" s="42">
        <f>L63*(1+Summary!$R$17)*(M$42&lt;=$C$19)</f>
        <v>0</v>
      </c>
      <c r="N63" s="42">
        <f>M63*(1+Summary!$R$17)*(N$42&lt;=$C$19)</f>
        <v>0</v>
      </c>
      <c r="O63" s="42">
        <f>N63*(1+Summary!$R$17)*(O$42&lt;=$C$19)</f>
        <v>0</v>
      </c>
      <c r="P63" s="42">
        <f>O63*(1+Summary!$R$17)*(P$42&lt;=$C$19)</f>
        <v>0</v>
      </c>
      <c r="Q63" s="42">
        <f>P63*(1+Summary!$R$17)*(Q$42&lt;=$C$19)</f>
        <v>0</v>
      </c>
      <c r="R63" s="42">
        <f>Q63*(1+Summary!$R$17)*(R$42&lt;=$C$19)</f>
        <v>0</v>
      </c>
      <c r="S63" s="42">
        <f>R63*(1+Summary!$R$17)*(S$42&lt;=$C$19)</f>
        <v>0</v>
      </c>
      <c r="T63" s="42">
        <f>S63*(1+Summary!$R$17)*(T$42&lt;=$C$19)</f>
        <v>0</v>
      </c>
      <c r="U63" s="42">
        <f>T63*(1+Summary!$R$17)*(U$42&lt;=$C$19)</f>
        <v>0</v>
      </c>
      <c r="V63" s="42">
        <f>U63*(1+Summary!$R$17)*(V$42&lt;=$C$19)</f>
        <v>0</v>
      </c>
      <c r="W63" s="42">
        <f>V63*(1+Summary!$R$17)*(W$42&lt;=$C$19)</f>
        <v>0</v>
      </c>
      <c r="X63" s="42">
        <f>W63*(1+Summary!$R$17)*(X$42&lt;=$C$19)</f>
        <v>0</v>
      </c>
      <c r="Y63" s="42">
        <f>X63*(1+Summary!$R$17)*(Y$42&lt;=$C$19)</f>
        <v>0</v>
      </c>
      <c r="Z63" s="42">
        <f>Y63*(1+Summary!$R$17)*(Z$42&lt;=$C$19)</f>
        <v>0</v>
      </c>
      <c r="AA63" s="42">
        <f>Z63*(1+Summary!$R$17)*(AA$42&lt;=$C$19)</f>
        <v>0</v>
      </c>
      <c r="AB63" s="42">
        <f>AA63*(1+Summary!$R$17)*(AB$42&lt;=$C$19)</f>
        <v>0</v>
      </c>
      <c r="AC63" s="42"/>
      <c r="AD63" s="42"/>
    </row>
    <row r="64" spans="1:30" x14ac:dyDescent="0.3">
      <c r="B64" t="s">
        <v>219</v>
      </c>
      <c r="C64" s="42"/>
      <c r="D64" s="42">
        <f>Summary!Q18*((1+Summary!$R$18)^(D42-1))*(D42&lt;=$C$19)</f>
        <v>0</v>
      </c>
      <c r="E64" s="42">
        <f>D64*(1+Summary!$R$18)*(E$42&lt;=$C$19)</f>
        <v>0</v>
      </c>
      <c r="F64" s="42">
        <f>E64*(1+Summary!$R$18)*(F$42&lt;=$C$19)</f>
        <v>0</v>
      </c>
      <c r="G64" s="42">
        <f>F64*(1+Summary!$R$18)*(G$42&lt;=$C$19)</f>
        <v>0</v>
      </c>
      <c r="H64" s="42">
        <f>G64*(1+Summary!$R$18)*(H$42&lt;=$C$19)</f>
        <v>0</v>
      </c>
      <c r="I64" s="42">
        <f>H64*(1+Summary!$R$18)*(I$42&lt;=$C$19)</f>
        <v>0</v>
      </c>
      <c r="J64" s="42">
        <f>I64*(1+Summary!$R$18)*(J$42&lt;=$C$19)</f>
        <v>0</v>
      </c>
      <c r="K64" s="42">
        <f>J64*(1+Summary!$R$18)*(K$42&lt;=$C$19)</f>
        <v>0</v>
      </c>
      <c r="L64" s="42">
        <f>K64*(1+Summary!$R$18)*(L$42&lt;=$C$19)</f>
        <v>0</v>
      </c>
      <c r="M64" s="42">
        <f>L64*(1+Summary!$R$18)*(M$42&lt;=$C$19)</f>
        <v>0</v>
      </c>
      <c r="N64" s="42">
        <f>M64*(1+Summary!$R$18)*(N$42&lt;=$C$19)</f>
        <v>0</v>
      </c>
      <c r="O64" s="42">
        <f>N64*(1+Summary!$R$18)*(O$42&lt;=$C$19)</f>
        <v>0</v>
      </c>
      <c r="P64" s="42">
        <f>O64*(1+Summary!$R$18)*(P$42&lt;=$C$19)</f>
        <v>0</v>
      </c>
      <c r="Q64" s="42">
        <f>P64*(1+Summary!$R$18)*(Q$42&lt;=$C$19)</f>
        <v>0</v>
      </c>
      <c r="R64" s="42">
        <f>Q64*(1+Summary!$R$18)*(R$42&lt;=$C$19)</f>
        <v>0</v>
      </c>
      <c r="S64" s="42">
        <f>R64*(1+Summary!$R$18)*(S$42&lt;=$C$19)</f>
        <v>0</v>
      </c>
      <c r="T64" s="42">
        <f>S64*(1+Summary!$R$18)*(T$42&lt;=$C$19)</f>
        <v>0</v>
      </c>
      <c r="U64" s="42">
        <f>T64*(1+Summary!$R$18)*(U$42&lt;=$C$19)</f>
        <v>0</v>
      </c>
      <c r="V64" s="42">
        <f>U64*(1+Summary!$R$18)*(V$42&lt;=$C$19)</f>
        <v>0</v>
      </c>
      <c r="W64" s="42">
        <f>V64*(1+Summary!$R$18)*(W$42&lt;=$C$19)</f>
        <v>0</v>
      </c>
      <c r="X64" s="42">
        <f>W64*(1+Summary!$R$18)*(X$42&lt;=$C$19)</f>
        <v>0</v>
      </c>
      <c r="Y64" s="42">
        <f>X64*(1+Summary!$R$18)*(Y$42&lt;=$C$19)</f>
        <v>0</v>
      </c>
      <c r="Z64" s="42">
        <f>Y64*(1+Summary!$R$18)*(Z$42&lt;=$C$19)</f>
        <v>0</v>
      </c>
      <c r="AA64" s="42">
        <f>Z64*(1+Summary!$R$18)*(AA$42&lt;=$C$19)</f>
        <v>0</v>
      </c>
      <c r="AB64" s="42">
        <f>AA64*(1+Summary!$R$18)*(AB$42&lt;=$C$19)</f>
        <v>0</v>
      </c>
      <c r="AC64" s="42"/>
      <c r="AD64" s="42"/>
    </row>
    <row r="65" spans="1:30" x14ac:dyDescent="0.3">
      <c r="B65" t="s">
        <v>222</v>
      </c>
      <c r="C65" s="42"/>
      <c r="D65" s="42">
        <f>Summary!$Q$27*((1+Summary!$R$18)^(D42-1))*(D42&lt;=$C$19)</f>
        <v>0</v>
      </c>
      <c r="E65" s="42">
        <f>D65*(1+Summary!$R$27)*((1+Summary!$R$18)^(E42-1))*(E42&lt;=$C$19)</f>
        <v>0</v>
      </c>
      <c r="F65" s="42">
        <f>E65*(1+Summary!$R$27)*((1+Summary!$R$18)^(F42-1))*(F42&lt;=$C$19)</f>
        <v>0</v>
      </c>
      <c r="G65" s="42">
        <f>F65*(1+Summary!$R$27)*((1+Summary!$R$18)^(G42-1))*(G42&lt;=$C$19)</f>
        <v>0</v>
      </c>
      <c r="H65" s="42">
        <f>G65*(1+Summary!$R$27)*((1+Summary!$R$18)^(H42-1))*(H42&lt;=$C$19)</f>
        <v>0</v>
      </c>
      <c r="I65" s="42">
        <f>H65*(1+Summary!$R$27)*((1+Summary!$R$18)^(I42-1))*(I42&lt;=$C$19)</f>
        <v>0</v>
      </c>
      <c r="J65" s="42">
        <f>I65*(1+Summary!$R$27)*((1+Summary!$R$18)^(J42-1))*(J42&lt;=$C$19)</f>
        <v>0</v>
      </c>
      <c r="K65" s="42">
        <f>J65*(1+Summary!$R$27)*((1+Summary!$R$18)^(K42-1))*(K42&lt;=$C$19)</f>
        <v>0</v>
      </c>
      <c r="L65" s="42">
        <f>K65*(1+Summary!$R$27)*((1+Summary!$R$18)^(L42-1))*(L42&lt;=$C$19)</f>
        <v>0</v>
      </c>
      <c r="M65" s="42">
        <f>L65*(1+Summary!$R$27)*((1+Summary!$R$18)^(M42-1))*(M42&lt;=$C$19)</f>
        <v>0</v>
      </c>
      <c r="N65" s="42">
        <f>M65*(1+Summary!$R$27)*((1+Summary!$R$18)^(N42-1))*(N42&lt;=$C$19)</f>
        <v>0</v>
      </c>
      <c r="O65" s="42">
        <f>N65*(1+Summary!$R$27)*((1+Summary!$R$18)^(O42-1))*(O42&lt;=$C$19)</f>
        <v>0</v>
      </c>
      <c r="P65" s="42">
        <f>O65*(1+Summary!$R$27)*((1+Summary!$R$18)^(P42-1))*(P42&lt;=$C$19)</f>
        <v>0</v>
      </c>
      <c r="Q65" s="42">
        <f>P65*(1+Summary!$R$27)*((1+Summary!$R$18)^(Q42-1))*(Q42&lt;=$C$19)</f>
        <v>0</v>
      </c>
      <c r="R65" s="42">
        <f>Q65*(1+Summary!$R$27)*((1+Summary!$R$18)^(R42-1))*(R42&lt;=$C$19)</f>
        <v>0</v>
      </c>
      <c r="S65" s="42">
        <f>R65*(1+Summary!$R$27)*((1+Summary!$R$18)^(S42-1))*(S42&lt;=$C$19)</f>
        <v>0</v>
      </c>
      <c r="T65" s="42">
        <f>S65*(1+Summary!$R$27)*((1+Summary!$R$18)^(T42-1))*(T42&lt;=$C$19)</f>
        <v>0</v>
      </c>
      <c r="U65" s="42">
        <f>T65*(1+Summary!$R$27)*((1+Summary!$R$18)^(U42-1))*(U42&lt;=$C$19)</f>
        <v>0</v>
      </c>
      <c r="V65" s="42">
        <f>U65*(1+Summary!$R$27)*((1+Summary!$R$18)^(V42-1))*(V42&lt;=$C$19)</f>
        <v>0</v>
      </c>
      <c r="W65" s="42">
        <f>V65*(1+Summary!$R$27)*((1+Summary!$R$18)^(W42-1))*(W42&lt;=$C$19)</f>
        <v>0</v>
      </c>
      <c r="X65" s="42">
        <f>W65*(1+Summary!$R$27)*((1+Summary!$R$18)^(X42-1))*(X42&lt;=$C$19)</f>
        <v>0</v>
      </c>
      <c r="Y65" s="42">
        <f>X65*(1+Summary!$R$27)*((1+Summary!$R$18)^(Y42-1))*(Y42&lt;=$C$19)</f>
        <v>0</v>
      </c>
      <c r="Z65" s="42">
        <f>Y65*(1+Summary!$R$27)*((1+Summary!$R$18)^(Z42-1))*(Z42&lt;=$C$19)</f>
        <v>0</v>
      </c>
      <c r="AA65" s="42">
        <f>Z65*(1+Summary!$R$27)*((1+Summary!$R$18)^(AA42-1))*(AA42&lt;=$C$19)</f>
        <v>0</v>
      </c>
      <c r="AB65" s="42">
        <f>AA65*(1+Summary!$R$27)*((1+Summary!$R$18)^(AB42-1))*(AB42&lt;=$C$19)</f>
        <v>0</v>
      </c>
      <c r="AC65" s="42"/>
      <c r="AD65" s="42"/>
    </row>
    <row r="66" spans="1:30" x14ac:dyDescent="0.3">
      <c r="A66" s="3"/>
      <c r="B66" s="50" t="s">
        <v>68</v>
      </c>
      <c r="C66" s="51"/>
      <c r="D66" s="51">
        <f t="shared" ref="D66:AB66" si="14">D52-SUM(D55:D65)</f>
        <v>4395.3249690508837</v>
      </c>
      <c r="E66" s="51">
        <f t="shared" si="14"/>
        <v>4486.4906628107692</v>
      </c>
      <c r="F66" s="51">
        <f t="shared" si="14"/>
        <v>4579.324989984133</v>
      </c>
      <c r="G66" s="51">
        <f t="shared" si="14"/>
        <v>4996.9247200413183</v>
      </c>
      <c r="H66" s="51">
        <f t="shared" si="14"/>
        <v>5101.2622380288576</v>
      </c>
      <c r="I66" s="51">
        <f t="shared" si="14"/>
        <v>5207.5605551658164</v>
      </c>
      <c r="J66" s="51">
        <f t="shared" si="14"/>
        <v>5315.8558196097774</v>
      </c>
      <c r="K66" s="51">
        <f t="shared" si="14"/>
        <v>5426.1848273948126</v>
      </c>
      <c r="L66" s="51">
        <f t="shared" si="14"/>
        <v>5538.5850335438317</v>
      </c>
      <c r="M66" s="51">
        <f t="shared" si="14"/>
        <v>5653.0945633576775</v>
      </c>
      <c r="N66" s="51">
        <f t="shared" si="14"/>
        <v>6249.7522238833772</v>
      </c>
      <c r="O66" s="51">
        <f t="shared" si="14"/>
        <v>6368.5975155640008</v>
      </c>
      <c r="P66" s="51">
        <f t="shared" si="14"/>
        <v>6489.6706440725466</v>
      </c>
      <c r="Q66" s="51">
        <f t="shared" si="14"/>
        <v>6613.01253233237</v>
      </c>
      <c r="R66" s="51">
        <f t="shared" si="14"/>
        <v>6738.6648327265775</v>
      </c>
      <c r="S66" s="51">
        <f t="shared" si="14"/>
        <v>6866.6699394989755</v>
      </c>
      <c r="T66" s="51">
        <f t="shared" si="14"/>
        <v>6997.0710013490261</v>
      </c>
      <c r="U66" s="51">
        <f t="shared" si="14"/>
        <v>7129.9119342234035</v>
      </c>
      <c r="V66" s="51">
        <f t="shared" si="14"/>
        <v>7265.2374343067277</v>
      </c>
      <c r="W66" s="51">
        <f t="shared" si="14"/>
        <v>7403.0929912139718</v>
      </c>
      <c r="X66" s="51">
        <f t="shared" si="14"/>
        <v>7543.5249013872563</v>
      </c>
      <c r="Y66" s="51">
        <f t="shared" si="14"/>
        <v>7686.5802816995574</v>
      </c>
      <c r="Z66" s="51">
        <f t="shared" si="14"/>
        <v>7832.3070832679969</v>
      </c>
      <c r="AA66" s="51">
        <f t="shared" si="14"/>
        <v>7980.754105479351</v>
      </c>
      <c r="AB66" s="51">
        <f t="shared" si="14"/>
        <v>8131.9710102304416</v>
      </c>
      <c r="AC66" s="51"/>
      <c r="AD66" s="51"/>
    </row>
    <row r="67" spans="1:30" x14ac:dyDescent="0.3">
      <c r="C67" s="52"/>
      <c r="D67" s="52">
        <v>0</v>
      </c>
      <c r="E67" s="52">
        <f t="shared" ref="E67:AB67" si="15">IF(ISERR(E66/E52),"n/a",E66/E52)</f>
        <v>0.73395394301537231</v>
      </c>
      <c r="F67" s="52">
        <f t="shared" si="15"/>
        <v>0.73454187571071794</v>
      </c>
      <c r="G67" s="52">
        <f t="shared" si="15"/>
        <v>0.78590663297921515</v>
      </c>
      <c r="H67" s="52">
        <f t="shared" si="15"/>
        <v>0.78668134383195409</v>
      </c>
      <c r="I67" s="52">
        <f t="shared" si="15"/>
        <v>0.78742388463872803</v>
      </c>
      <c r="J67" s="52">
        <f t="shared" si="15"/>
        <v>0.78813479652657525</v>
      </c>
      <c r="K67" s="52">
        <f t="shared" si="15"/>
        <v>0.78881460964610295</v>
      </c>
      <c r="L67" s="52">
        <f t="shared" si="15"/>
        <v>0.78946384338322728</v>
      </c>
      <c r="M67" s="52">
        <f t="shared" si="15"/>
        <v>0.79008300656677388</v>
      </c>
      <c r="N67" s="52">
        <f t="shared" si="15"/>
        <v>0.8564506124213519</v>
      </c>
      <c r="O67" s="52">
        <f t="shared" si="15"/>
        <v>0.85572925871492667</v>
      </c>
      <c r="P67" s="52">
        <f t="shared" si="15"/>
        <v>0.85500428011550411</v>
      </c>
      <c r="Q67" s="52">
        <f t="shared" si="15"/>
        <v>0.85427565840754183</v>
      </c>
      <c r="R67" s="52">
        <f t="shared" si="15"/>
        <v>0.85354337528396163</v>
      </c>
      <c r="S67" s="52">
        <f t="shared" si="15"/>
        <v>0.85280741234569002</v>
      </c>
      <c r="T67" s="52">
        <f t="shared" si="15"/>
        <v>0.85206775110119615</v>
      </c>
      <c r="U67" s="52">
        <f t="shared" si="15"/>
        <v>0.85132437296602625</v>
      </c>
      <c r="V67" s="52">
        <f t="shared" si="15"/>
        <v>0.85057725926233796</v>
      </c>
      <c r="W67" s="52">
        <f t="shared" si="15"/>
        <v>0.84982639121843007</v>
      </c>
      <c r="X67" s="52">
        <f t="shared" si="15"/>
        <v>0.84907174996827151</v>
      </c>
      <c r="Y67" s="52">
        <f t="shared" si="15"/>
        <v>0.8483133165510266</v>
      </c>
      <c r="Z67" s="52">
        <f t="shared" si="15"/>
        <v>0.84755107191057943</v>
      </c>
      <c r="AA67" s="52">
        <f t="shared" si="15"/>
        <v>0.84678499689505471</v>
      </c>
      <c r="AB67" s="52">
        <f t="shared" si="15"/>
        <v>0.84601507225633643</v>
      </c>
      <c r="AC67" s="52"/>
      <c r="AD67" s="52"/>
    </row>
    <row r="68" spans="1:30" x14ac:dyDescent="0.3">
      <c r="C68" s="52"/>
      <c r="D68" s="52"/>
      <c r="E68" s="52"/>
      <c r="F68" s="52"/>
      <c r="G68" s="52"/>
      <c r="H68" s="52"/>
      <c r="I68" s="52"/>
      <c r="J68" s="52"/>
      <c r="K68" s="52"/>
      <c r="L68" s="52"/>
      <c r="M68" s="52"/>
      <c r="N68" s="52"/>
      <c r="O68" s="52"/>
      <c r="P68" s="52"/>
      <c r="Q68" s="52"/>
      <c r="R68" s="52"/>
      <c r="S68" s="52"/>
      <c r="T68" s="52"/>
      <c r="U68" s="52"/>
      <c r="V68" s="52"/>
      <c r="W68" s="52"/>
      <c r="X68" s="52"/>
      <c r="Y68" s="52"/>
      <c r="Z68" s="52"/>
      <c r="AA68" s="52"/>
      <c r="AB68" s="52"/>
      <c r="AC68" s="52"/>
      <c r="AD68" s="52"/>
    </row>
    <row r="69" spans="1:30" x14ac:dyDescent="0.3">
      <c r="B69" t="s">
        <v>69</v>
      </c>
      <c r="C69" s="53"/>
      <c r="D69" s="53">
        <f t="shared" ref="D69:AB69" si="16">(D70+D73+D77)*(D42&lt;=$C$19)</f>
        <v>1526.4</v>
      </c>
      <c r="E69" s="53">
        <f t="shared" si="16"/>
        <v>1526.4</v>
      </c>
      <c r="F69" s="53">
        <f t="shared" si="16"/>
        <v>1526.4</v>
      </c>
      <c r="G69" s="53">
        <f t="shared" si="16"/>
        <v>1526.4</v>
      </c>
      <c r="H69" s="53">
        <f t="shared" si="16"/>
        <v>1526.4</v>
      </c>
      <c r="I69" s="53">
        <f t="shared" si="16"/>
        <v>1526.4</v>
      </c>
      <c r="J69" s="53">
        <f t="shared" si="16"/>
        <v>1526.4</v>
      </c>
      <c r="K69" s="53">
        <f t="shared" si="16"/>
        <v>1526.4</v>
      </c>
      <c r="L69" s="53">
        <f t="shared" si="16"/>
        <v>1526.4</v>
      </c>
      <c r="M69" s="53">
        <f t="shared" si="16"/>
        <v>1526.4</v>
      </c>
      <c r="N69" s="53">
        <f t="shared" si="16"/>
        <v>1526.4</v>
      </c>
      <c r="O69" s="53">
        <f t="shared" si="16"/>
        <v>1526.4</v>
      </c>
      <c r="P69" s="53">
        <f t="shared" si="16"/>
        <v>1526.4</v>
      </c>
      <c r="Q69" s="53">
        <f t="shared" si="16"/>
        <v>1526.4</v>
      </c>
      <c r="R69" s="53">
        <f t="shared" si="16"/>
        <v>1526.4</v>
      </c>
      <c r="S69" s="53">
        <f t="shared" si="16"/>
        <v>1526.4</v>
      </c>
      <c r="T69" s="53">
        <f t="shared" si="16"/>
        <v>1526.4</v>
      </c>
      <c r="U69" s="53">
        <f t="shared" si="16"/>
        <v>1526.4</v>
      </c>
      <c r="V69" s="53">
        <f t="shared" si="16"/>
        <v>1526.4</v>
      </c>
      <c r="W69" s="53">
        <f t="shared" si="16"/>
        <v>1526.4</v>
      </c>
      <c r="X69" s="53">
        <f t="shared" si="16"/>
        <v>1526.4</v>
      </c>
      <c r="Y69" s="53">
        <f t="shared" si="16"/>
        <v>1526.4</v>
      </c>
      <c r="Z69" s="53">
        <f t="shared" si="16"/>
        <v>1526.4</v>
      </c>
      <c r="AA69" s="53">
        <f t="shared" si="16"/>
        <v>1526.4</v>
      </c>
      <c r="AB69" s="53">
        <f t="shared" si="16"/>
        <v>1526.3999999999824</v>
      </c>
      <c r="AC69" s="53"/>
      <c r="AD69" s="53"/>
    </row>
    <row r="70" spans="1:30" x14ac:dyDescent="0.3">
      <c r="A70" s="54"/>
      <c r="B70" s="54" t="s">
        <v>70</v>
      </c>
      <c r="C70" s="55"/>
      <c r="D70" s="55">
        <f t="shared" ref="D70:AB70" si="17">MIN(D71,$D$71/$H$28)</f>
        <v>1526.4</v>
      </c>
      <c r="E70" s="55">
        <f t="shared" si="17"/>
        <v>1526.4</v>
      </c>
      <c r="F70" s="55">
        <f t="shared" si="17"/>
        <v>1526.4</v>
      </c>
      <c r="G70" s="55">
        <f t="shared" si="17"/>
        <v>1526.4</v>
      </c>
      <c r="H70" s="55">
        <f t="shared" si="17"/>
        <v>1526.4</v>
      </c>
      <c r="I70" s="55">
        <f t="shared" si="17"/>
        <v>1526.4</v>
      </c>
      <c r="J70" s="55">
        <f t="shared" si="17"/>
        <v>1526.4</v>
      </c>
      <c r="K70" s="55">
        <f t="shared" si="17"/>
        <v>1526.4</v>
      </c>
      <c r="L70" s="55">
        <f t="shared" si="17"/>
        <v>1526.4</v>
      </c>
      <c r="M70" s="55">
        <f t="shared" si="17"/>
        <v>1526.4</v>
      </c>
      <c r="N70" s="55">
        <f t="shared" si="17"/>
        <v>1526.4</v>
      </c>
      <c r="O70" s="55">
        <f t="shared" si="17"/>
        <v>1526.4</v>
      </c>
      <c r="P70" s="55">
        <f t="shared" si="17"/>
        <v>1526.4</v>
      </c>
      <c r="Q70" s="55">
        <f t="shared" si="17"/>
        <v>1526.4</v>
      </c>
      <c r="R70" s="55">
        <f t="shared" si="17"/>
        <v>1526.4</v>
      </c>
      <c r="S70" s="55">
        <f t="shared" si="17"/>
        <v>1526.4</v>
      </c>
      <c r="T70" s="55">
        <f t="shared" si="17"/>
        <v>1526.4</v>
      </c>
      <c r="U70" s="55">
        <f t="shared" si="17"/>
        <v>1526.4</v>
      </c>
      <c r="V70" s="55">
        <f t="shared" si="17"/>
        <v>1526.4</v>
      </c>
      <c r="W70" s="55">
        <f t="shared" si="17"/>
        <v>1526.4</v>
      </c>
      <c r="X70" s="55">
        <f t="shared" si="17"/>
        <v>1526.4</v>
      </c>
      <c r="Y70" s="55">
        <f t="shared" si="17"/>
        <v>1526.4</v>
      </c>
      <c r="Z70" s="55">
        <f t="shared" si="17"/>
        <v>1526.4</v>
      </c>
      <c r="AA70" s="55">
        <f t="shared" si="17"/>
        <v>1526.4</v>
      </c>
      <c r="AB70" s="55">
        <f t="shared" si="17"/>
        <v>1526.3999999999824</v>
      </c>
      <c r="AC70" s="55"/>
      <c r="AD70" s="55"/>
    </row>
    <row r="71" spans="1:30" x14ac:dyDescent="0.3">
      <c r="A71" s="54"/>
      <c r="B71" s="54" t="s">
        <v>71</v>
      </c>
      <c r="C71" s="56"/>
      <c r="D71" s="56">
        <f>C126*$H$29</f>
        <v>38160</v>
      </c>
      <c r="E71" s="57">
        <f>D72</f>
        <v>36633.599999999999</v>
      </c>
      <c r="F71" s="57">
        <f t="shared" ref="F71:AB71" si="18">E72</f>
        <v>35107.199999999997</v>
      </c>
      <c r="G71" s="57">
        <f t="shared" si="18"/>
        <v>33580.799999999996</v>
      </c>
      <c r="H71" s="57">
        <f t="shared" si="18"/>
        <v>32054.399999999994</v>
      </c>
      <c r="I71" s="57">
        <f t="shared" si="18"/>
        <v>30527.999999999993</v>
      </c>
      <c r="J71" s="57">
        <f t="shared" si="18"/>
        <v>29001.599999999991</v>
      </c>
      <c r="K71" s="57">
        <f>J72</f>
        <v>27475.19999999999</v>
      </c>
      <c r="L71" s="57">
        <f t="shared" si="18"/>
        <v>25948.799999999988</v>
      </c>
      <c r="M71" s="57">
        <f t="shared" si="18"/>
        <v>24422.399999999987</v>
      </c>
      <c r="N71" s="57">
        <f t="shared" si="18"/>
        <v>22895.999999999985</v>
      </c>
      <c r="O71" s="57">
        <f>N72</f>
        <v>21369.599999999984</v>
      </c>
      <c r="P71" s="57">
        <f t="shared" si="18"/>
        <v>19843.199999999983</v>
      </c>
      <c r="Q71" s="57">
        <f t="shared" si="18"/>
        <v>18316.799999999981</v>
      </c>
      <c r="R71" s="57">
        <f t="shared" si="18"/>
        <v>16790.39999999998</v>
      </c>
      <c r="S71" s="57">
        <f t="shared" si="18"/>
        <v>15263.99999999998</v>
      </c>
      <c r="T71" s="57">
        <f t="shared" si="18"/>
        <v>13737.59999999998</v>
      </c>
      <c r="U71" s="57">
        <f t="shared" si="18"/>
        <v>12211.199999999981</v>
      </c>
      <c r="V71" s="57">
        <f t="shared" si="18"/>
        <v>10684.799999999981</v>
      </c>
      <c r="W71" s="57">
        <f t="shared" si="18"/>
        <v>9158.3999999999814</v>
      </c>
      <c r="X71" s="57">
        <f t="shared" si="18"/>
        <v>7631.9999999999818</v>
      </c>
      <c r="Y71" s="57">
        <f t="shared" si="18"/>
        <v>6105.5999999999822</v>
      </c>
      <c r="Z71" s="57">
        <f t="shared" si="18"/>
        <v>4579.1999999999825</v>
      </c>
      <c r="AA71" s="57">
        <f t="shared" si="18"/>
        <v>3052.7999999999824</v>
      </c>
      <c r="AB71" s="57">
        <f t="shared" si="18"/>
        <v>1526.3999999999824</v>
      </c>
      <c r="AC71" s="57"/>
      <c r="AD71" s="57"/>
    </row>
    <row r="72" spans="1:30" x14ac:dyDescent="0.3">
      <c r="A72" s="54"/>
      <c r="B72" s="54" t="s">
        <v>72</v>
      </c>
      <c r="C72" s="57"/>
      <c r="D72" s="57">
        <f>D71-D70</f>
        <v>36633.599999999999</v>
      </c>
      <c r="E72" s="57">
        <f>E71-E70</f>
        <v>35107.199999999997</v>
      </c>
      <c r="F72" s="57">
        <f t="shared" ref="F72:AB72" si="19">F71-F70</f>
        <v>33580.799999999996</v>
      </c>
      <c r="G72" s="57">
        <f t="shared" si="19"/>
        <v>32054.399999999994</v>
      </c>
      <c r="H72" s="57">
        <f t="shared" si="19"/>
        <v>30527.999999999993</v>
      </c>
      <c r="I72" s="57">
        <f t="shared" si="19"/>
        <v>29001.599999999991</v>
      </c>
      <c r="J72" s="57">
        <f t="shared" si="19"/>
        <v>27475.19999999999</v>
      </c>
      <c r="K72" s="57">
        <f t="shared" si="19"/>
        <v>25948.799999999988</v>
      </c>
      <c r="L72" s="57">
        <f t="shared" si="19"/>
        <v>24422.399999999987</v>
      </c>
      <c r="M72" s="57">
        <f t="shared" si="19"/>
        <v>22895.999999999985</v>
      </c>
      <c r="N72" s="57">
        <f t="shared" si="19"/>
        <v>21369.599999999984</v>
      </c>
      <c r="O72" s="57">
        <f t="shared" si="19"/>
        <v>19843.199999999983</v>
      </c>
      <c r="P72" s="57">
        <f t="shared" si="19"/>
        <v>18316.799999999981</v>
      </c>
      <c r="Q72" s="57">
        <f t="shared" si="19"/>
        <v>16790.39999999998</v>
      </c>
      <c r="R72" s="57">
        <f t="shared" si="19"/>
        <v>15263.99999999998</v>
      </c>
      <c r="S72" s="57">
        <f t="shared" si="19"/>
        <v>13737.59999999998</v>
      </c>
      <c r="T72" s="57">
        <f t="shared" si="19"/>
        <v>12211.199999999981</v>
      </c>
      <c r="U72" s="57">
        <f t="shared" si="19"/>
        <v>10684.799999999981</v>
      </c>
      <c r="V72" s="57">
        <f t="shared" si="19"/>
        <v>9158.3999999999814</v>
      </c>
      <c r="W72" s="57">
        <f t="shared" si="19"/>
        <v>7631.9999999999818</v>
      </c>
      <c r="X72" s="57">
        <f t="shared" si="19"/>
        <v>6105.5999999999822</v>
      </c>
      <c r="Y72" s="57">
        <f t="shared" si="19"/>
        <v>4579.1999999999825</v>
      </c>
      <c r="Z72" s="57">
        <f t="shared" si="19"/>
        <v>3052.7999999999824</v>
      </c>
      <c r="AA72" s="57">
        <f t="shared" si="19"/>
        <v>1526.3999999999824</v>
      </c>
      <c r="AB72" s="57">
        <f t="shared" si="19"/>
        <v>0</v>
      </c>
      <c r="AC72" s="57"/>
      <c r="AD72" s="57"/>
    </row>
    <row r="73" spans="1:30" x14ac:dyDescent="0.3">
      <c r="A73" s="54"/>
      <c r="B73" s="58" t="s">
        <v>201</v>
      </c>
      <c r="C73" s="57"/>
      <c r="D73" s="57">
        <f t="shared" ref="D73:AB73" si="20">IF(D75&gt;0,MIN(D75,$H$11/$H$30),0)</f>
        <v>0</v>
      </c>
      <c r="E73" s="57">
        <f t="shared" si="20"/>
        <v>0</v>
      </c>
      <c r="F73" s="57">
        <f t="shared" si="20"/>
        <v>0</v>
      </c>
      <c r="G73" s="57">
        <f t="shared" si="20"/>
        <v>0</v>
      </c>
      <c r="H73" s="57">
        <f t="shared" si="20"/>
        <v>0</v>
      </c>
      <c r="I73" s="57">
        <f t="shared" si="20"/>
        <v>0</v>
      </c>
      <c r="J73" s="57">
        <f t="shared" si="20"/>
        <v>0</v>
      </c>
      <c r="K73" s="57">
        <f t="shared" si="20"/>
        <v>0</v>
      </c>
      <c r="L73" s="57">
        <f t="shared" si="20"/>
        <v>0</v>
      </c>
      <c r="M73" s="57">
        <f t="shared" si="20"/>
        <v>0</v>
      </c>
      <c r="N73" s="57">
        <f t="shared" si="20"/>
        <v>0</v>
      </c>
      <c r="O73" s="57">
        <f t="shared" si="20"/>
        <v>0</v>
      </c>
      <c r="P73" s="57">
        <f t="shared" si="20"/>
        <v>0</v>
      </c>
      <c r="Q73" s="57">
        <f t="shared" si="20"/>
        <v>0</v>
      </c>
      <c r="R73" s="57">
        <f t="shared" si="20"/>
        <v>0</v>
      </c>
      <c r="S73" s="57">
        <f t="shared" si="20"/>
        <v>0</v>
      </c>
      <c r="T73" s="57">
        <f t="shared" si="20"/>
        <v>0</v>
      </c>
      <c r="U73" s="57">
        <f t="shared" si="20"/>
        <v>0</v>
      </c>
      <c r="V73" s="57">
        <f t="shared" si="20"/>
        <v>0</v>
      </c>
      <c r="W73" s="57">
        <f t="shared" si="20"/>
        <v>0</v>
      </c>
      <c r="X73" s="57">
        <f t="shared" si="20"/>
        <v>0</v>
      </c>
      <c r="Y73" s="57">
        <f t="shared" si="20"/>
        <v>0</v>
      </c>
      <c r="Z73" s="57">
        <f t="shared" si="20"/>
        <v>0</v>
      </c>
      <c r="AA73" s="57">
        <f t="shared" si="20"/>
        <v>0</v>
      </c>
      <c r="AB73" s="57">
        <f t="shared" si="20"/>
        <v>0</v>
      </c>
      <c r="AC73" s="57"/>
      <c r="AD73" s="57"/>
    </row>
    <row r="75" spans="1:30" x14ac:dyDescent="0.3">
      <c r="A75" s="54"/>
      <c r="B75" s="54" t="s">
        <v>71</v>
      </c>
      <c r="C75" s="57"/>
      <c r="D75" s="57">
        <f t="shared" ref="D75:AB75" si="21">IF(D132&gt;0,D132*$H$31,C76)</f>
        <v>0</v>
      </c>
      <c r="E75" s="57">
        <f t="shared" si="21"/>
        <v>0</v>
      </c>
      <c r="F75" s="57">
        <f t="shared" si="21"/>
        <v>0</v>
      </c>
      <c r="G75" s="57">
        <f t="shared" si="21"/>
        <v>0</v>
      </c>
      <c r="H75" s="57">
        <f t="shared" si="21"/>
        <v>0</v>
      </c>
      <c r="I75" s="57">
        <f t="shared" si="21"/>
        <v>0</v>
      </c>
      <c r="J75" s="57">
        <f t="shared" si="21"/>
        <v>0</v>
      </c>
      <c r="K75" s="57">
        <f t="shared" si="21"/>
        <v>0</v>
      </c>
      <c r="L75" s="57">
        <f t="shared" si="21"/>
        <v>0</v>
      </c>
      <c r="M75" s="57">
        <f t="shared" si="21"/>
        <v>0</v>
      </c>
      <c r="N75" s="57">
        <f t="shared" si="21"/>
        <v>0</v>
      </c>
      <c r="O75" s="57">
        <f t="shared" si="21"/>
        <v>0</v>
      </c>
      <c r="P75" s="57">
        <f t="shared" si="21"/>
        <v>0</v>
      </c>
      <c r="Q75" s="57">
        <f t="shared" si="21"/>
        <v>0</v>
      </c>
      <c r="R75" s="57">
        <f t="shared" si="21"/>
        <v>0</v>
      </c>
      <c r="S75" s="57">
        <f t="shared" si="21"/>
        <v>0</v>
      </c>
      <c r="T75" s="57">
        <f t="shared" si="21"/>
        <v>0</v>
      </c>
      <c r="U75" s="57">
        <f t="shared" si="21"/>
        <v>0</v>
      </c>
      <c r="V75" s="57">
        <f t="shared" si="21"/>
        <v>0</v>
      </c>
      <c r="W75" s="57">
        <f t="shared" si="21"/>
        <v>0</v>
      </c>
      <c r="X75" s="57">
        <f t="shared" si="21"/>
        <v>0</v>
      </c>
      <c r="Y75" s="57">
        <f t="shared" si="21"/>
        <v>0</v>
      </c>
      <c r="Z75" s="57">
        <f t="shared" si="21"/>
        <v>0</v>
      </c>
      <c r="AA75" s="57">
        <f t="shared" si="21"/>
        <v>0</v>
      </c>
      <c r="AB75" s="57">
        <f t="shared" si="21"/>
        <v>0</v>
      </c>
      <c r="AC75" s="57"/>
      <c r="AD75" s="57"/>
    </row>
    <row r="76" spans="1:30" x14ac:dyDescent="0.3">
      <c r="A76" s="54"/>
      <c r="B76" s="54" t="s">
        <v>72</v>
      </c>
      <c r="C76" s="57"/>
      <c r="D76" s="57">
        <f>D75-D73</f>
        <v>0</v>
      </c>
      <c r="E76" s="57">
        <f t="shared" ref="E76:AB76" si="22">E75-E73</f>
        <v>0</v>
      </c>
      <c r="F76" s="57">
        <f t="shared" si="22"/>
        <v>0</v>
      </c>
      <c r="G76" s="57">
        <f t="shared" si="22"/>
        <v>0</v>
      </c>
      <c r="H76" s="57">
        <f t="shared" si="22"/>
        <v>0</v>
      </c>
      <c r="I76" s="57">
        <f t="shared" si="22"/>
        <v>0</v>
      </c>
      <c r="J76" s="57">
        <f t="shared" si="22"/>
        <v>0</v>
      </c>
      <c r="K76" s="57">
        <f t="shared" si="22"/>
        <v>0</v>
      </c>
      <c r="L76" s="57">
        <f t="shared" si="22"/>
        <v>0</v>
      </c>
      <c r="M76" s="57">
        <f t="shared" si="22"/>
        <v>0</v>
      </c>
      <c r="N76" s="57">
        <f t="shared" si="22"/>
        <v>0</v>
      </c>
      <c r="O76" s="57">
        <f t="shared" si="22"/>
        <v>0</v>
      </c>
      <c r="P76" s="57">
        <f t="shared" si="22"/>
        <v>0</v>
      </c>
      <c r="Q76" s="57">
        <f t="shared" si="22"/>
        <v>0</v>
      </c>
      <c r="R76" s="57">
        <f t="shared" si="22"/>
        <v>0</v>
      </c>
      <c r="S76" s="57">
        <f t="shared" si="22"/>
        <v>0</v>
      </c>
      <c r="T76" s="57">
        <f t="shared" si="22"/>
        <v>0</v>
      </c>
      <c r="U76" s="57">
        <f t="shared" si="22"/>
        <v>0</v>
      </c>
      <c r="V76" s="57">
        <f t="shared" si="22"/>
        <v>0</v>
      </c>
      <c r="W76" s="57">
        <f t="shared" si="22"/>
        <v>0</v>
      </c>
      <c r="X76" s="57">
        <f t="shared" si="22"/>
        <v>0</v>
      </c>
      <c r="Y76" s="57">
        <f t="shared" si="22"/>
        <v>0</v>
      </c>
      <c r="Z76" s="57">
        <f t="shared" si="22"/>
        <v>0</v>
      </c>
      <c r="AA76" s="57">
        <f t="shared" si="22"/>
        <v>0</v>
      </c>
      <c r="AB76" s="57">
        <f t="shared" si="22"/>
        <v>0</v>
      </c>
      <c r="AC76" s="57"/>
      <c r="AD76" s="57"/>
    </row>
    <row r="77" spans="1:30" x14ac:dyDescent="0.3">
      <c r="A77" s="54"/>
      <c r="B77" s="58" t="s">
        <v>202</v>
      </c>
      <c r="C77" s="57"/>
      <c r="D77" s="57">
        <f>IF(D79&gt;0,MIN(D79,$H$13/$H$30),0)</f>
        <v>0</v>
      </c>
      <c r="E77" s="57">
        <f t="shared" ref="E77:AB77" si="23">IF(E79&gt;0,MIN(E79,$H$13/$H$28),0)</f>
        <v>0</v>
      </c>
      <c r="F77" s="57">
        <f t="shared" si="23"/>
        <v>0</v>
      </c>
      <c r="G77" s="57">
        <f t="shared" si="23"/>
        <v>0</v>
      </c>
      <c r="H77" s="57">
        <f t="shared" si="23"/>
        <v>0</v>
      </c>
      <c r="I77" s="57">
        <f t="shared" si="23"/>
        <v>0</v>
      </c>
      <c r="J77" s="57">
        <f t="shared" si="23"/>
        <v>0</v>
      </c>
      <c r="K77" s="57">
        <f t="shared" si="23"/>
        <v>0</v>
      </c>
      <c r="L77" s="57">
        <f t="shared" si="23"/>
        <v>0</v>
      </c>
      <c r="M77" s="57">
        <f t="shared" si="23"/>
        <v>0</v>
      </c>
      <c r="N77" s="57">
        <f t="shared" si="23"/>
        <v>0</v>
      </c>
      <c r="O77" s="57">
        <f t="shared" si="23"/>
        <v>0</v>
      </c>
      <c r="P77" s="57">
        <f t="shared" si="23"/>
        <v>0</v>
      </c>
      <c r="Q77" s="57">
        <f t="shared" si="23"/>
        <v>0</v>
      </c>
      <c r="R77" s="57">
        <f t="shared" si="23"/>
        <v>0</v>
      </c>
      <c r="S77" s="57">
        <f t="shared" si="23"/>
        <v>0</v>
      </c>
      <c r="T77" s="57">
        <f t="shared" si="23"/>
        <v>0</v>
      </c>
      <c r="U77" s="57">
        <f t="shared" si="23"/>
        <v>0</v>
      </c>
      <c r="V77" s="57">
        <f t="shared" si="23"/>
        <v>0</v>
      </c>
      <c r="W77" s="57">
        <f t="shared" si="23"/>
        <v>0</v>
      </c>
      <c r="X77" s="57">
        <f t="shared" si="23"/>
        <v>0</v>
      </c>
      <c r="Y77" s="57">
        <f t="shared" si="23"/>
        <v>0</v>
      </c>
      <c r="Z77" s="57">
        <f t="shared" si="23"/>
        <v>0</v>
      </c>
      <c r="AA77" s="57">
        <f t="shared" si="23"/>
        <v>0</v>
      </c>
      <c r="AB77" s="57">
        <f t="shared" si="23"/>
        <v>0</v>
      </c>
      <c r="AC77" s="57"/>
      <c r="AD77" s="57"/>
    </row>
    <row r="78" spans="1:30" x14ac:dyDescent="0.3">
      <c r="A78" s="54"/>
      <c r="B78" s="58" t="s">
        <v>75</v>
      </c>
      <c r="C78" s="57"/>
      <c r="D78" s="57">
        <f t="shared" ref="D78:AB78" si="24">IF(D$42=$H$14,$H$13,0)</f>
        <v>0</v>
      </c>
      <c r="E78" s="57">
        <f t="shared" si="24"/>
        <v>0</v>
      </c>
      <c r="F78" s="57">
        <f t="shared" si="24"/>
        <v>0</v>
      </c>
      <c r="G78" s="57">
        <f t="shared" si="24"/>
        <v>0</v>
      </c>
      <c r="H78" s="57">
        <f t="shared" si="24"/>
        <v>0</v>
      </c>
      <c r="I78" s="57">
        <f t="shared" si="24"/>
        <v>0</v>
      </c>
      <c r="J78" s="57">
        <f t="shared" si="24"/>
        <v>0</v>
      </c>
      <c r="K78" s="57">
        <f t="shared" si="24"/>
        <v>0</v>
      </c>
      <c r="L78" s="57">
        <f t="shared" si="24"/>
        <v>0</v>
      </c>
      <c r="M78" s="57">
        <f t="shared" si="24"/>
        <v>0</v>
      </c>
      <c r="N78" s="57">
        <f t="shared" si="24"/>
        <v>0</v>
      </c>
      <c r="O78" s="57">
        <f t="shared" si="24"/>
        <v>0</v>
      </c>
      <c r="P78" s="57">
        <f t="shared" si="24"/>
        <v>0</v>
      </c>
      <c r="Q78" s="57">
        <f t="shared" si="24"/>
        <v>0</v>
      </c>
      <c r="R78" s="57">
        <f t="shared" si="24"/>
        <v>0</v>
      </c>
      <c r="S78" s="57">
        <f t="shared" si="24"/>
        <v>0</v>
      </c>
      <c r="T78" s="57">
        <f t="shared" si="24"/>
        <v>0</v>
      </c>
      <c r="U78" s="57">
        <f t="shared" si="24"/>
        <v>0</v>
      </c>
      <c r="V78" s="57">
        <f t="shared" si="24"/>
        <v>0</v>
      </c>
      <c r="W78" s="57">
        <f t="shared" si="24"/>
        <v>0</v>
      </c>
      <c r="X78" s="57">
        <f t="shared" si="24"/>
        <v>0</v>
      </c>
      <c r="Y78" s="57">
        <f t="shared" si="24"/>
        <v>0</v>
      </c>
      <c r="Z78" s="57">
        <f t="shared" si="24"/>
        <v>0</v>
      </c>
      <c r="AA78" s="57">
        <f t="shared" si="24"/>
        <v>0</v>
      </c>
      <c r="AB78" s="57">
        <f t="shared" si="24"/>
        <v>0</v>
      </c>
      <c r="AC78" s="57"/>
      <c r="AD78" s="57"/>
    </row>
    <row r="79" spans="1:30" x14ac:dyDescent="0.3">
      <c r="A79" s="54"/>
      <c r="B79" s="54" t="s">
        <v>71</v>
      </c>
      <c r="C79" s="57"/>
      <c r="D79" s="57">
        <f t="shared" ref="D79:AB79" si="25">IF(D78&gt;0,D78*$I$31,C80)</f>
        <v>0</v>
      </c>
      <c r="E79" s="57">
        <f t="shared" si="25"/>
        <v>0</v>
      </c>
      <c r="F79" s="57">
        <f t="shared" si="25"/>
        <v>0</v>
      </c>
      <c r="G79" s="57">
        <f t="shared" si="25"/>
        <v>0</v>
      </c>
      <c r="H79" s="57">
        <f t="shared" si="25"/>
        <v>0</v>
      </c>
      <c r="I79" s="57">
        <f t="shared" si="25"/>
        <v>0</v>
      </c>
      <c r="J79" s="57">
        <f t="shared" si="25"/>
        <v>0</v>
      </c>
      <c r="K79" s="57">
        <f t="shared" si="25"/>
        <v>0</v>
      </c>
      <c r="L79" s="57">
        <f t="shared" si="25"/>
        <v>0</v>
      </c>
      <c r="M79" s="57">
        <f t="shared" si="25"/>
        <v>0</v>
      </c>
      <c r="N79" s="57">
        <f t="shared" si="25"/>
        <v>0</v>
      </c>
      <c r="O79" s="57">
        <f t="shared" si="25"/>
        <v>0</v>
      </c>
      <c r="P79" s="57">
        <f t="shared" si="25"/>
        <v>0</v>
      </c>
      <c r="Q79" s="57">
        <f t="shared" si="25"/>
        <v>0</v>
      </c>
      <c r="R79" s="57">
        <f t="shared" si="25"/>
        <v>0</v>
      </c>
      <c r="S79" s="57">
        <f t="shared" si="25"/>
        <v>0</v>
      </c>
      <c r="T79" s="57">
        <f t="shared" si="25"/>
        <v>0</v>
      </c>
      <c r="U79" s="57">
        <f t="shared" si="25"/>
        <v>0</v>
      </c>
      <c r="V79" s="57">
        <f t="shared" si="25"/>
        <v>0</v>
      </c>
      <c r="W79" s="57">
        <f t="shared" si="25"/>
        <v>0</v>
      </c>
      <c r="X79" s="57">
        <f t="shared" si="25"/>
        <v>0</v>
      </c>
      <c r="Y79" s="57">
        <f t="shared" si="25"/>
        <v>0</v>
      </c>
      <c r="Z79" s="57">
        <f t="shared" si="25"/>
        <v>0</v>
      </c>
      <c r="AA79" s="57">
        <f t="shared" si="25"/>
        <v>0</v>
      </c>
      <c r="AB79" s="57">
        <f t="shared" si="25"/>
        <v>0</v>
      </c>
      <c r="AC79" s="57"/>
      <c r="AD79" s="57"/>
    </row>
    <row r="80" spans="1:30" x14ac:dyDescent="0.3">
      <c r="A80" s="54"/>
      <c r="B80" s="54" t="s">
        <v>72</v>
      </c>
      <c r="C80" s="57"/>
      <c r="D80" s="57">
        <f t="shared" ref="D80:AB80" si="26">D79-D77</f>
        <v>0</v>
      </c>
      <c r="E80" s="57">
        <f t="shared" si="26"/>
        <v>0</v>
      </c>
      <c r="F80" s="57">
        <f t="shared" si="26"/>
        <v>0</v>
      </c>
      <c r="G80" s="57">
        <f t="shared" si="26"/>
        <v>0</v>
      </c>
      <c r="H80" s="57">
        <f t="shared" si="26"/>
        <v>0</v>
      </c>
      <c r="I80" s="57">
        <f t="shared" si="26"/>
        <v>0</v>
      </c>
      <c r="J80" s="57">
        <f t="shared" si="26"/>
        <v>0</v>
      </c>
      <c r="K80" s="57">
        <f t="shared" si="26"/>
        <v>0</v>
      </c>
      <c r="L80" s="57">
        <f t="shared" si="26"/>
        <v>0</v>
      </c>
      <c r="M80" s="57">
        <f t="shared" si="26"/>
        <v>0</v>
      </c>
      <c r="N80" s="57">
        <f t="shared" si="26"/>
        <v>0</v>
      </c>
      <c r="O80" s="57">
        <f t="shared" si="26"/>
        <v>0</v>
      </c>
      <c r="P80" s="57">
        <f t="shared" si="26"/>
        <v>0</v>
      </c>
      <c r="Q80" s="57">
        <f t="shared" si="26"/>
        <v>0</v>
      </c>
      <c r="R80" s="57">
        <f t="shared" si="26"/>
        <v>0</v>
      </c>
      <c r="S80" s="57">
        <f t="shared" si="26"/>
        <v>0</v>
      </c>
      <c r="T80" s="57">
        <f t="shared" si="26"/>
        <v>0</v>
      </c>
      <c r="U80" s="57">
        <f t="shared" si="26"/>
        <v>0</v>
      </c>
      <c r="V80" s="57">
        <f t="shared" si="26"/>
        <v>0</v>
      </c>
      <c r="W80" s="57">
        <f t="shared" si="26"/>
        <v>0</v>
      </c>
      <c r="X80" s="57">
        <f t="shared" si="26"/>
        <v>0</v>
      </c>
      <c r="Y80" s="57">
        <f t="shared" si="26"/>
        <v>0</v>
      </c>
      <c r="Z80" s="57">
        <f t="shared" si="26"/>
        <v>0</v>
      </c>
      <c r="AA80" s="57">
        <f t="shared" si="26"/>
        <v>0</v>
      </c>
      <c r="AB80" s="57">
        <f t="shared" si="26"/>
        <v>0</v>
      </c>
      <c r="AC80" s="57"/>
      <c r="AD80" s="57"/>
    </row>
    <row r="81" spans="1:30" x14ac:dyDescent="0.3">
      <c r="A81" s="59"/>
      <c r="B81" s="59"/>
      <c r="C81" s="60"/>
      <c r="D81" s="60"/>
      <c r="E81" s="60"/>
      <c r="F81" s="60"/>
      <c r="G81" s="60"/>
      <c r="H81" s="60"/>
      <c r="I81" s="60"/>
      <c r="J81" s="60"/>
      <c r="K81" s="60"/>
      <c r="L81" s="60"/>
      <c r="M81" s="60"/>
      <c r="N81" s="60"/>
      <c r="O81" s="60"/>
      <c r="P81" s="60"/>
      <c r="Q81" s="60"/>
      <c r="R81" s="60"/>
      <c r="S81" s="60"/>
      <c r="T81" s="60"/>
      <c r="U81" s="60"/>
      <c r="V81" s="60"/>
      <c r="W81" s="60"/>
      <c r="X81" s="60"/>
      <c r="Y81" s="60"/>
      <c r="Z81" s="60"/>
      <c r="AA81" s="60"/>
      <c r="AB81" s="60"/>
      <c r="AC81" s="60"/>
      <c r="AD81" s="60"/>
    </row>
    <row r="82" spans="1:30" x14ac:dyDescent="0.3">
      <c r="A82" s="59"/>
      <c r="B82" t="s">
        <v>76</v>
      </c>
      <c r="C82" s="60"/>
      <c r="D82" s="53">
        <f t="shared" ref="D82:AB82" si="27">(D83+D86+D89)*(D42&lt;=$C$19)</f>
        <v>3052.8</v>
      </c>
      <c r="E82" s="53">
        <f t="shared" si="27"/>
        <v>3052.8</v>
      </c>
      <c r="F82" s="53">
        <f t="shared" si="27"/>
        <v>3052.8</v>
      </c>
      <c r="G82" s="53">
        <f t="shared" si="27"/>
        <v>3052.8</v>
      </c>
      <c r="H82" s="53">
        <f t="shared" si="27"/>
        <v>3052.8</v>
      </c>
      <c r="I82" s="53">
        <f t="shared" si="27"/>
        <v>3052.8</v>
      </c>
      <c r="J82" s="53">
        <f t="shared" si="27"/>
        <v>3052.8</v>
      </c>
      <c r="K82" s="53">
        <f t="shared" si="27"/>
        <v>3052.8</v>
      </c>
      <c r="L82" s="53">
        <f t="shared" si="27"/>
        <v>3052.8</v>
      </c>
      <c r="M82" s="53">
        <f t="shared" si="27"/>
        <v>3052.8</v>
      </c>
      <c r="N82" s="53">
        <f t="shared" si="27"/>
        <v>3052.8</v>
      </c>
      <c r="O82" s="53">
        <f t="shared" si="27"/>
        <v>3052.8</v>
      </c>
      <c r="P82" s="53">
        <f t="shared" si="27"/>
        <v>1526.4000000000024</v>
      </c>
      <c r="Q82" s="53">
        <f t="shared" si="27"/>
        <v>0</v>
      </c>
      <c r="R82" s="53">
        <f t="shared" si="27"/>
        <v>0</v>
      </c>
      <c r="S82" s="53">
        <f t="shared" si="27"/>
        <v>0</v>
      </c>
      <c r="T82" s="53">
        <f t="shared" si="27"/>
        <v>0</v>
      </c>
      <c r="U82" s="53">
        <f t="shared" si="27"/>
        <v>0</v>
      </c>
      <c r="V82" s="53">
        <f t="shared" si="27"/>
        <v>0</v>
      </c>
      <c r="W82" s="53">
        <f t="shared" si="27"/>
        <v>0</v>
      </c>
      <c r="X82" s="53">
        <f t="shared" si="27"/>
        <v>0</v>
      </c>
      <c r="Y82" s="53">
        <f t="shared" si="27"/>
        <v>0</v>
      </c>
      <c r="Z82" s="53">
        <f t="shared" si="27"/>
        <v>0</v>
      </c>
      <c r="AA82" s="53">
        <f t="shared" si="27"/>
        <v>0</v>
      </c>
      <c r="AB82" s="53">
        <f t="shared" si="27"/>
        <v>0</v>
      </c>
      <c r="AC82" s="53"/>
      <c r="AD82" s="53"/>
    </row>
    <row r="83" spans="1:30" x14ac:dyDescent="0.3">
      <c r="A83" s="54"/>
      <c r="B83" s="54" t="s">
        <v>77</v>
      </c>
      <c r="C83" s="55"/>
      <c r="D83" s="55">
        <f t="shared" ref="D83:AB83" si="28">MIN(D84,$D$71/$I$28)</f>
        <v>3052.8</v>
      </c>
      <c r="E83" s="55">
        <f t="shared" si="28"/>
        <v>3052.8</v>
      </c>
      <c r="F83" s="55">
        <f t="shared" si="28"/>
        <v>3052.8</v>
      </c>
      <c r="G83" s="55">
        <f t="shared" si="28"/>
        <v>3052.8</v>
      </c>
      <c r="H83" s="55">
        <f t="shared" si="28"/>
        <v>3052.8</v>
      </c>
      <c r="I83" s="55">
        <f t="shared" si="28"/>
        <v>3052.8</v>
      </c>
      <c r="J83" s="55">
        <f t="shared" si="28"/>
        <v>3052.8</v>
      </c>
      <c r="K83" s="55">
        <f t="shared" si="28"/>
        <v>3052.8</v>
      </c>
      <c r="L83" s="55">
        <f t="shared" si="28"/>
        <v>3052.8</v>
      </c>
      <c r="M83" s="55">
        <f t="shared" si="28"/>
        <v>3052.8</v>
      </c>
      <c r="N83" s="55">
        <f t="shared" si="28"/>
        <v>3052.8</v>
      </c>
      <c r="O83" s="55">
        <f t="shared" si="28"/>
        <v>3052.8</v>
      </c>
      <c r="P83" s="55">
        <f t="shared" si="28"/>
        <v>1526.4000000000024</v>
      </c>
      <c r="Q83" s="55">
        <f t="shared" si="28"/>
        <v>0</v>
      </c>
      <c r="R83" s="55">
        <f t="shared" si="28"/>
        <v>0</v>
      </c>
      <c r="S83" s="55">
        <f t="shared" si="28"/>
        <v>0</v>
      </c>
      <c r="T83" s="55">
        <f t="shared" si="28"/>
        <v>0</v>
      </c>
      <c r="U83" s="55">
        <f t="shared" si="28"/>
        <v>0</v>
      </c>
      <c r="V83" s="55">
        <f t="shared" si="28"/>
        <v>0</v>
      </c>
      <c r="W83" s="55">
        <f t="shared" si="28"/>
        <v>0</v>
      </c>
      <c r="X83" s="55">
        <f t="shared" si="28"/>
        <v>0</v>
      </c>
      <c r="Y83" s="55">
        <f t="shared" si="28"/>
        <v>0</v>
      </c>
      <c r="Z83" s="55">
        <f t="shared" si="28"/>
        <v>0</v>
      </c>
      <c r="AA83" s="55">
        <f t="shared" si="28"/>
        <v>0</v>
      </c>
      <c r="AB83" s="55">
        <f t="shared" si="28"/>
        <v>0</v>
      </c>
      <c r="AC83" s="55"/>
      <c r="AD83" s="55"/>
    </row>
    <row r="84" spans="1:30" x14ac:dyDescent="0.3">
      <c r="A84" s="54"/>
      <c r="B84" s="54" t="s">
        <v>71</v>
      </c>
      <c r="C84" s="56"/>
      <c r="D84" s="56">
        <f>C126*$H$29</f>
        <v>38160</v>
      </c>
      <c r="E84" s="57">
        <f>D85</f>
        <v>35107.199999999997</v>
      </c>
      <c r="F84" s="57">
        <f t="shared" ref="F84:AB84" si="29">E85</f>
        <v>32054.399999999998</v>
      </c>
      <c r="G84" s="57">
        <f t="shared" si="29"/>
        <v>29001.599999999999</v>
      </c>
      <c r="H84" s="57">
        <f t="shared" si="29"/>
        <v>25948.799999999999</v>
      </c>
      <c r="I84" s="57">
        <f t="shared" si="29"/>
        <v>22896</v>
      </c>
      <c r="J84" s="57">
        <f t="shared" si="29"/>
        <v>19843.2</v>
      </c>
      <c r="K84" s="57">
        <f t="shared" si="29"/>
        <v>16790.400000000001</v>
      </c>
      <c r="L84" s="57">
        <f t="shared" si="29"/>
        <v>13737.600000000002</v>
      </c>
      <c r="M84" s="57">
        <f t="shared" si="29"/>
        <v>10684.800000000003</v>
      </c>
      <c r="N84" s="57">
        <f t="shared" si="29"/>
        <v>7632.0000000000027</v>
      </c>
      <c r="O84" s="57">
        <f t="shared" si="29"/>
        <v>4579.2000000000025</v>
      </c>
      <c r="P84" s="57">
        <f t="shared" si="29"/>
        <v>1526.4000000000024</v>
      </c>
      <c r="Q84" s="57">
        <f t="shared" si="29"/>
        <v>0</v>
      </c>
      <c r="R84" s="57">
        <f t="shared" si="29"/>
        <v>0</v>
      </c>
      <c r="S84" s="57">
        <f t="shared" si="29"/>
        <v>0</v>
      </c>
      <c r="T84" s="57">
        <f t="shared" si="29"/>
        <v>0</v>
      </c>
      <c r="U84" s="57">
        <f t="shared" si="29"/>
        <v>0</v>
      </c>
      <c r="V84" s="57">
        <f t="shared" si="29"/>
        <v>0</v>
      </c>
      <c r="W84" s="57">
        <f t="shared" si="29"/>
        <v>0</v>
      </c>
      <c r="X84" s="57">
        <f t="shared" si="29"/>
        <v>0</v>
      </c>
      <c r="Y84" s="57">
        <f t="shared" si="29"/>
        <v>0</v>
      </c>
      <c r="Z84" s="57">
        <f t="shared" si="29"/>
        <v>0</v>
      </c>
      <c r="AA84" s="57">
        <f t="shared" si="29"/>
        <v>0</v>
      </c>
      <c r="AB84" s="57">
        <f t="shared" si="29"/>
        <v>0</v>
      </c>
      <c r="AC84" s="57"/>
      <c r="AD84" s="57"/>
    </row>
    <row r="85" spans="1:30" x14ac:dyDescent="0.3">
      <c r="A85" s="54"/>
      <c r="B85" s="54" t="s">
        <v>72</v>
      </c>
      <c r="C85" s="57"/>
      <c r="D85" s="57">
        <f>D84-D83</f>
        <v>35107.199999999997</v>
      </c>
      <c r="E85" s="57">
        <f t="shared" ref="E85:AB85" si="30">E84-E83</f>
        <v>32054.399999999998</v>
      </c>
      <c r="F85" s="57">
        <f t="shared" si="30"/>
        <v>29001.599999999999</v>
      </c>
      <c r="G85" s="57">
        <f t="shared" si="30"/>
        <v>25948.799999999999</v>
      </c>
      <c r="H85" s="57">
        <f t="shared" si="30"/>
        <v>22896</v>
      </c>
      <c r="I85" s="57">
        <f t="shared" si="30"/>
        <v>19843.2</v>
      </c>
      <c r="J85" s="57">
        <f t="shared" si="30"/>
        <v>16790.400000000001</v>
      </c>
      <c r="K85" s="57">
        <f t="shared" si="30"/>
        <v>13737.600000000002</v>
      </c>
      <c r="L85" s="57">
        <f t="shared" si="30"/>
        <v>10684.800000000003</v>
      </c>
      <c r="M85" s="57">
        <f t="shared" si="30"/>
        <v>7632.0000000000027</v>
      </c>
      <c r="N85" s="57">
        <f t="shared" si="30"/>
        <v>4579.2000000000025</v>
      </c>
      <c r="O85" s="57">
        <f t="shared" si="30"/>
        <v>1526.4000000000024</v>
      </c>
      <c r="P85" s="57">
        <f t="shared" si="30"/>
        <v>0</v>
      </c>
      <c r="Q85" s="57">
        <f t="shared" si="30"/>
        <v>0</v>
      </c>
      <c r="R85" s="57">
        <f t="shared" si="30"/>
        <v>0</v>
      </c>
      <c r="S85" s="57">
        <f t="shared" si="30"/>
        <v>0</v>
      </c>
      <c r="T85" s="57">
        <f t="shared" si="30"/>
        <v>0</v>
      </c>
      <c r="U85" s="57">
        <f t="shared" si="30"/>
        <v>0</v>
      </c>
      <c r="V85" s="57">
        <f t="shared" si="30"/>
        <v>0</v>
      </c>
      <c r="W85" s="57">
        <f t="shared" si="30"/>
        <v>0</v>
      </c>
      <c r="X85" s="57">
        <f t="shared" si="30"/>
        <v>0</v>
      </c>
      <c r="Y85" s="57">
        <f t="shared" si="30"/>
        <v>0</v>
      </c>
      <c r="Z85" s="57">
        <f t="shared" si="30"/>
        <v>0</v>
      </c>
      <c r="AA85" s="57">
        <f t="shared" si="30"/>
        <v>0</v>
      </c>
      <c r="AB85" s="57">
        <f t="shared" si="30"/>
        <v>0</v>
      </c>
      <c r="AC85" s="57"/>
      <c r="AD85" s="57"/>
    </row>
    <row r="86" spans="1:30" x14ac:dyDescent="0.3">
      <c r="A86" s="54"/>
      <c r="B86" s="58" t="s">
        <v>203</v>
      </c>
      <c r="C86" s="57"/>
      <c r="D86" s="57">
        <f t="shared" ref="D86:AB86" si="31">IF(D87&gt;0,MIN(D87,$H$11/$I$30),0)</f>
        <v>0</v>
      </c>
      <c r="E86" s="57">
        <f t="shared" si="31"/>
        <v>0</v>
      </c>
      <c r="F86" s="57">
        <f t="shared" si="31"/>
        <v>0</v>
      </c>
      <c r="G86" s="57">
        <f t="shared" si="31"/>
        <v>0</v>
      </c>
      <c r="H86" s="57">
        <f t="shared" si="31"/>
        <v>0</v>
      </c>
      <c r="I86" s="57">
        <f t="shared" si="31"/>
        <v>0</v>
      </c>
      <c r="J86" s="57">
        <f t="shared" si="31"/>
        <v>0</v>
      </c>
      <c r="K86" s="57">
        <f t="shared" si="31"/>
        <v>0</v>
      </c>
      <c r="L86" s="57">
        <f t="shared" si="31"/>
        <v>0</v>
      </c>
      <c r="M86" s="57">
        <f t="shared" si="31"/>
        <v>0</v>
      </c>
      <c r="N86" s="57">
        <f t="shared" si="31"/>
        <v>0</v>
      </c>
      <c r="O86" s="57">
        <f t="shared" si="31"/>
        <v>0</v>
      </c>
      <c r="P86" s="57">
        <f t="shared" si="31"/>
        <v>0</v>
      </c>
      <c r="Q86" s="57">
        <f t="shared" si="31"/>
        <v>0</v>
      </c>
      <c r="R86" s="57">
        <f t="shared" si="31"/>
        <v>0</v>
      </c>
      <c r="S86" s="57">
        <f t="shared" si="31"/>
        <v>0</v>
      </c>
      <c r="T86" s="57">
        <f t="shared" si="31"/>
        <v>0</v>
      </c>
      <c r="U86" s="57">
        <f t="shared" si="31"/>
        <v>0</v>
      </c>
      <c r="V86" s="57">
        <f t="shared" si="31"/>
        <v>0</v>
      </c>
      <c r="W86" s="57">
        <f t="shared" si="31"/>
        <v>0</v>
      </c>
      <c r="X86" s="57">
        <f t="shared" si="31"/>
        <v>0</v>
      </c>
      <c r="Y86" s="57">
        <f t="shared" si="31"/>
        <v>0</v>
      </c>
      <c r="Z86" s="57">
        <f t="shared" si="31"/>
        <v>0</v>
      </c>
      <c r="AA86" s="57">
        <f t="shared" si="31"/>
        <v>0</v>
      </c>
      <c r="AB86" s="57">
        <f t="shared" si="31"/>
        <v>0</v>
      </c>
      <c r="AC86" s="57"/>
      <c r="AD86" s="57"/>
    </row>
    <row r="87" spans="1:30" x14ac:dyDescent="0.3">
      <c r="A87" s="54"/>
      <c r="B87" s="54" t="s">
        <v>71</v>
      </c>
      <c r="C87" s="57"/>
      <c r="D87" s="57">
        <f t="shared" ref="D87:AB87" si="32">IF(D134&gt;0,D134*$I$31,C88)</f>
        <v>0</v>
      </c>
      <c r="E87" s="57">
        <f t="shared" si="32"/>
        <v>0</v>
      </c>
      <c r="F87" s="57">
        <f t="shared" si="32"/>
        <v>0</v>
      </c>
      <c r="G87" s="57">
        <f t="shared" si="32"/>
        <v>0</v>
      </c>
      <c r="H87" s="57">
        <f t="shared" si="32"/>
        <v>0</v>
      </c>
      <c r="I87" s="57">
        <f t="shared" si="32"/>
        <v>0</v>
      </c>
      <c r="J87" s="57">
        <f t="shared" si="32"/>
        <v>0</v>
      </c>
      <c r="K87" s="57">
        <f t="shared" si="32"/>
        <v>0</v>
      </c>
      <c r="L87" s="57">
        <f t="shared" si="32"/>
        <v>0</v>
      </c>
      <c r="M87" s="57">
        <f t="shared" si="32"/>
        <v>0</v>
      </c>
      <c r="N87" s="57">
        <f t="shared" si="32"/>
        <v>0</v>
      </c>
      <c r="O87" s="57">
        <f t="shared" si="32"/>
        <v>0</v>
      </c>
      <c r="P87" s="57">
        <f t="shared" si="32"/>
        <v>0</v>
      </c>
      <c r="Q87" s="57">
        <f t="shared" si="32"/>
        <v>0</v>
      </c>
      <c r="R87" s="57">
        <f t="shared" si="32"/>
        <v>0</v>
      </c>
      <c r="S87" s="57">
        <f t="shared" si="32"/>
        <v>0</v>
      </c>
      <c r="T87" s="57">
        <f t="shared" si="32"/>
        <v>0</v>
      </c>
      <c r="U87" s="57">
        <f t="shared" si="32"/>
        <v>0</v>
      </c>
      <c r="V87" s="57">
        <f t="shared" si="32"/>
        <v>0</v>
      </c>
      <c r="W87" s="57">
        <f t="shared" si="32"/>
        <v>0</v>
      </c>
      <c r="X87" s="57">
        <f t="shared" si="32"/>
        <v>0</v>
      </c>
      <c r="Y87" s="57">
        <f t="shared" si="32"/>
        <v>0</v>
      </c>
      <c r="Z87" s="57">
        <f t="shared" si="32"/>
        <v>0</v>
      </c>
      <c r="AA87" s="57">
        <f t="shared" si="32"/>
        <v>0</v>
      </c>
      <c r="AB87" s="57">
        <f t="shared" si="32"/>
        <v>0</v>
      </c>
      <c r="AC87" s="57"/>
      <c r="AD87" s="57"/>
    </row>
    <row r="88" spans="1:30" x14ac:dyDescent="0.3">
      <c r="A88" s="54"/>
      <c r="B88" s="54" t="s">
        <v>72</v>
      </c>
      <c r="C88" s="57"/>
      <c r="D88" s="57">
        <f t="shared" ref="D88:AB88" si="33">D87-D86</f>
        <v>0</v>
      </c>
      <c r="E88" s="57">
        <f t="shared" si="33"/>
        <v>0</v>
      </c>
      <c r="F88" s="57">
        <f t="shared" si="33"/>
        <v>0</v>
      </c>
      <c r="G88" s="57">
        <f t="shared" si="33"/>
        <v>0</v>
      </c>
      <c r="H88" s="57">
        <f t="shared" si="33"/>
        <v>0</v>
      </c>
      <c r="I88" s="57">
        <f t="shared" si="33"/>
        <v>0</v>
      </c>
      <c r="J88" s="57">
        <f t="shared" si="33"/>
        <v>0</v>
      </c>
      <c r="K88" s="57">
        <f t="shared" si="33"/>
        <v>0</v>
      </c>
      <c r="L88" s="57">
        <f t="shared" si="33"/>
        <v>0</v>
      </c>
      <c r="M88" s="57">
        <f t="shared" si="33"/>
        <v>0</v>
      </c>
      <c r="N88" s="57">
        <f t="shared" si="33"/>
        <v>0</v>
      </c>
      <c r="O88" s="57">
        <f t="shared" si="33"/>
        <v>0</v>
      </c>
      <c r="P88" s="57">
        <f t="shared" si="33"/>
        <v>0</v>
      </c>
      <c r="Q88" s="57">
        <f t="shared" si="33"/>
        <v>0</v>
      </c>
      <c r="R88" s="57">
        <f t="shared" si="33"/>
        <v>0</v>
      </c>
      <c r="S88" s="57">
        <f t="shared" si="33"/>
        <v>0</v>
      </c>
      <c r="T88" s="57">
        <f t="shared" si="33"/>
        <v>0</v>
      </c>
      <c r="U88" s="57">
        <f t="shared" si="33"/>
        <v>0</v>
      </c>
      <c r="V88" s="57">
        <f t="shared" si="33"/>
        <v>0</v>
      </c>
      <c r="W88" s="57">
        <f t="shared" si="33"/>
        <v>0</v>
      </c>
      <c r="X88" s="57">
        <f t="shared" si="33"/>
        <v>0</v>
      </c>
      <c r="Y88" s="57">
        <f t="shared" si="33"/>
        <v>0</v>
      </c>
      <c r="Z88" s="57">
        <f t="shared" si="33"/>
        <v>0</v>
      </c>
      <c r="AA88" s="57">
        <f t="shared" si="33"/>
        <v>0</v>
      </c>
      <c r="AB88" s="57">
        <f t="shared" si="33"/>
        <v>0</v>
      </c>
      <c r="AC88" s="57"/>
      <c r="AD88" s="57"/>
    </row>
    <row r="89" spans="1:30" x14ac:dyDescent="0.3">
      <c r="A89" s="54"/>
      <c r="B89" s="58" t="s">
        <v>204</v>
      </c>
      <c r="C89" s="57"/>
      <c r="D89" s="57">
        <f t="shared" ref="D89:AB89" si="34">IF(D91&gt;0,MIN(D91,$H$13/$I$30),0)</f>
        <v>0</v>
      </c>
      <c r="E89" s="57">
        <f t="shared" si="34"/>
        <v>0</v>
      </c>
      <c r="F89" s="57">
        <f t="shared" si="34"/>
        <v>0</v>
      </c>
      <c r="G89" s="57">
        <f t="shared" si="34"/>
        <v>0</v>
      </c>
      <c r="H89" s="57">
        <f t="shared" si="34"/>
        <v>0</v>
      </c>
      <c r="I89" s="57">
        <f t="shared" si="34"/>
        <v>0</v>
      </c>
      <c r="J89" s="57">
        <f t="shared" si="34"/>
        <v>0</v>
      </c>
      <c r="K89" s="57">
        <f t="shared" si="34"/>
        <v>0</v>
      </c>
      <c r="L89" s="57">
        <f t="shared" si="34"/>
        <v>0</v>
      </c>
      <c r="M89" s="57">
        <f t="shared" si="34"/>
        <v>0</v>
      </c>
      <c r="N89" s="57">
        <f t="shared" si="34"/>
        <v>0</v>
      </c>
      <c r="O89" s="57">
        <f t="shared" si="34"/>
        <v>0</v>
      </c>
      <c r="P89" s="57">
        <f t="shared" si="34"/>
        <v>0</v>
      </c>
      <c r="Q89" s="57">
        <f t="shared" si="34"/>
        <v>0</v>
      </c>
      <c r="R89" s="57">
        <f t="shared" si="34"/>
        <v>0</v>
      </c>
      <c r="S89" s="57">
        <f t="shared" si="34"/>
        <v>0</v>
      </c>
      <c r="T89" s="57">
        <f t="shared" si="34"/>
        <v>0</v>
      </c>
      <c r="U89" s="57">
        <f t="shared" si="34"/>
        <v>0</v>
      </c>
      <c r="V89" s="57">
        <f t="shared" si="34"/>
        <v>0</v>
      </c>
      <c r="W89" s="57">
        <f t="shared" si="34"/>
        <v>0</v>
      </c>
      <c r="X89" s="57">
        <f t="shared" si="34"/>
        <v>0</v>
      </c>
      <c r="Y89" s="57">
        <f t="shared" si="34"/>
        <v>0</v>
      </c>
      <c r="Z89" s="57">
        <f t="shared" si="34"/>
        <v>0</v>
      </c>
      <c r="AA89" s="57">
        <f t="shared" si="34"/>
        <v>0</v>
      </c>
      <c r="AB89" s="57">
        <f t="shared" si="34"/>
        <v>0</v>
      </c>
      <c r="AC89" s="57"/>
      <c r="AD89" s="57"/>
    </row>
    <row r="90" spans="1:30" x14ac:dyDescent="0.3">
      <c r="A90" s="54"/>
      <c r="B90" s="58" t="s">
        <v>75</v>
      </c>
      <c r="C90" s="57"/>
      <c r="D90" s="57">
        <f t="shared" ref="D90:AB90" si="35">IF(D$42=$H$14,$H$13,0)</f>
        <v>0</v>
      </c>
      <c r="E90" s="57">
        <f t="shared" si="35"/>
        <v>0</v>
      </c>
      <c r="F90" s="57">
        <f t="shared" si="35"/>
        <v>0</v>
      </c>
      <c r="G90" s="57">
        <f t="shared" si="35"/>
        <v>0</v>
      </c>
      <c r="H90" s="57">
        <f t="shared" si="35"/>
        <v>0</v>
      </c>
      <c r="I90" s="57">
        <f t="shared" si="35"/>
        <v>0</v>
      </c>
      <c r="J90" s="57">
        <f t="shared" si="35"/>
        <v>0</v>
      </c>
      <c r="K90" s="57">
        <f t="shared" si="35"/>
        <v>0</v>
      </c>
      <c r="L90" s="57">
        <f t="shared" si="35"/>
        <v>0</v>
      </c>
      <c r="M90" s="57">
        <f t="shared" si="35"/>
        <v>0</v>
      </c>
      <c r="N90" s="57">
        <f t="shared" si="35"/>
        <v>0</v>
      </c>
      <c r="O90" s="57">
        <f t="shared" si="35"/>
        <v>0</v>
      </c>
      <c r="P90" s="57">
        <f t="shared" si="35"/>
        <v>0</v>
      </c>
      <c r="Q90" s="57">
        <f t="shared" si="35"/>
        <v>0</v>
      </c>
      <c r="R90" s="57">
        <f t="shared" si="35"/>
        <v>0</v>
      </c>
      <c r="S90" s="57">
        <f t="shared" si="35"/>
        <v>0</v>
      </c>
      <c r="T90" s="57">
        <f t="shared" si="35"/>
        <v>0</v>
      </c>
      <c r="U90" s="57">
        <f t="shared" si="35"/>
        <v>0</v>
      </c>
      <c r="V90" s="57">
        <f t="shared" si="35"/>
        <v>0</v>
      </c>
      <c r="W90" s="57">
        <f t="shared" si="35"/>
        <v>0</v>
      </c>
      <c r="X90" s="57">
        <f t="shared" si="35"/>
        <v>0</v>
      </c>
      <c r="Y90" s="57">
        <f t="shared" si="35"/>
        <v>0</v>
      </c>
      <c r="Z90" s="57">
        <f t="shared" si="35"/>
        <v>0</v>
      </c>
      <c r="AA90" s="57">
        <f t="shared" si="35"/>
        <v>0</v>
      </c>
      <c r="AB90" s="57">
        <f t="shared" si="35"/>
        <v>0</v>
      </c>
      <c r="AC90" s="57"/>
      <c r="AD90" s="57"/>
    </row>
    <row r="91" spans="1:30" x14ac:dyDescent="0.3">
      <c r="A91" s="54"/>
      <c r="B91" s="54" t="s">
        <v>71</v>
      </c>
      <c r="C91" s="57"/>
      <c r="D91" s="57">
        <f t="shared" ref="D91:AB91" si="36">IF(D90&gt;0,D90*$I$31,C92)</f>
        <v>0</v>
      </c>
      <c r="E91" s="57">
        <f t="shared" si="36"/>
        <v>0</v>
      </c>
      <c r="F91" s="57">
        <f t="shared" si="36"/>
        <v>0</v>
      </c>
      <c r="G91" s="57">
        <f t="shared" si="36"/>
        <v>0</v>
      </c>
      <c r="H91" s="57">
        <f t="shared" si="36"/>
        <v>0</v>
      </c>
      <c r="I91" s="57">
        <f t="shared" si="36"/>
        <v>0</v>
      </c>
      <c r="J91" s="57">
        <f t="shared" si="36"/>
        <v>0</v>
      </c>
      <c r="K91" s="57">
        <f t="shared" si="36"/>
        <v>0</v>
      </c>
      <c r="L91" s="57">
        <f t="shared" si="36"/>
        <v>0</v>
      </c>
      <c r="M91" s="57">
        <f t="shared" si="36"/>
        <v>0</v>
      </c>
      <c r="N91" s="57">
        <f t="shared" si="36"/>
        <v>0</v>
      </c>
      <c r="O91" s="57">
        <f t="shared" si="36"/>
        <v>0</v>
      </c>
      <c r="P91" s="57">
        <f t="shared" si="36"/>
        <v>0</v>
      </c>
      <c r="Q91" s="57">
        <f t="shared" si="36"/>
        <v>0</v>
      </c>
      <c r="R91" s="57">
        <f t="shared" si="36"/>
        <v>0</v>
      </c>
      <c r="S91" s="57">
        <f t="shared" si="36"/>
        <v>0</v>
      </c>
      <c r="T91" s="57">
        <f t="shared" si="36"/>
        <v>0</v>
      </c>
      <c r="U91" s="57">
        <f t="shared" si="36"/>
        <v>0</v>
      </c>
      <c r="V91" s="57">
        <f t="shared" si="36"/>
        <v>0</v>
      </c>
      <c r="W91" s="57">
        <f t="shared" si="36"/>
        <v>0</v>
      </c>
      <c r="X91" s="57">
        <f t="shared" si="36"/>
        <v>0</v>
      </c>
      <c r="Y91" s="57">
        <f t="shared" si="36"/>
        <v>0</v>
      </c>
      <c r="Z91" s="57">
        <f t="shared" si="36"/>
        <v>0</v>
      </c>
      <c r="AA91" s="57">
        <f t="shared" si="36"/>
        <v>0</v>
      </c>
      <c r="AB91" s="57">
        <f t="shared" si="36"/>
        <v>0</v>
      </c>
      <c r="AC91" s="57"/>
      <c r="AD91" s="57"/>
    </row>
    <row r="92" spans="1:30" x14ac:dyDescent="0.3">
      <c r="A92" s="54"/>
      <c r="B92" s="54" t="s">
        <v>72</v>
      </c>
      <c r="C92" s="57"/>
      <c r="D92" s="57">
        <f t="shared" ref="D92:AB92" si="37">D91-D89</f>
        <v>0</v>
      </c>
      <c r="E92" s="57">
        <f t="shared" si="37"/>
        <v>0</v>
      </c>
      <c r="F92" s="57">
        <f t="shared" si="37"/>
        <v>0</v>
      </c>
      <c r="G92" s="57">
        <f t="shared" si="37"/>
        <v>0</v>
      </c>
      <c r="H92" s="57">
        <f t="shared" si="37"/>
        <v>0</v>
      </c>
      <c r="I92" s="57">
        <f t="shared" si="37"/>
        <v>0</v>
      </c>
      <c r="J92" s="57">
        <f t="shared" si="37"/>
        <v>0</v>
      </c>
      <c r="K92" s="57">
        <f t="shared" si="37"/>
        <v>0</v>
      </c>
      <c r="L92" s="57">
        <f t="shared" si="37"/>
        <v>0</v>
      </c>
      <c r="M92" s="57">
        <f t="shared" si="37"/>
        <v>0</v>
      </c>
      <c r="N92" s="57">
        <f t="shared" si="37"/>
        <v>0</v>
      </c>
      <c r="O92" s="57">
        <f t="shared" si="37"/>
        <v>0</v>
      </c>
      <c r="P92" s="57">
        <f t="shared" si="37"/>
        <v>0</v>
      </c>
      <c r="Q92" s="57">
        <f t="shared" si="37"/>
        <v>0</v>
      </c>
      <c r="R92" s="57">
        <f t="shared" si="37"/>
        <v>0</v>
      </c>
      <c r="S92" s="57">
        <f t="shared" si="37"/>
        <v>0</v>
      </c>
      <c r="T92" s="57">
        <f t="shared" si="37"/>
        <v>0</v>
      </c>
      <c r="U92" s="57">
        <f t="shared" si="37"/>
        <v>0</v>
      </c>
      <c r="V92" s="57">
        <f t="shared" si="37"/>
        <v>0</v>
      </c>
      <c r="W92" s="57">
        <f t="shared" si="37"/>
        <v>0</v>
      </c>
      <c r="X92" s="57">
        <f t="shared" si="37"/>
        <v>0</v>
      </c>
      <c r="Y92" s="57">
        <f t="shared" si="37"/>
        <v>0</v>
      </c>
      <c r="Z92" s="57">
        <f t="shared" si="37"/>
        <v>0</v>
      </c>
      <c r="AA92" s="57">
        <f t="shared" si="37"/>
        <v>0</v>
      </c>
      <c r="AB92" s="57">
        <f t="shared" si="37"/>
        <v>0</v>
      </c>
      <c r="AC92" s="57"/>
      <c r="AD92" s="57"/>
    </row>
    <row r="93" spans="1:30" x14ac:dyDescent="0.3">
      <c r="A93" s="3"/>
      <c r="B93" s="3" t="s">
        <v>80</v>
      </c>
      <c r="C93" s="61"/>
      <c r="D93" s="61">
        <f>D66-D69</f>
        <v>2868.9249690508836</v>
      </c>
      <c r="E93" s="61">
        <f t="shared" ref="E93:AB93" si="38">E66-E69</f>
        <v>2960.0906628107691</v>
      </c>
      <c r="F93" s="61">
        <f t="shared" si="38"/>
        <v>3052.9249899841329</v>
      </c>
      <c r="G93" s="61">
        <f t="shared" si="38"/>
        <v>3470.5247200413182</v>
      </c>
      <c r="H93" s="61">
        <f t="shared" si="38"/>
        <v>3574.8622380288575</v>
      </c>
      <c r="I93" s="61">
        <f t="shared" si="38"/>
        <v>3681.1605551658163</v>
      </c>
      <c r="J93" s="61">
        <f t="shared" si="38"/>
        <v>3789.4558196097773</v>
      </c>
      <c r="K93" s="61">
        <f t="shared" si="38"/>
        <v>3899.7848273948125</v>
      </c>
      <c r="L93" s="61">
        <f t="shared" si="38"/>
        <v>4012.1850335438317</v>
      </c>
      <c r="M93" s="61">
        <f t="shared" si="38"/>
        <v>4126.6945633576779</v>
      </c>
      <c r="N93" s="61">
        <f t="shared" si="38"/>
        <v>4723.3522238833775</v>
      </c>
      <c r="O93" s="61">
        <f t="shared" si="38"/>
        <v>4842.1975155640012</v>
      </c>
      <c r="P93" s="61">
        <f t="shared" si="38"/>
        <v>4963.2706440725469</v>
      </c>
      <c r="Q93" s="61">
        <f t="shared" si="38"/>
        <v>5086.6125323323704</v>
      </c>
      <c r="R93" s="61">
        <f t="shared" si="38"/>
        <v>5212.2648327265779</v>
      </c>
      <c r="S93" s="61">
        <f t="shared" si="38"/>
        <v>5340.2699394989759</v>
      </c>
      <c r="T93" s="61">
        <f t="shared" si="38"/>
        <v>5470.6710013490265</v>
      </c>
      <c r="U93" s="61">
        <f t="shared" si="38"/>
        <v>5603.5119342234029</v>
      </c>
      <c r="V93" s="61">
        <f t="shared" si="38"/>
        <v>5738.837434306728</v>
      </c>
      <c r="W93" s="61">
        <f t="shared" si="38"/>
        <v>5876.6929912139713</v>
      </c>
      <c r="X93" s="61">
        <f t="shared" si="38"/>
        <v>6017.1249013872566</v>
      </c>
      <c r="Y93" s="61">
        <f t="shared" si="38"/>
        <v>6160.1802816995569</v>
      </c>
      <c r="Z93" s="61">
        <f t="shared" si="38"/>
        <v>6305.9070832679972</v>
      </c>
      <c r="AA93" s="61">
        <f t="shared" si="38"/>
        <v>6454.3541054793513</v>
      </c>
      <c r="AB93" s="61">
        <f t="shared" si="38"/>
        <v>6605.5710102304593</v>
      </c>
      <c r="AC93" s="61"/>
      <c r="AD93" s="61"/>
    </row>
    <row r="94" spans="1:30" x14ac:dyDescent="0.3">
      <c r="A94" s="59"/>
      <c r="B94" s="59" t="s">
        <v>81</v>
      </c>
      <c r="C94" s="60"/>
      <c r="D94" s="60">
        <f>D93</f>
        <v>2868.9249690508836</v>
      </c>
      <c r="E94" s="60">
        <f t="shared" ref="E94:AB94" si="39">(D94+E93)*(E42&lt;=$C$19)</f>
        <v>5829.0156318616528</v>
      </c>
      <c r="F94" s="60">
        <f t="shared" si="39"/>
        <v>8881.9406218457862</v>
      </c>
      <c r="G94" s="60">
        <f t="shared" si="39"/>
        <v>12352.465341887104</v>
      </c>
      <c r="H94" s="60">
        <f t="shared" si="39"/>
        <v>15927.327579915962</v>
      </c>
      <c r="I94" s="60">
        <f t="shared" si="39"/>
        <v>19608.488135081778</v>
      </c>
      <c r="J94" s="60">
        <f t="shared" si="39"/>
        <v>23397.943954691556</v>
      </c>
      <c r="K94" s="60">
        <f t="shared" si="39"/>
        <v>27297.728782086368</v>
      </c>
      <c r="L94" s="60">
        <f t="shared" si="39"/>
        <v>31309.9138156302</v>
      </c>
      <c r="M94" s="60">
        <f t="shared" si="39"/>
        <v>35436.608378987876</v>
      </c>
      <c r="N94" s="60">
        <f t="shared" si="39"/>
        <v>40159.960602871251</v>
      </c>
      <c r="O94" s="60">
        <f t="shared" si="39"/>
        <v>45002.158118435254</v>
      </c>
      <c r="P94" s="60">
        <f t="shared" si="39"/>
        <v>49965.4287625078</v>
      </c>
      <c r="Q94" s="60">
        <f t="shared" si="39"/>
        <v>55052.041294840172</v>
      </c>
      <c r="R94" s="60">
        <f t="shared" si="39"/>
        <v>60264.30612756675</v>
      </c>
      <c r="S94" s="60">
        <f t="shared" si="39"/>
        <v>65604.576067065733</v>
      </c>
      <c r="T94" s="60">
        <f t="shared" si="39"/>
        <v>71075.247068414756</v>
      </c>
      <c r="U94" s="60">
        <f t="shared" si="39"/>
        <v>76678.759002638166</v>
      </c>
      <c r="V94" s="60">
        <f t="shared" si="39"/>
        <v>82417.596436944892</v>
      </c>
      <c r="W94" s="60">
        <f t="shared" si="39"/>
        <v>88294.289428158867</v>
      </c>
      <c r="X94" s="60">
        <f t="shared" si="39"/>
        <v>94311.414329546125</v>
      </c>
      <c r="Y94" s="60">
        <f t="shared" si="39"/>
        <v>100471.59461124569</v>
      </c>
      <c r="Z94" s="60">
        <f t="shared" si="39"/>
        <v>106777.50169451369</v>
      </c>
      <c r="AA94" s="60">
        <f t="shared" si="39"/>
        <v>113231.85579999303</v>
      </c>
      <c r="AB94" s="60">
        <f t="shared" si="39"/>
        <v>119837.42681022349</v>
      </c>
      <c r="AC94" s="60"/>
      <c r="AD94" s="60"/>
    </row>
    <row r="95" spans="1:30" x14ac:dyDescent="0.3">
      <c r="A95" s="59"/>
      <c r="B95" s="59" t="s">
        <v>82</v>
      </c>
      <c r="C95" s="60"/>
      <c r="D95" s="60">
        <f t="shared" ref="D95:AB95" si="40">IF((C94+D93)&lt;0,0,(D93+MIN(0,C94))*$H$32)</f>
        <v>717.23124226272091</v>
      </c>
      <c r="E95" s="60">
        <f t="shared" si="40"/>
        <v>740.02266570269228</v>
      </c>
      <c r="F95" s="60">
        <f t="shared" si="40"/>
        <v>763.23124749603323</v>
      </c>
      <c r="G95" s="60">
        <f t="shared" si="40"/>
        <v>867.63118001032956</v>
      </c>
      <c r="H95" s="60">
        <f t="shared" si="40"/>
        <v>893.71555950721438</v>
      </c>
      <c r="I95" s="60">
        <f t="shared" si="40"/>
        <v>920.29013879145407</v>
      </c>
      <c r="J95" s="60">
        <f t="shared" si="40"/>
        <v>947.36395490244433</v>
      </c>
      <c r="K95" s="60">
        <f t="shared" si="40"/>
        <v>974.94620684870313</v>
      </c>
      <c r="L95" s="60">
        <f t="shared" si="40"/>
        <v>1003.0462583859579</v>
      </c>
      <c r="M95" s="60">
        <f t="shared" si="40"/>
        <v>1031.6736408394195</v>
      </c>
      <c r="N95" s="60">
        <f t="shared" si="40"/>
        <v>1180.8380559708444</v>
      </c>
      <c r="O95" s="60">
        <f t="shared" si="40"/>
        <v>1210.5493788910003</v>
      </c>
      <c r="P95" s="60">
        <f t="shared" si="40"/>
        <v>1240.8176610181367</v>
      </c>
      <c r="Q95" s="60">
        <f t="shared" si="40"/>
        <v>1271.6531330830926</v>
      </c>
      <c r="R95" s="60">
        <f t="shared" si="40"/>
        <v>1303.0662081816445</v>
      </c>
      <c r="S95" s="60">
        <f t="shared" si="40"/>
        <v>1335.067484874744</v>
      </c>
      <c r="T95" s="60">
        <f t="shared" si="40"/>
        <v>1367.6677503372566</v>
      </c>
      <c r="U95" s="60">
        <f t="shared" si="40"/>
        <v>1400.8779835558507</v>
      </c>
      <c r="V95" s="60">
        <f t="shared" si="40"/>
        <v>1434.709358576682</v>
      </c>
      <c r="W95" s="60">
        <f t="shared" si="40"/>
        <v>1469.1732478034928</v>
      </c>
      <c r="X95" s="60">
        <f t="shared" si="40"/>
        <v>1504.2812253468142</v>
      </c>
      <c r="Y95" s="60">
        <f t="shared" si="40"/>
        <v>1540.0450704248892</v>
      </c>
      <c r="Z95" s="60">
        <f t="shared" si="40"/>
        <v>1576.4767708169993</v>
      </c>
      <c r="AA95" s="60">
        <f t="shared" si="40"/>
        <v>1613.5885263698378</v>
      </c>
      <c r="AB95" s="60">
        <f t="shared" si="40"/>
        <v>1651.3927525576148</v>
      </c>
      <c r="AC95" s="60"/>
      <c r="AD95" s="60"/>
    </row>
    <row r="96" spans="1:30" x14ac:dyDescent="0.3">
      <c r="C96" s="52"/>
      <c r="D96" s="52">
        <f t="shared" ref="D96:AB96" si="41">IF(ISERR(D93/D52),"n/a",D93/D52)</f>
        <v>0.47866114590787789</v>
      </c>
      <c r="E96" s="52">
        <f t="shared" si="41"/>
        <v>0.48424712697202943</v>
      </c>
      <c r="F96" s="52">
        <f t="shared" si="41"/>
        <v>0.48970126677007042</v>
      </c>
      <c r="G96" s="52">
        <f t="shared" si="41"/>
        <v>0.54583740004317149</v>
      </c>
      <c r="H96" s="52">
        <f t="shared" si="41"/>
        <v>0.55129050384073586</v>
      </c>
      <c r="I96" s="52">
        <f t="shared" si="41"/>
        <v>0.55662026655688635</v>
      </c>
      <c r="J96" s="52">
        <f t="shared" si="41"/>
        <v>0.56182900603083641</v>
      </c>
      <c r="K96" s="52">
        <f t="shared" si="41"/>
        <v>0.56691899450136574</v>
      </c>
      <c r="L96" s="52">
        <f t="shared" si="41"/>
        <v>0.57189245949330225</v>
      </c>
      <c r="M96" s="52">
        <f t="shared" si="41"/>
        <v>0.57675158468671517</v>
      </c>
      <c r="N96" s="52">
        <f t="shared" si="41"/>
        <v>0.64727652551848758</v>
      </c>
      <c r="O96" s="52">
        <f t="shared" si="41"/>
        <v>0.65063148996594833</v>
      </c>
      <c r="P96" s="52">
        <f t="shared" si="41"/>
        <v>0.65390339152721788</v>
      </c>
      <c r="Q96" s="52">
        <f t="shared" si="41"/>
        <v>0.65709376004912901</v>
      </c>
      <c r="R96" s="52">
        <f t="shared" si="41"/>
        <v>0.66020409511883071</v>
      </c>
      <c r="S96" s="52">
        <f t="shared" si="41"/>
        <v>0.66323586665123646</v>
      </c>
      <c r="T96" s="52">
        <f t="shared" si="41"/>
        <v>0.66619051546501185</v>
      </c>
      <c r="U96" s="52">
        <f t="shared" si="41"/>
        <v>0.66906945384732586</v>
      </c>
      <c r="V96" s="52">
        <f t="shared" si="41"/>
        <v>0.67187406610758837</v>
      </c>
      <c r="W96" s="52">
        <f t="shared" si="41"/>
        <v>0.6746057091203792</v>
      </c>
      <c r="X96" s="52">
        <f t="shared" si="41"/>
        <v>0.67726571285779147</v>
      </c>
      <c r="Y96" s="52">
        <f t="shared" si="41"/>
        <v>0.67985538091138431</v>
      </c>
      <c r="Z96" s="52">
        <f t="shared" si="41"/>
        <v>0.68237599100395641</v>
      </c>
      <c r="AA96" s="52">
        <f t="shared" si="41"/>
        <v>0.68482879549133069</v>
      </c>
      <c r="AB96" s="52">
        <f t="shared" si="41"/>
        <v>0.68721502185435368</v>
      </c>
      <c r="AC96" s="52"/>
      <c r="AD96" s="52"/>
    </row>
    <row r="98" spans="1:30" x14ac:dyDescent="0.3">
      <c r="A98" s="154"/>
      <c r="B98" s="154" t="s">
        <v>83</v>
      </c>
      <c r="C98" s="154"/>
      <c r="D98" s="155"/>
      <c r="E98" s="155"/>
      <c r="F98" s="155"/>
      <c r="G98" s="155"/>
      <c r="H98" s="155"/>
      <c r="I98" s="155"/>
      <c r="J98" s="155"/>
      <c r="K98" s="155"/>
      <c r="L98" s="155"/>
      <c r="M98" s="155"/>
      <c r="N98" s="155"/>
      <c r="O98" s="155"/>
      <c r="P98" s="155"/>
      <c r="Q98" s="155"/>
      <c r="R98" s="155"/>
      <c r="S98" s="155"/>
      <c r="T98" s="155"/>
      <c r="U98" s="155"/>
      <c r="V98" s="155"/>
      <c r="W98" s="155"/>
      <c r="X98" s="155"/>
      <c r="Y98" s="155"/>
      <c r="Z98" s="155"/>
      <c r="AA98" s="155"/>
      <c r="AB98" s="155"/>
      <c r="AC98" s="155"/>
      <c r="AD98" s="155"/>
    </row>
    <row r="99" spans="1:30" x14ac:dyDescent="0.3">
      <c r="B99" t="s">
        <v>84</v>
      </c>
      <c r="D99" s="38"/>
      <c r="E99" s="38"/>
      <c r="F99" s="38"/>
      <c r="G99" s="38"/>
      <c r="H99" s="38"/>
      <c r="I99" s="38"/>
      <c r="J99" s="38"/>
      <c r="K99" s="38"/>
      <c r="L99" s="38"/>
      <c r="M99" s="38"/>
      <c r="N99" s="38"/>
      <c r="O99" s="38"/>
      <c r="P99" s="38"/>
      <c r="Q99" s="38"/>
      <c r="R99" s="38"/>
      <c r="S99" s="38"/>
      <c r="T99" s="38"/>
      <c r="U99" s="38"/>
      <c r="V99" s="38"/>
      <c r="W99" s="38"/>
      <c r="X99" s="38"/>
      <c r="Y99" s="38"/>
      <c r="Z99" s="38"/>
      <c r="AA99" s="38"/>
      <c r="AB99" s="38"/>
      <c r="AC99" s="38"/>
      <c r="AD99" s="38"/>
    </row>
    <row r="100" spans="1:30" x14ac:dyDescent="0.3">
      <c r="A100" s="3"/>
      <c r="B100" s="3" t="s">
        <v>85</v>
      </c>
      <c r="C100" s="3"/>
      <c r="D100" s="61">
        <f>D93-D98+D99</f>
        <v>2868.9249690508836</v>
      </c>
      <c r="E100" s="61">
        <f t="shared" ref="E100:AB100" si="42">E93-E98+E99</f>
        <v>2960.0906628107691</v>
      </c>
      <c r="F100" s="61">
        <f t="shared" si="42"/>
        <v>3052.9249899841329</v>
      </c>
      <c r="G100" s="61">
        <f t="shared" si="42"/>
        <v>3470.5247200413182</v>
      </c>
      <c r="H100" s="61">
        <f t="shared" si="42"/>
        <v>3574.8622380288575</v>
      </c>
      <c r="I100" s="61">
        <f t="shared" si="42"/>
        <v>3681.1605551658163</v>
      </c>
      <c r="J100" s="61">
        <f t="shared" si="42"/>
        <v>3789.4558196097773</v>
      </c>
      <c r="K100" s="61">
        <f t="shared" si="42"/>
        <v>3899.7848273948125</v>
      </c>
      <c r="L100" s="61">
        <f t="shared" si="42"/>
        <v>4012.1850335438317</v>
      </c>
      <c r="M100" s="61">
        <f t="shared" si="42"/>
        <v>4126.6945633576779</v>
      </c>
      <c r="N100" s="61">
        <f t="shared" si="42"/>
        <v>4723.3522238833775</v>
      </c>
      <c r="O100" s="61">
        <f t="shared" si="42"/>
        <v>4842.1975155640012</v>
      </c>
      <c r="P100" s="61">
        <f t="shared" si="42"/>
        <v>4963.2706440725469</v>
      </c>
      <c r="Q100" s="61">
        <f t="shared" si="42"/>
        <v>5086.6125323323704</v>
      </c>
      <c r="R100" s="61">
        <f t="shared" si="42"/>
        <v>5212.2648327265779</v>
      </c>
      <c r="S100" s="61">
        <f t="shared" si="42"/>
        <v>5340.2699394989759</v>
      </c>
      <c r="T100" s="61">
        <f t="shared" si="42"/>
        <v>5470.6710013490265</v>
      </c>
      <c r="U100" s="61">
        <f t="shared" si="42"/>
        <v>5603.5119342234029</v>
      </c>
      <c r="V100" s="61">
        <f t="shared" si="42"/>
        <v>5738.837434306728</v>
      </c>
      <c r="W100" s="61">
        <f t="shared" si="42"/>
        <v>5876.6929912139713</v>
      </c>
      <c r="X100" s="61">
        <f t="shared" si="42"/>
        <v>6017.1249013872566</v>
      </c>
      <c r="Y100" s="61">
        <f t="shared" si="42"/>
        <v>6160.1802816995569</v>
      </c>
      <c r="Z100" s="61">
        <f t="shared" si="42"/>
        <v>6305.9070832679972</v>
      </c>
      <c r="AA100" s="61">
        <f t="shared" si="42"/>
        <v>6454.3541054793513</v>
      </c>
      <c r="AB100" s="61">
        <f t="shared" si="42"/>
        <v>6605.5710102304593</v>
      </c>
      <c r="AC100" s="61"/>
      <c r="AD100" s="61"/>
    </row>
    <row r="101" spans="1:30" x14ac:dyDescent="0.3">
      <c r="A101" s="3"/>
      <c r="B101" s="3" t="s">
        <v>86</v>
      </c>
      <c r="C101" s="3"/>
      <c r="D101" s="61">
        <f>D66-D82-D98+D99</f>
        <v>1342.5249690508836</v>
      </c>
      <c r="E101" s="61">
        <f t="shared" ref="E101:AB101" si="43">E66-E82-E98+E99</f>
        <v>1433.690662810769</v>
      </c>
      <c r="F101" s="61">
        <f t="shared" si="43"/>
        <v>1526.5249899841328</v>
      </c>
      <c r="G101" s="61">
        <f t="shared" si="43"/>
        <v>1944.1247200413181</v>
      </c>
      <c r="H101" s="61">
        <f t="shared" si="43"/>
        <v>2048.4622380288574</v>
      </c>
      <c r="I101" s="61">
        <f t="shared" si="43"/>
        <v>2154.7605551658162</v>
      </c>
      <c r="J101" s="61">
        <f t="shared" si="43"/>
        <v>2263.0558196097772</v>
      </c>
      <c r="K101" s="61">
        <f t="shared" si="43"/>
        <v>2373.3848273948124</v>
      </c>
      <c r="L101" s="61">
        <f t="shared" si="43"/>
        <v>2485.7850335438316</v>
      </c>
      <c r="M101" s="61">
        <f t="shared" si="43"/>
        <v>2600.2945633576774</v>
      </c>
      <c r="N101" s="61">
        <f t="shared" si="43"/>
        <v>3196.952223883377</v>
      </c>
      <c r="O101" s="61">
        <f t="shared" si="43"/>
        <v>3315.7975155640006</v>
      </c>
      <c r="P101" s="61">
        <f t="shared" si="43"/>
        <v>4963.2706440725442</v>
      </c>
      <c r="Q101" s="61">
        <f t="shared" si="43"/>
        <v>6613.01253233237</v>
      </c>
      <c r="R101" s="61">
        <f t="shared" si="43"/>
        <v>6738.6648327265775</v>
      </c>
      <c r="S101" s="61">
        <f t="shared" si="43"/>
        <v>6866.6699394989755</v>
      </c>
      <c r="T101" s="61">
        <f t="shared" si="43"/>
        <v>6997.0710013490261</v>
      </c>
      <c r="U101" s="61">
        <f t="shared" si="43"/>
        <v>7129.9119342234035</v>
      </c>
      <c r="V101" s="61">
        <f t="shared" si="43"/>
        <v>7265.2374343067277</v>
      </c>
      <c r="W101" s="61">
        <f t="shared" si="43"/>
        <v>7403.0929912139718</v>
      </c>
      <c r="X101" s="61">
        <f t="shared" si="43"/>
        <v>7543.5249013872563</v>
      </c>
      <c r="Y101" s="61">
        <f t="shared" si="43"/>
        <v>7686.5802816995574</v>
      </c>
      <c r="Z101" s="61">
        <f t="shared" si="43"/>
        <v>7832.3070832679969</v>
      </c>
      <c r="AA101" s="61">
        <f t="shared" si="43"/>
        <v>7980.754105479351</v>
      </c>
      <c r="AB101" s="61">
        <f t="shared" si="43"/>
        <v>8131.9710102304416</v>
      </c>
      <c r="AC101" s="61"/>
      <c r="AD101" s="61"/>
    </row>
    <row r="102" spans="1:30" x14ac:dyDescent="0.3">
      <c r="B102" t="s">
        <v>87</v>
      </c>
      <c r="C102" s="62"/>
      <c r="D102" s="62">
        <f>IF((C104+D101)&lt;0,0,MAX(0,(D101+(MIN(0,C104)))*$H$32))</f>
        <v>335.63124226272089</v>
      </c>
      <c r="E102" s="62">
        <f t="shared" ref="E102:AB102" si="44">IF((D104+E101)&lt;0,0,MAX(0,(E101+(MIN(0,D104)))*$H$32))</f>
        <v>358.42266570269226</v>
      </c>
      <c r="F102" s="62">
        <f t="shared" si="44"/>
        <v>381.63124749603321</v>
      </c>
      <c r="G102" s="62">
        <f t="shared" si="44"/>
        <v>486.03118001032954</v>
      </c>
      <c r="H102" s="62">
        <f t="shared" si="44"/>
        <v>512.11555950721436</v>
      </c>
      <c r="I102" s="62">
        <f t="shared" si="44"/>
        <v>538.69013879145405</v>
      </c>
      <c r="J102" s="62">
        <f t="shared" si="44"/>
        <v>565.76395490244431</v>
      </c>
      <c r="K102" s="62">
        <f t="shared" si="44"/>
        <v>593.3462068487031</v>
      </c>
      <c r="L102" s="62">
        <f t="shared" si="44"/>
        <v>621.44625838595789</v>
      </c>
      <c r="M102" s="62">
        <f t="shared" si="44"/>
        <v>650.07364083941934</v>
      </c>
      <c r="N102" s="62">
        <f t="shared" si="44"/>
        <v>799.23805597084424</v>
      </c>
      <c r="O102" s="62">
        <f t="shared" si="44"/>
        <v>828.94937889100015</v>
      </c>
      <c r="P102" s="62">
        <f t="shared" si="44"/>
        <v>1240.8176610181361</v>
      </c>
      <c r="Q102" s="62">
        <f t="shared" si="44"/>
        <v>1653.2531330830925</v>
      </c>
      <c r="R102" s="62">
        <f t="shared" si="44"/>
        <v>1684.6662081816444</v>
      </c>
      <c r="S102" s="62">
        <f t="shared" si="44"/>
        <v>1716.6674848747439</v>
      </c>
      <c r="T102" s="62">
        <f t="shared" si="44"/>
        <v>1749.2677503372565</v>
      </c>
      <c r="U102" s="62">
        <f t="shared" si="44"/>
        <v>1782.4779835558509</v>
      </c>
      <c r="V102" s="62">
        <f t="shared" si="44"/>
        <v>1816.3093585766819</v>
      </c>
      <c r="W102" s="62">
        <f t="shared" si="44"/>
        <v>1850.7732478034929</v>
      </c>
      <c r="X102" s="62">
        <f t="shared" si="44"/>
        <v>1885.8812253468141</v>
      </c>
      <c r="Y102" s="62">
        <f t="shared" si="44"/>
        <v>1921.6450704248894</v>
      </c>
      <c r="Z102" s="62">
        <f t="shared" si="44"/>
        <v>1958.0767708169992</v>
      </c>
      <c r="AA102" s="62">
        <f t="shared" si="44"/>
        <v>1995.1885263698377</v>
      </c>
      <c r="AB102" s="62">
        <f t="shared" si="44"/>
        <v>2032.9927525576104</v>
      </c>
      <c r="AC102" s="62"/>
      <c r="AD102" s="62"/>
    </row>
    <row r="103" spans="1:30" x14ac:dyDescent="0.3">
      <c r="A103" s="63"/>
      <c r="B103" s="63" t="s">
        <v>88</v>
      </c>
      <c r="C103" s="64"/>
      <c r="D103" s="64">
        <f>D101-D102</f>
        <v>1006.8937267881627</v>
      </c>
      <c r="E103" s="64">
        <f t="shared" ref="E103:AB103" si="45">E101-E102</f>
        <v>1075.2679971080768</v>
      </c>
      <c r="F103" s="64">
        <f t="shared" si="45"/>
        <v>1144.8937424880996</v>
      </c>
      <c r="G103" s="64">
        <f t="shared" si="45"/>
        <v>1458.0935400309886</v>
      </c>
      <c r="H103" s="64">
        <f t="shared" si="45"/>
        <v>1536.3466785216431</v>
      </c>
      <c r="I103" s="64">
        <f t="shared" si="45"/>
        <v>1616.0704163743621</v>
      </c>
      <c r="J103" s="64">
        <f t="shared" si="45"/>
        <v>1697.2918647073329</v>
      </c>
      <c r="K103" s="64">
        <f t="shared" si="45"/>
        <v>1780.0386205461093</v>
      </c>
      <c r="L103" s="64">
        <f t="shared" si="45"/>
        <v>1864.3387751578737</v>
      </c>
      <c r="M103" s="64">
        <f>M101-M102</f>
        <v>1950.220922518258</v>
      </c>
      <c r="N103" s="64">
        <f t="shared" si="45"/>
        <v>2397.7141679125325</v>
      </c>
      <c r="O103" s="64">
        <f t="shared" si="45"/>
        <v>2486.8481366730002</v>
      </c>
      <c r="P103" s="64">
        <f t="shared" si="45"/>
        <v>3722.4529830544079</v>
      </c>
      <c r="Q103" s="64">
        <f t="shared" si="45"/>
        <v>4959.7593992492775</v>
      </c>
      <c r="R103" s="64">
        <f t="shared" si="45"/>
        <v>5053.9986245449327</v>
      </c>
      <c r="S103" s="64">
        <f t="shared" si="45"/>
        <v>5150.0024546242312</v>
      </c>
      <c r="T103" s="64">
        <f t="shared" si="45"/>
        <v>5247.80325101177</v>
      </c>
      <c r="U103" s="64">
        <f t="shared" si="45"/>
        <v>5347.4339506675524</v>
      </c>
      <c r="V103" s="64">
        <f t="shared" si="45"/>
        <v>5448.9280757300457</v>
      </c>
      <c r="W103" s="64">
        <f t="shared" si="45"/>
        <v>5552.3197434104786</v>
      </c>
      <c r="X103" s="64">
        <f t="shared" si="45"/>
        <v>5657.6436760404422</v>
      </c>
      <c r="Y103" s="64">
        <f t="shared" si="45"/>
        <v>5764.9352112746683</v>
      </c>
      <c r="Z103" s="64">
        <f t="shared" si="45"/>
        <v>5874.2303124509981</v>
      </c>
      <c r="AA103" s="64">
        <f t="shared" si="45"/>
        <v>5985.5655791095132</v>
      </c>
      <c r="AB103" s="64">
        <f t="shared" si="45"/>
        <v>6098.9782576728312</v>
      </c>
      <c r="AC103" s="64"/>
      <c r="AD103" s="64"/>
    </row>
    <row r="104" spans="1:30" x14ac:dyDescent="0.3">
      <c r="A104" s="63"/>
      <c r="B104" s="63" t="s">
        <v>89</v>
      </c>
      <c r="C104" s="64">
        <v>0</v>
      </c>
      <c r="D104" s="65">
        <f>D103</f>
        <v>1006.8937267881627</v>
      </c>
      <c r="E104" s="65">
        <f t="shared" ref="E104:AB104" si="46">(D104+E103)*(E42&lt;=$C$19)</f>
        <v>2082.1617238962394</v>
      </c>
      <c r="F104" s="65">
        <f t="shared" si="46"/>
        <v>3227.0554663843391</v>
      </c>
      <c r="G104" s="65">
        <f t="shared" si="46"/>
        <v>4685.1490064153277</v>
      </c>
      <c r="H104" s="65">
        <f t="shared" si="46"/>
        <v>6221.495684936971</v>
      </c>
      <c r="I104" s="65">
        <f t="shared" si="46"/>
        <v>7837.5661013113331</v>
      </c>
      <c r="J104" s="65">
        <f t="shared" si="46"/>
        <v>9534.857966018666</v>
      </c>
      <c r="K104" s="65">
        <f t="shared" si="46"/>
        <v>11314.896586564775</v>
      </c>
      <c r="L104" s="65">
        <f t="shared" si="46"/>
        <v>13179.235361722649</v>
      </c>
      <c r="M104" s="65">
        <f t="shared" si="46"/>
        <v>15129.456284240907</v>
      </c>
      <c r="N104" s="65">
        <f t="shared" si="46"/>
        <v>17527.170452153441</v>
      </c>
      <c r="O104" s="65">
        <f t="shared" si="46"/>
        <v>20014.018588826442</v>
      </c>
      <c r="P104" s="65">
        <f t="shared" si="46"/>
        <v>23736.471571880851</v>
      </c>
      <c r="Q104" s="65">
        <f t="shared" si="46"/>
        <v>28696.230971130128</v>
      </c>
      <c r="R104" s="65">
        <f t="shared" si="46"/>
        <v>33750.22959567506</v>
      </c>
      <c r="S104" s="65">
        <f t="shared" si="46"/>
        <v>38900.232050299295</v>
      </c>
      <c r="T104" s="65">
        <f t="shared" si="46"/>
        <v>44148.035301311065</v>
      </c>
      <c r="U104" s="65">
        <f t="shared" si="46"/>
        <v>49495.469251978619</v>
      </c>
      <c r="V104" s="65">
        <f t="shared" si="46"/>
        <v>54944.397327708662</v>
      </c>
      <c r="W104" s="65">
        <f t="shared" si="46"/>
        <v>60496.717071119143</v>
      </c>
      <c r="X104" s="65">
        <f t="shared" si="46"/>
        <v>66154.36074715959</v>
      </c>
      <c r="Y104" s="65">
        <f t="shared" si="46"/>
        <v>71919.295958434261</v>
      </c>
      <c r="Z104" s="65">
        <f t="shared" si="46"/>
        <v>77793.526270885253</v>
      </c>
      <c r="AA104" s="65">
        <f t="shared" si="46"/>
        <v>83779.091849994773</v>
      </c>
      <c r="AB104" s="65">
        <f t="shared" si="46"/>
        <v>89878.070107667605</v>
      </c>
      <c r="AC104" s="65"/>
      <c r="AD104" s="65"/>
    </row>
    <row r="105" spans="1:30" x14ac:dyDescent="0.3">
      <c r="A105" s="63"/>
      <c r="B105" s="63" t="s">
        <v>90</v>
      </c>
      <c r="C105" s="64"/>
      <c r="D105" s="65">
        <f>D101+D98</f>
        <v>1342.5249690508836</v>
      </c>
      <c r="E105" s="65">
        <f t="shared" ref="E105:AB105" si="47">E101+E98</f>
        <v>1433.690662810769</v>
      </c>
      <c r="F105" s="65">
        <f t="shared" si="47"/>
        <v>1526.5249899841328</v>
      </c>
      <c r="G105" s="65">
        <f t="shared" si="47"/>
        <v>1944.1247200413181</v>
      </c>
      <c r="H105" s="65">
        <f t="shared" si="47"/>
        <v>2048.4622380288574</v>
      </c>
      <c r="I105" s="65">
        <f t="shared" si="47"/>
        <v>2154.7605551658162</v>
      </c>
      <c r="J105" s="65">
        <f t="shared" si="47"/>
        <v>2263.0558196097772</v>
      </c>
      <c r="K105" s="65">
        <f t="shared" si="47"/>
        <v>2373.3848273948124</v>
      </c>
      <c r="L105" s="65">
        <f t="shared" si="47"/>
        <v>2485.7850335438316</v>
      </c>
      <c r="M105" s="65">
        <f t="shared" si="47"/>
        <v>2600.2945633576774</v>
      </c>
      <c r="N105" s="65">
        <f t="shared" si="47"/>
        <v>3196.952223883377</v>
      </c>
      <c r="O105" s="65">
        <f t="shared" si="47"/>
        <v>3315.7975155640006</v>
      </c>
      <c r="P105" s="65">
        <f>P101+P98</f>
        <v>4963.2706440725442</v>
      </c>
      <c r="Q105" s="65">
        <f t="shared" si="47"/>
        <v>6613.01253233237</v>
      </c>
      <c r="R105" s="65">
        <f t="shared" si="47"/>
        <v>6738.6648327265775</v>
      </c>
      <c r="S105" s="65">
        <f t="shared" si="47"/>
        <v>6866.6699394989755</v>
      </c>
      <c r="T105" s="65">
        <f t="shared" si="47"/>
        <v>6997.0710013490261</v>
      </c>
      <c r="U105" s="65">
        <f t="shared" si="47"/>
        <v>7129.9119342234035</v>
      </c>
      <c r="V105" s="65">
        <f t="shared" si="47"/>
        <v>7265.2374343067277</v>
      </c>
      <c r="W105" s="65">
        <f t="shared" si="47"/>
        <v>7403.0929912139718</v>
      </c>
      <c r="X105" s="65">
        <f t="shared" si="47"/>
        <v>7543.5249013872563</v>
      </c>
      <c r="Y105" s="65">
        <f t="shared" si="47"/>
        <v>7686.5802816995574</v>
      </c>
      <c r="Z105" s="65">
        <f t="shared" si="47"/>
        <v>7832.3070832679969</v>
      </c>
      <c r="AA105" s="65">
        <f t="shared" si="47"/>
        <v>7980.754105479351</v>
      </c>
      <c r="AB105" s="65">
        <f t="shared" si="47"/>
        <v>8131.9710102304416</v>
      </c>
      <c r="AC105" s="65"/>
      <c r="AD105" s="65"/>
    </row>
    <row r="106" spans="1:30" x14ac:dyDescent="0.3">
      <c r="A106" s="63"/>
      <c r="B106" s="63" t="s">
        <v>91</v>
      </c>
      <c r="C106" s="64"/>
      <c r="D106" s="66">
        <f>IF((C108+D105)&lt;0,0,MAX(0,(D105+(MIN(0,C108)))*$H$32))</f>
        <v>335.63124226272089</v>
      </c>
      <c r="E106" s="66">
        <f>IF((D108+E105)&lt;0,0,MAX(0,(E105+(MIN(0,D108)))*$H$32))</f>
        <v>358.42266570269226</v>
      </c>
      <c r="F106" s="66">
        <f t="shared" ref="F106:AB106" si="48">IF((E108+F105)&lt;0,0,MAX(0,(F105+(MIN(0,E108)))*$H$32))</f>
        <v>381.63124749603321</v>
      </c>
      <c r="G106" s="66">
        <f t="shared" si="48"/>
        <v>486.03118001032954</v>
      </c>
      <c r="H106" s="66">
        <f t="shared" si="48"/>
        <v>512.11555950721436</v>
      </c>
      <c r="I106" s="66">
        <f t="shared" si="48"/>
        <v>538.69013879145405</v>
      </c>
      <c r="J106" s="66">
        <f t="shared" si="48"/>
        <v>565.76395490244431</v>
      </c>
      <c r="K106" s="66">
        <f t="shared" si="48"/>
        <v>593.3462068487031</v>
      </c>
      <c r="L106" s="66">
        <f t="shared" si="48"/>
        <v>621.44625838595789</v>
      </c>
      <c r="M106" s="66">
        <f t="shared" si="48"/>
        <v>650.07364083941934</v>
      </c>
      <c r="N106" s="66">
        <f t="shared" si="48"/>
        <v>799.23805597084424</v>
      </c>
      <c r="O106" s="66">
        <f t="shared" si="48"/>
        <v>828.94937889100015</v>
      </c>
      <c r="P106" s="66">
        <f t="shared" si="48"/>
        <v>1240.8176610181361</v>
      </c>
      <c r="Q106" s="66">
        <f t="shared" si="48"/>
        <v>1653.2531330830925</v>
      </c>
      <c r="R106" s="66">
        <f t="shared" si="48"/>
        <v>1684.6662081816444</v>
      </c>
      <c r="S106" s="66">
        <f t="shared" si="48"/>
        <v>1716.6674848747439</v>
      </c>
      <c r="T106" s="66">
        <f t="shared" si="48"/>
        <v>1749.2677503372565</v>
      </c>
      <c r="U106" s="66">
        <f t="shared" si="48"/>
        <v>1782.4779835558509</v>
      </c>
      <c r="V106" s="66">
        <f t="shared" si="48"/>
        <v>1816.3093585766819</v>
      </c>
      <c r="W106" s="66">
        <f t="shared" si="48"/>
        <v>1850.7732478034929</v>
      </c>
      <c r="X106" s="66">
        <f t="shared" si="48"/>
        <v>1885.8812253468141</v>
      </c>
      <c r="Y106" s="66">
        <f t="shared" si="48"/>
        <v>1921.6450704248894</v>
      </c>
      <c r="Z106" s="66">
        <f t="shared" si="48"/>
        <v>1958.0767708169992</v>
      </c>
      <c r="AA106" s="66">
        <f t="shared" si="48"/>
        <v>1995.1885263698377</v>
      </c>
      <c r="AB106" s="66">
        <f t="shared" si="48"/>
        <v>2032.9927525576104</v>
      </c>
      <c r="AC106" s="66"/>
      <c r="AD106" s="66"/>
    </row>
    <row r="107" spans="1:30" x14ac:dyDescent="0.3">
      <c r="A107" s="63"/>
      <c r="B107" s="63" t="s">
        <v>92</v>
      </c>
      <c r="C107" s="64"/>
      <c r="D107" s="64">
        <f>D105-D106</f>
        <v>1006.8937267881627</v>
      </c>
      <c r="E107" s="64">
        <f t="shared" ref="E107:AB107" si="49">E105-E106</f>
        <v>1075.2679971080768</v>
      </c>
      <c r="F107" s="64">
        <f t="shared" si="49"/>
        <v>1144.8937424880996</v>
      </c>
      <c r="G107" s="64">
        <f t="shared" si="49"/>
        <v>1458.0935400309886</v>
      </c>
      <c r="H107" s="64">
        <f t="shared" si="49"/>
        <v>1536.3466785216431</v>
      </c>
      <c r="I107" s="64">
        <f t="shared" si="49"/>
        <v>1616.0704163743621</v>
      </c>
      <c r="J107" s="64">
        <f t="shared" si="49"/>
        <v>1697.2918647073329</v>
      </c>
      <c r="K107" s="64">
        <f t="shared" si="49"/>
        <v>1780.0386205461093</v>
      </c>
      <c r="L107" s="64">
        <f t="shared" si="49"/>
        <v>1864.3387751578737</v>
      </c>
      <c r="M107" s="64">
        <f t="shared" si="49"/>
        <v>1950.220922518258</v>
      </c>
      <c r="N107" s="64">
        <f t="shared" si="49"/>
        <v>2397.7141679125325</v>
      </c>
      <c r="O107" s="64">
        <f t="shared" si="49"/>
        <v>2486.8481366730002</v>
      </c>
      <c r="P107" s="64">
        <f t="shared" si="49"/>
        <v>3722.4529830544079</v>
      </c>
      <c r="Q107" s="64">
        <f t="shared" si="49"/>
        <v>4959.7593992492775</v>
      </c>
      <c r="R107" s="64">
        <f t="shared" si="49"/>
        <v>5053.9986245449327</v>
      </c>
      <c r="S107" s="64">
        <f t="shared" si="49"/>
        <v>5150.0024546242312</v>
      </c>
      <c r="T107" s="64">
        <f t="shared" si="49"/>
        <v>5247.80325101177</v>
      </c>
      <c r="U107" s="64">
        <f t="shared" si="49"/>
        <v>5347.4339506675524</v>
      </c>
      <c r="V107" s="64">
        <f t="shared" si="49"/>
        <v>5448.9280757300457</v>
      </c>
      <c r="W107" s="64">
        <f t="shared" si="49"/>
        <v>5552.3197434104786</v>
      </c>
      <c r="X107" s="64">
        <f t="shared" si="49"/>
        <v>5657.6436760404422</v>
      </c>
      <c r="Y107" s="64">
        <f t="shared" si="49"/>
        <v>5764.9352112746683</v>
      </c>
      <c r="Z107" s="64">
        <f t="shared" si="49"/>
        <v>5874.2303124509981</v>
      </c>
      <c r="AA107" s="64">
        <f t="shared" si="49"/>
        <v>5985.5655791095132</v>
      </c>
      <c r="AB107" s="64">
        <f t="shared" si="49"/>
        <v>6098.9782576728312</v>
      </c>
      <c r="AC107" s="64"/>
      <c r="AD107" s="64"/>
    </row>
    <row r="108" spans="1:30" x14ac:dyDescent="0.3">
      <c r="A108" s="63"/>
      <c r="B108" s="63" t="s">
        <v>93</v>
      </c>
      <c r="C108" s="64"/>
      <c r="D108" s="65">
        <f>D107</f>
        <v>1006.8937267881627</v>
      </c>
      <c r="E108" s="65">
        <f t="shared" ref="E108:AB108" si="50">(D108+E107)*(E42&lt;=$C$19)</f>
        <v>2082.1617238962394</v>
      </c>
      <c r="F108" s="65">
        <f t="shared" si="50"/>
        <v>3227.0554663843391</v>
      </c>
      <c r="G108" s="65">
        <f t="shared" si="50"/>
        <v>4685.1490064153277</v>
      </c>
      <c r="H108" s="65">
        <f t="shared" si="50"/>
        <v>6221.495684936971</v>
      </c>
      <c r="I108" s="65">
        <f t="shared" si="50"/>
        <v>7837.5661013113331</v>
      </c>
      <c r="J108" s="65">
        <f t="shared" si="50"/>
        <v>9534.857966018666</v>
      </c>
      <c r="K108" s="65">
        <f t="shared" si="50"/>
        <v>11314.896586564775</v>
      </c>
      <c r="L108" s="65">
        <f t="shared" si="50"/>
        <v>13179.235361722649</v>
      </c>
      <c r="M108" s="65">
        <f t="shared" si="50"/>
        <v>15129.456284240907</v>
      </c>
      <c r="N108" s="65">
        <f t="shared" si="50"/>
        <v>17527.170452153441</v>
      </c>
      <c r="O108" s="65">
        <f t="shared" si="50"/>
        <v>20014.018588826442</v>
      </c>
      <c r="P108" s="65">
        <f t="shared" si="50"/>
        <v>23736.471571880851</v>
      </c>
      <c r="Q108" s="65">
        <f t="shared" si="50"/>
        <v>28696.230971130128</v>
      </c>
      <c r="R108" s="65">
        <f t="shared" si="50"/>
        <v>33750.22959567506</v>
      </c>
      <c r="S108" s="65">
        <f t="shared" si="50"/>
        <v>38900.232050299295</v>
      </c>
      <c r="T108" s="65">
        <f t="shared" si="50"/>
        <v>44148.035301311065</v>
      </c>
      <c r="U108" s="65">
        <f t="shared" si="50"/>
        <v>49495.469251978619</v>
      </c>
      <c r="V108" s="65">
        <f t="shared" si="50"/>
        <v>54944.397327708662</v>
      </c>
      <c r="W108" s="65">
        <f t="shared" si="50"/>
        <v>60496.717071119143</v>
      </c>
      <c r="X108" s="65">
        <f t="shared" si="50"/>
        <v>66154.36074715959</v>
      </c>
      <c r="Y108" s="65">
        <f t="shared" si="50"/>
        <v>71919.295958434261</v>
      </c>
      <c r="Z108" s="65">
        <f t="shared" si="50"/>
        <v>77793.526270885253</v>
      </c>
      <c r="AA108" s="65">
        <f t="shared" si="50"/>
        <v>83779.091849994773</v>
      </c>
      <c r="AB108" s="65">
        <f t="shared" si="50"/>
        <v>89878.070107667605</v>
      </c>
      <c r="AC108" s="65"/>
      <c r="AD108" s="65"/>
    </row>
    <row r="109" spans="1:30" x14ac:dyDescent="0.3">
      <c r="A109" s="63"/>
      <c r="B109" s="63" t="s">
        <v>94</v>
      </c>
      <c r="C109" s="64"/>
      <c r="D109" s="65">
        <f>MAX(0,D106-D102)</f>
        <v>0</v>
      </c>
      <c r="E109" s="65">
        <f t="shared" ref="E109:AB109" si="51">MAX(0,E106-E102)</f>
        <v>0</v>
      </c>
      <c r="F109" s="65">
        <f t="shared" si="51"/>
        <v>0</v>
      </c>
      <c r="G109" s="65">
        <f t="shared" si="51"/>
        <v>0</v>
      </c>
      <c r="H109" s="65">
        <f t="shared" si="51"/>
        <v>0</v>
      </c>
      <c r="I109" s="65">
        <f t="shared" si="51"/>
        <v>0</v>
      </c>
      <c r="J109" s="65">
        <f t="shared" si="51"/>
        <v>0</v>
      </c>
      <c r="K109" s="65">
        <f t="shared" si="51"/>
        <v>0</v>
      </c>
      <c r="L109" s="65">
        <f t="shared" si="51"/>
        <v>0</v>
      </c>
      <c r="M109" s="65">
        <f t="shared" si="51"/>
        <v>0</v>
      </c>
      <c r="N109" s="65">
        <f t="shared" si="51"/>
        <v>0</v>
      </c>
      <c r="O109" s="65">
        <f t="shared" si="51"/>
        <v>0</v>
      </c>
      <c r="P109" s="65">
        <f t="shared" si="51"/>
        <v>0</v>
      </c>
      <c r="Q109" s="65">
        <f t="shared" si="51"/>
        <v>0</v>
      </c>
      <c r="R109" s="65">
        <f t="shared" si="51"/>
        <v>0</v>
      </c>
      <c r="S109" s="65">
        <f t="shared" si="51"/>
        <v>0</v>
      </c>
      <c r="T109" s="65">
        <f t="shared" si="51"/>
        <v>0</v>
      </c>
      <c r="U109" s="65">
        <f t="shared" si="51"/>
        <v>0</v>
      </c>
      <c r="V109" s="65">
        <f t="shared" si="51"/>
        <v>0</v>
      </c>
      <c r="W109" s="65">
        <f t="shared" si="51"/>
        <v>0</v>
      </c>
      <c r="X109" s="65">
        <f t="shared" si="51"/>
        <v>0</v>
      </c>
      <c r="Y109" s="65">
        <f t="shared" si="51"/>
        <v>0</v>
      </c>
      <c r="Z109" s="65">
        <f t="shared" si="51"/>
        <v>0</v>
      </c>
      <c r="AA109" s="65">
        <f t="shared" si="51"/>
        <v>0</v>
      </c>
      <c r="AB109" s="65">
        <f t="shared" si="51"/>
        <v>0</v>
      </c>
      <c r="AC109" s="65"/>
      <c r="AD109" s="65"/>
    </row>
    <row r="110" spans="1:30" x14ac:dyDescent="0.3">
      <c r="A110" s="3"/>
      <c r="B110" s="67" t="s">
        <v>95</v>
      </c>
      <c r="C110" s="68"/>
      <c r="D110" s="68">
        <f>D100-D102</f>
        <v>2533.2937267881625</v>
      </c>
      <c r="E110" s="61">
        <f>E100-E102</f>
        <v>2601.6679971080766</v>
      </c>
      <c r="F110" s="61">
        <f t="shared" ref="F110:AB110" si="52">F100-F102</f>
        <v>2671.2937424880997</v>
      </c>
      <c r="G110" s="61">
        <f t="shared" si="52"/>
        <v>2984.4935400309887</v>
      </c>
      <c r="H110" s="61">
        <f t="shared" si="52"/>
        <v>3062.7466785216429</v>
      </c>
      <c r="I110" s="61">
        <f t="shared" si="52"/>
        <v>3142.4704163743622</v>
      </c>
      <c r="J110" s="61">
        <f t="shared" si="52"/>
        <v>3223.691864707333</v>
      </c>
      <c r="K110" s="61">
        <f t="shared" si="52"/>
        <v>3306.4386205461096</v>
      </c>
      <c r="L110" s="61">
        <f t="shared" si="52"/>
        <v>3390.7387751578735</v>
      </c>
      <c r="M110" s="61">
        <f t="shared" si="52"/>
        <v>3476.6209225182583</v>
      </c>
      <c r="N110" s="61">
        <f t="shared" si="52"/>
        <v>3924.114167912533</v>
      </c>
      <c r="O110" s="61">
        <f t="shared" si="52"/>
        <v>4013.2481366730008</v>
      </c>
      <c r="P110" s="61">
        <f t="shared" si="52"/>
        <v>3722.4529830544107</v>
      </c>
      <c r="Q110" s="61">
        <f t="shared" si="52"/>
        <v>3433.3593992492779</v>
      </c>
      <c r="R110" s="61">
        <f t="shared" si="52"/>
        <v>3527.5986245449335</v>
      </c>
      <c r="S110" s="61">
        <f t="shared" si="52"/>
        <v>3623.602454624232</v>
      </c>
      <c r="T110" s="61">
        <f t="shared" si="52"/>
        <v>3721.40325101177</v>
      </c>
      <c r="U110" s="61">
        <f t="shared" si="52"/>
        <v>3821.0339506675518</v>
      </c>
      <c r="V110" s="61">
        <f t="shared" si="52"/>
        <v>3922.5280757300461</v>
      </c>
      <c r="W110" s="61">
        <f t="shared" si="52"/>
        <v>4025.9197434104781</v>
      </c>
      <c r="X110" s="61">
        <f t="shared" si="52"/>
        <v>4131.2436760404426</v>
      </c>
      <c r="Y110" s="61">
        <f t="shared" si="52"/>
        <v>4238.5352112746677</v>
      </c>
      <c r="Z110" s="61">
        <f t="shared" si="52"/>
        <v>4347.8303124509985</v>
      </c>
      <c r="AA110" s="61">
        <f t="shared" si="52"/>
        <v>4459.1655791095136</v>
      </c>
      <c r="AB110" s="61">
        <f t="shared" si="52"/>
        <v>4572.5782576728488</v>
      </c>
      <c r="AC110" s="61"/>
      <c r="AD110" s="61"/>
    </row>
    <row r="111" spans="1:30" x14ac:dyDescent="0.3">
      <c r="A111" s="3"/>
      <c r="B111" t="s">
        <v>81</v>
      </c>
      <c r="C111" s="61"/>
      <c r="D111" s="38">
        <f>D110</f>
        <v>2533.2937267881625</v>
      </c>
      <c r="E111" s="38">
        <f t="shared" ref="E111:AB111" si="53">(D111+E110)*(E42&lt;=$C$19)</f>
        <v>5134.9617238962392</v>
      </c>
      <c r="F111" s="38">
        <f t="shared" si="53"/>
        <v>7806.2554663843384</v>
      </c>
      <c r="G111" s="38">
        <f t="shared" si="53"/>
        <v>10790.749006415328</v>
      </c>
      <c r="H111" s="38">
        <f t="shared" si="53"/>
        <v>13853.49568493697</v>
      </c>
      <c r="I111" s="38">
        <f t="shared" si="53"/>
        <v>16995.966101311333</v>
      </c>
      <c r="J111" s="38">
        <f t="shared" si="53"/>
        <v>20219.657966018665</v>
      </c>
      <c r="K111" s="38">
        <f t="shared" si="53"/>
        <v>23526.096586564774</v>
      </c>
      <c r="L111" s="38">
        <f t="shared" si="53"/>
        <v>26916.835361722646</v>
      </c>
      <c r="M111" s="38">
        <f t="shared" si="53"/>
        <v>30393.456284240903</v>
      </c>
      <c r="N111" s="38">
        <f t="shared" si="53"/>
        <v>34317.570452153435</v>
      </c>
      <c r="O111" s="38">
        <f t="shared" si="53"/>
        <v>38330.818588826434</v>
      </c>
      <c r="P111" s="38">
        <f t="shared" si="53"/>
        <v>42053.271571880847</v>
      </c>
      <c r="Q111" s="38">
        <f t="shared" si="53"/>
        <v>45486.630971130122</v>
      </c>
      <c r="R111" s="38">
        <f t="shared" si="53"/>
        <v>49014.229595675053</v>
      </c>
      <c r="S111" s="38">
        <f t="shared" si="53"/>
        <v>52637.832050299286</v>
      </c>
      <c r="T111" s="38">
        <f t="shared" si="53"/>
        <v>56359.235301311055</v>
      </c>
      <c r="U111" s="38">
        <f t="shared" si="53"/>
        <v>60180.269251978607</v>
      </c>
      <c r="V111" s="38">
        <f t="shared" si="53"/>
        <v>64102.797327708657</v>
      </c>
      <c r="W111" s="38">
        <f t="shared" si="53"/>
        <v>68128.717071119128</v>
      </c>
      <c r="X111" s="38">
        <f t="shared" si="53"/>
        <v>72259.960747159566</v>
      </c>
      <c r="Y111" s="38">
        <f t="shared" si="53"/>
        <v>76498.495958434229</v>
      </c>
      <c r="Z111" s="38">
        <f t="shared" si="53"/>
        <v>80846.326270885227</v>
      </c>
      <c r="AA111" s="38">
        <f t="shared" si="53"/>
        <v>85305.491849994738</v>
      </c>
      <c r="AB111" s="38">
        <f t="shared" si="53"/>
        <v>89878.07010766759</v>
      </c>
      <c r="AC111" s="38"/>
      <c r="AD111" s="38"/>
    </row>
    <row r="112" spans="1:30" x14ac:dyDescent="0.3">
      <c r="C112" s="52"/>
      <c r="D112" s="52">
        <f t="shared" ref="D112:AB112" si="54">IF(ISERR(D110/D52),"n/a",D110/D52)</f>
        <v>0.42266329418395948</v>
      </c>
      <c r="E112" s="52">
        <f t="shared" si="54"/>
        <v>0.42561204923985774</v>
      </c>
      <c r="F112" s="52">
        <f t="shared" si="54"/>
        <v>0.42848610231271467</v>
      </c>
      <c r="G112" s="52">
        <f t="shared" si="54"/>
        <v>0.46939535826638956</v>
      </c>
      <c r="H112" s="52">
        <f t="shared" si="54"/>
        <v>0.47231558787835637</v>
      </c>
      <c r="I112" s="52">
        <f t="shared" si="54"/>
        <v>0.47516610443812518</v>
      </c>
      <c r="J112" s="52">
        <f t="shared" si="54"/>
        <v>0.47794820214706202</v>
      </c>
      <c r="K112" s="52">
        <f t="shared" si="54"/>
        <v>0.48066314966220869</v>
      </c>
      <c r="L112" s="52">
        <f t="shared" si="54"/>
        <v>0.48331219059245795</v>
      </c>
      <c r="M112" s="52">
        <f t="shared" si="54"/>
        <v>0.48589654398505105</v>
      </c>
      <c r="N112" s="52">
        <f t="shared" si="54"/>
        <v>0.53775091586458179</v>
      </c>
      <c r="O112" s="52">
        <f t="shared" si="54"/>
        <v>0.53924805966170586</v>
      </c>
      <c r="P112" s="52">
        <f t="shared" si="54"/>
        <v>0.49042754364541347</v>
      </c>
      <c r="Q112" s="52">
        <f t="shared" si="54"/>
        <v>0.44352484544724358</v>
      </c>
      <c r="R112" s="52">
        <f t="shared" si="54"/>
        <v>0.44681825129784031</v>
      </c>
      <c r="S112" s="52">
        <f t="shared" si="54"/>
        <v>0.45003401356481393</v>
      </c>
      <c r="T112" s="52">
        <f t="shared" si="54"/>
        <v>0.45317357768971273</v>
      </c>
      <c r="U112" s="52">
        <f t="shared" si="54"/>
        <v>0.45623836060581929</v>
      </c>
      <c r="V112" s="52">
        <f t="shared" si="54"/>
        <v>0.45922975129200394</v>
      </c>
      <c r="W112" s="52">
        <f t="shared" si="54"/>
        <v>0.46214911131577163</v>
      </c>
      <c r="X112" s="52">
        <f t="shared" si="54"/>
        <v>0.46499777536572356</v>
      </c>
      <c r="Y112" s="52">
        <f t="shared" si="54"/>
        <v>0.46777705177362766</v>
      </c>
      <c r="Z112" s="52">
        <f t="shared" si="54"/>
        <v>0.4704882230263116</v>
      </c>
      <c r="AA112" s="52">
        <f t="shared" si="54"/>
        <v>0.47313254626756701</v>
      </c>
      <c r="AB112" s="52">
        <f t="shared" si="54"/>
        <v>0.47571125379026952</v>
      </c>
      <c r="AC112" s="52"/>
      <c r="AD112" s="52"/>
    </row>
    <row r="113" spans="1:30" x14ac:dyDescent="0.3">
      <c r="C113" s="52"/>
      <c r="D113" s="52"/>
      <c r="E113" s="52"/>
      <c r="F113" s="52"/>
      <c r="G113" s="52"/>
      <c r="H113" s="52"/>
      <c r="I113" s="52"/>
      <c r="J113" s="52"/>
      <c r="K113" s="52"/>
      <c r="L113" s="52"/>
      <c r="M113" s="52"/>
      <c r="N113" s="52"/>
      <c r="O113" s="52"/>
      <c r="P113" s="52"/>
      <c r="Q113" s="52"/>
      <c r="R113" s="52"/>
      <c r="S113" s="52"/>
      <c r="T113" s="52"/>
      <c r="U113" s="52"/>
      <c r="V113" s="52"/>
      <c r="W113" s="52"/>
      <c r="X113" s="52"/>
      <c r="Y113" s="52"/>
      <c r="Z113" s="52"/>
      <c r="AA113" s="52"/>
      <c r="AB113" s="52"/>
      <c r="AC113" s="52"/>
      <c r="AD113" s="52"/>
    </row>
    <row r="114" spans="1:30" x14ac:dyDescent="0.3">
      <c r="B114" t="s">
        <v>96</v>
      </c>
      <c r="C114" s="52"/>
      <c r="D114" s="42">
        <f t="shared" ref="D114:AB114" si="55">MAX(0,D110*$C$31)*(D42&lt;=$C$19)</f>
        <v>0</v>
      </c>
      <c r="E114" s="42">
        <f t="shared" si="55"/>
        <v>0</v>
      </c>
      <c r="F114" s="42">
        <f t="shared" si="55"/>
        <v>0</v>
      </c>
      <c r="G114" s="42">
        <f t="shared" si="55"/>
        <v>0</v>
      </c>
      <c r="H114" s="42">
        <f t="shared" si="55"/>
        <v>0</v>
      </c>
      <c r="I114" s="42">
        <f t="shared" si="55"/>
        <v>0</v>
      </c>
      <c r="J114" s="42">
        <f t="shared" si="55"/>
        <v>0</v>
      </c>
      <c r="K114" s="42">
        <f t="shared" si="55"/>
        <v>0</v>
      </c>
      <c r="L114" s="42">
        <f t="shared" si="55"/>
        <v>0</v>
      </c>
      <c r="M114" s="42">
        <f t="shared" si="55"/>
        <v>0</v>
      </c>
      <c r="N114" s="42">
        <f t="shared" si="55"/>
        <v>0</v>
      </c>
      <c r="O114" s="42">
        <f t="shared" si="55"/>
        <v>0</v>
      </c>
      <c r="P114" s="42">
        <f t="shared" si="55"/>
        <v>0</v>
      </c>
      <c r="Q114" s="42">
        <f t="shared" si="55"/>
        <v>0</v>
      </c>
      <c r="R114" s="42">
        <f t="shared" si="55"/>
        <v>0</v>
      </c>
      <c r="S114" s="42">
        <f t="shared" si="55"/>
        <v>0</v>
      </c>
      <c r="T114" s="42">
        <f t="shared" si="55"/>
        <v>0</v>
      </c>
      <c r="U114" s="42">
        <f t="shared" si="55"/>
        <v>0</v>
      </c>
      <c r="V114" s="42">
        <f t="shared" si="55"/>
        <v>0</v>
      </c>
      <c r="W114" s="42">
        <f t="shared" si="55"/>
        <v>0</v>
      </c>
      <c r="X114" s="42">
        <f t="shared" si="55"/>
        <v>0</v>
      </c>
      <c r="Y114" s="42">
        <f t="shared" si="55"/>
        <v>0</v>
      </c>
      <c r="Z114" s="42">
        <f t="shared" si="55"/>
        <v>0</v>
      </c>
      <c r="AA114" s="42">
        <f t="shared" si="55"/>
        <v>0</v>
      </c>
      <c r="AB114" s="42">
        <f t="shared" si="55"/>
        <v>0</v>
      </c>
      <c r="AC114" s="42"/>
      <c r="AD114" s="42"/>
    </row>
    <row r="115" spans="1:30" x14ac:dyDescent="0.3">
      <c r="A115" s="3"/>
      <c r="B115" s="3" t="s">
        <v>97</v>
      </c>
      <c r="C115" s="61"/>
      <c r="D115" s="61">
        <f>D110-D114</f>
        <v>2533.2937267881625</v>
      </c>
      <c r="E115" s="61">
        <f t="shared" ref="E115:AB115" si="56">E110-E114</f>
        <v>2601.6679971080766</v>
      </c>
      <c r="F115" s="61">
        <f t="shared" si="56"/>
        <v>2671.2937424880997</v>
      </c>
      <c r="G115" s="61">
        <f t="shared" si="56"/>
        <v>2984.4935400309887</v>
      </c>
      <c r="H115" s="61">
        <f t="shared" si="56"/>
        <v>3062.7466785216429</v>
      </c>
      <c r="I115" s="61">
        <f t="shared" si="56"/>
        <v>3142.4704163743622</v>
      </c>
      <c r="J115" s="61">
        <f t="shared" si="56"/>
        <v>3223.691864707333</v>
      </c>
      <c r="K115" s="61">
        <f t="shared" si="56"/>
        <v>3306.4386205461096</v>
      </c>
      <c r="L115" s="61">
        <f t="shared" si="56"/>
        <v>3390.7387751578735</v>
      </c>
      <c r="M115" s="61">
        <f t="shared" si="56"/>
        <v>3476.6209225182583</v>
      </c>
      <c r="N115" s="61">
        <f t="shared" si="56"/>
        <v>3924.114167912533</v>
      </c>
      <c r="O115" s="61">
        <f t="shared" si="56"/>
        <v>4013.2481366730008</v>
      </c>
      <c r="P115" s="61">
        <f t="shared" si="56"/>
        <v>3722.4529830544107</v>
      </c>
      <c r="Q115" s="61">
        <f t="shared" si="56"/>
        <v>3433.3593992492779</v>
      </c>
      <c r="R115" s="61">
        <f t="shared" si="56"/>
        <v>3527.5986245449335</v>
      </c>
      <c r="S115" s="61">
        <f t="shared" si="56"/>
        <v>3623.602454624232</v>
      </c>
      <c r="T115" s="61">
        <f t="shared" si="56"/>
        <v>3721.40325101177</v>
      </c>
      <c r="U115" s="61">
        <f t="shared" si="56"/>
        <v>3821.0339506675518</v>
      </c>
      <c r="V115" s="61">
        <f t="shared" si="56"/>
        <v>3922.5280757300461</v>
      </c>
      <c r="W115" s="61">
        <f t="shared" si="56"/>
        <v>4025.9197434104781</v>
      </c>
      <c r="X115" s="61">
        <f t="shared" si="56"/>
        <v>4131.2436760404426</v>
      </c>
      <c r="Y115" s="61">
        <f t="shared" si="56"/>
        <v>4238.5352112746677</v>
      </c>
      <c r="Z115" s="61">
        <f t="shared" si="56"/>
        <v>4347.8303124509985</v>
      </c>
      <c r="AA115" s="61">
        <f t="shared" si="56"/>
        <v>4459.1655791095136</v>
      </c>
      <c r="AB115" s="61">
        <f t="shared" si="56"/>
        <v>4572.5782576728488</v>
      </c>
      <c r="AC115" s="61"/>
      <c r="AD115" s="61"/>
    </row>
    <row r="116" spans="1:30" x14ac:dyDescent="0.3">
      <c r="A116" s="3"/>
      <c r="B116" s="3"/>
      <c r="C116" s="61"/>
      <c r="D116" s="61">
        <f>SUM(D115*40%)</f>
        <v>1013.3174907152651</v>
      </c>
      <c r="E116" s="61">
        <f t="shared" ref="E116:F116" si="57">SUM(E115*40%)</f>
        <v>1040.6671988432306</v>
      </c>
      <c r="F116" s="61">
        <f t="shared" si="57"/>
        <v>1068.51749699524</v>
      </c>
      <c r="G116" s="61">
        <f>SUM(D116:F116)</f>
        <v>3122.5021865537356</v>
      </c>
      <c r="H116" s="61"/>
      <c r="I116" s="61"/>
      <c r="J116" s="61"/>
      <c r="K116" s="61"/>
      <c r="L116" s="61"/>
      <c r="M116" s="61"/>
      <c r="N116" s="61"/>
      <c r="O116" s="61"/>
      <c r="P116" s="61"/>
      <c r="Q116" s="61"/>
      <c r="R116" s="61"/>
      <c r="S116" s="61"/>
      <c r="T116" s="61"/>
      <c r="U116" s="61"/>
      <c r="V116" s="61"/>
      <c r="W116" s="61"/>
      <c r="X116" s="61"/>
      <c r="Y116" s="61"/>
      <c r="Z116" s="61"/>
      <c r="AA116" s="61"/>
      <c r="AB116" s="61"/>
      <c r="AC116" s="61"/>
      <c r="AD116" s="61"/>
    </row>
    <row r="117" spans="1:30" x14ac:dyDescent="0.3">
      <c r="D117" s="49">
        <f>SUM(D116/3)</f>
        <v>337.77249690508836</v>
      </c>
      <c r="E117" s="49">
        <f t="shared" ref="E117:F117" si="58">SUM(E116/3)</f>
        <v>346.88906628107685</v>
      </c>
      <c r="F117" s="49">
        <f t="shared" si="58"/>
        <v>356.17249899841335</v>
      </c>
      <c r="G117" s="49">
        <f>SUM(D117:F117)</f>
        <v>1040.8340621845787</v>
      </c>
      <c r="H117" s="69">
        <v>423000</v>
      </c>
      <c r="I117" s="70">
        <f>SUM(AB175*70%*40%/3)</f>
        <v>8388.6198767156402</v>
      </c>
      <c r="J117" s="71">
        <f>SUM(I117*5)</f>
        <v>41943.099383578199</v>
      </c>
    </row>
    <row r="118" spans="1:30" x14ac:dyDescent="0.3">
      <c r="B118" s="2" t="s">
        <v>98</v>
      </c>
      <c r="C118" s="2">
        <v>0</v>
      </c>
      <c r="D118" s="2">
        <v>1</v>
      </c>
      <c r="E118" s="2">
        <v>2</v>
      </c>
      <c r="F118" s="2">
        <v>3</v>
      </c>
      <c r="G118" s="2">
        <v>4</v>
      </c>
      <c r="H118" s="2">
        <v>5</v>
      </c>
      <c r="I118" s="2">
        <v>6</v>
      </c>
      <c r="J118" s="2">
        <v>7</v>
      </c>
      <c r="K118" s="2">
        <v>8</v>
      </c>
      <c r="L118" s="2">
        <v>9</v>
      </c>
      <c r="M118" s="2">
        <v>10</v>
      </c>
      <c r="N118" s="2">
        <v>11</v>
      </c>
      <c r="O118" s="2">
        <v>12</v>
      </c>
      <c r="P118" s="2">
        <v>13</v>
      </c>
      <c r="Q118" s="2">
        <v>14</v>
      </c>
      <c r="R118" s="2">
        <v>15</v>
      </c>
      <c r="S118" s="2">
        <v>16</v>
      </c>
      <c r="T118" s="2">
        <v>17</v>
      </c>
      <c r="U118" s="2">
        <v>18</v>
      </c>
      <c r="V118" s="2">
        <v>19</v>
      </c>
      <c r="W118" s="2">
        <v>20</v>
      </c>
      <c r="X118" s="2">
        <v>21</v>
      </c>
      <c r="Y118" s="2">
        <v>22</v>
      </c>
      <c r="Z118" s="2">
        <v>23</v>
      </c>
      <c r="AA118" s="2">
        <v>24</v>
      </c>
      <c r="AB118" s="2">
        <v>25</v>
      </c>
      <c r="AC118" s="2"/>
      <c r="AD118" s="2"/>
    </row>
    <row r="120" spans="1:30" x14ac:dyDescent="0.3">
      <c r="B120" t="s">
        <v>95</v>
      </c>
      <c r="C120" s="42"/>
      <c r="D120" s="42">
        <f>D110</f>
        <v>2533.2937267881625</v>
      </c>
      <c r="E120" s="42">
        <f t="shared" ref="E120:AB120" si="59">E110</f>
        <v>2601.6679971080766</v>
      </c>
      <c r="F120" s="42">
        <f t="shared" si="59"/>
        <v>2671.2937424880997</v>
      </c>
      <c r="G120" s="42">
        <f t="shared" si="59"/>
        <v>2984.4935400309887</v>
      </c>
      <c r="H120" s="42">
        <f t="shared" si="59"/>
        <v>3062.7466785216429</v>
      </c>
      <c r="I120" s="42">
        <f t="shared" si="59"/>
        <v>3142.4704163743622</v>
      </c>
      <c r="J120" s="42">
        <f t="shared" si="59"/>
        <v>3223.691864707333</v>
      </c>
      <c r="K120" s="42">
        <f t="shared" si="59"/>
        <v>3306.4386205461096</v>
      </c>
      <c r="L120" s="42">
        <f t="shared" si="59"/>
        <v>3390.7387751578735</v>
      </c>
      <c r="M120" s="42">
        <f t="shared" si="59"/>
        <v>3476.6209225182583</v>
      </c>
      <c r="N120" s="42">
        <f t="shared" si="59"/>
        <v>3924.114167912533</v>
      </c>
      <c r="O120" s="42">
        <f t="shared" si="59"/>
        <v>4013.2481366730008</v>
      </c>
      <c r="P120" s="42">
        <f t="shared" si="59"/>
        <v>3722.4529830544107</v>
      </c>
      <c r="Q120" s="42">
        <f t="shared" si="59"/>
        <v>3433.3593992492779</v>
      </c>
      <c r="R120" s="42">
        <f t="shared" si="59"/>
        <v>3527.5986245449335</v>
      </c>
      <c r="S120" s="42">
        <f t="shared" si="59"/>
        <v>3623.602454624232</v>
      </c>
      <c r="T120" s="42">
        <f t="shared" si="59"/>
        <v>3721.40325101177</v>
      </c>
      <c r="U120" s="42">
        <f t="shared" si="59"/>
        <v>3821.0339506675518</v>
      </c>
      <c r="V120" s="42">
        <f t="shared" si="59"/>
        <v>3922.5280757300461</v>
      </c>
      <c r="W120" s="42">
        <f t="shared" si="59"/>
        <v>4025.9197434104781</v>
      </c>
      <c r="X120" s="42">
        <f t="shared" si="59"/>
        <v>4131.2436760404426</v>
      </c>
      <c r="Y120" s="42">
        <f t="shared" si="59"/>
        <v>4238.5352112746677</v>
      </c>
      <c r="Z120" s="42">
        <f t="shared" si="59"/>
        <v>4347.8303124509985</v>
      </c>
      <c r="AA120" s="42">
        <f t="shared" si="59"/>
        <v>4459.1655791095136</v>
      </c>
      <c r="AB120" s="42">
        <f t="shared" si="59"/>
        <v>4572.5782576728488</v>
      </c>
      <c r="AC120" s="42"/>
      <c r="AD120" s="42"/>
    </row>
    <row r="121" spans="1:30" x14ac:dyDescent="0.3">
      <c r="B121" t="s">
        <v>99</v>
      </c>
      <c r="C121" s="42"/>
      <c r="D121" s="42">
        <f t="shared" ref="D121:AB122" si="60">D98</f>
        <v>0</v>
      </c>
      <c r="E121" s="42">
        <f t="shared" si="60"/>
        <v>0</v>
      </c>
      <c r="F121" s="42">
        <f t="shared" si="60"/>
        <v>0</v>
      </c>
      <c r="G121" s="42">
        <f t="shared" si="60"/>
        <v>0</v>
      </c>
      <c r="H121" s="42">
        <f t="shared" si="60"/>
        <v>0</v>
      </c>
      <c r="I121" s="42">
        <f t="shared" si="60"/>
        <v>0</v>
      </c>
      <c r="J121" s="42">
        <f t="shared" si="60"/>
        <v>0</v>
      </c>
      <c r="K121" s="42">
        <f t="shared" si="60"/>
        <v>0</v>
      </c>
      <c r="L121" s="42">
        <f t="shared" si="60"/>
        <v>0</v>
      </c>
      <c r="M121" s="42">
        <f t="shared" si="60"/>
        <v>0</v>
      </c>
      <c r="N121" s="42">
        <f t="shared" si="60"/>
        <v>0</v>
      </c>
      <c r="O121" s="42">
        <f t="shared" si="60"/>
        <v>0</v>
      </c>
      <c r="P121" s="42">
        <f t="shared" si="60"/>
        <v>0</v>
      </c>
      <c r="Q121" s="42">
        <f t="shared" si="60"/>
        <v>0</v>
      </c>
      <c r="R121" s="42">
        <f t="shared" si="60"/>
        <v>0</v>
      </c>
      <c r="S121" s="42">
        <f t="shared" si="60"/>
        <v>0</v>
      </c>
      <c r="T121" s="42">
        <f t="shared" si="60"/>
        <v>0</v>
      </c>
      <c r="U121" s="42">
        <f t="shared" si="60"/>
        <v>0</v>
      </c>
      <c r="V121" s="42">
        <f t="shared" si="60"/>
        <v>0</v>
      </c>
      <c r="W121" s="42">
        <f t="shared" si="60"/>
        <v>0</v>
      </c>
      <c r="X121" s="42">
        <f t="shared" si="60"/>
        <v>0</v>
      </c>
      <c r="Y121" s="42">
        <f t="shared" si="60"/>
        <v>0</v>
      </c>
      <c r="Z121" s="42">
        <f t="shared" si="60"/>
        <v>0</v>
      </c>
      <c r="AA121" s="42">
        <f t="shared" si="60"/>
        <v>0</v>
      </c>
      <c r="AB121" s="42">
        <f t="shared" si="60"/>
        <v>0</v>
      </c>
      <c r="AC121" s="42"/>
      <c r="AD121" s="42"/>
    </row>
    <row r="122" spans="1:30" x14ac:dyDescent="0.3">
      <c r="B122" t="s">
        <v>100</v>
      </c>
      <c r="C122" s="42"/>
      <c r="D122" s="42">
        <f t="shared" si="60"/>
        <v>0</v>
      </c>
      <c r="E122" s="42">
        <f t="shared" si="60"/>
        <v>0</v>
      </c>
      <c r="F122" s="42">
        <f t="shared" si="60"/>
        <v>0</v>
      </c>
      <c r="G122" s="42">
        <f t="shared" si="60"/>
        <v>0</v>
      </c>
      <c r="H122" s="42">
        <f t="shared" si="60"/>
        <v>0</v>
      </c>
      <c r="I122" s="42">
        <f t="shared" si="60"/>
        <v>0</v>
      </c>
      <c r="J122" s="42">
        <f t="shared" si="60"/>
        <v>0</v>
      </c>
      <c r="K122" s="42">
        <f t="shared" si="60"/>
        <v>0</v>
      </c>
      <c r="L122" s="42">
        <f t="shared" si="60"/>
        <v>0</v>
      </c>
      <c r="M122" s="42">
        <f t="shared" si="60"/>
        <v>0</v>
      </c>
      <c r="N122" s="42">
        <f t="shared" si="60"/>
        <v>0</v>
      </c>
      <c r="O122" s="42">
        <f t="shared" si="60"/>
        <v>0</v>
      </c>
      <c r="P122" s="42">
        <f t="shared" si="60"/>
        <v>0</v>
      </c>
      <c r="Q122" s="42">
        <f t="shared" si="60"/>
        <v>0</v>
      </c>
      <c r="R122" s="42">
        <f t="shared" si="60"/>
        <v>0</v>
      </c>
      <c r="S122" s="42">
        <f t="shared" si="60"/>
        <v>0</v>
      </c>
      <c r="T122" s="42">
        <f t="shared" si="60"/>
        <v>0</v>
      </c>
      <c r="U122" s="42">
        <f t="shared" si="60"/>
        <v>0</v>
      </c>
      <c r="V122" s="42">
        <f t="shared" si="60"/>
        <v>0</v>
      </c>
      <c r="W122" s="42">
        <f t="shared" si="60"/>
        <v>0</v>
      </c>
      <c r="X122" s="42">
        <f t="shared" si="60"/>
        <v>0</v>
      </c>
      <c r="Y122" s="42">
        <f t="shared" si="60"/>
        <v>0</v>
      </c>
      <c r="Z122" s="42">
        <f t="shared" si="60"/>
        <v>0</v>
      </c>
      <c r="AA122" s="42">
        <f t="shared" si="60"/>
        <v>0</v>
      </c>
      <c r="AB122" s="42">
        <f t="shared" si="60"/>
        <v>0</v>
      </c>
      <c r="AC122" s="42"/>
      <c r="AD122" s="42"/>
    </row>
    <row r="123" spans="1:30" x14ac:dyDescent="0.3">
      <c r="B123" t="s">
        <v>101</v>
      </c>
      <c r="C123" s="42"/>
      <c r="D123" s="42">
        <f>D109</f>
        <v>0</v>
      </c>
      <c r="E123" s="42">
        <f t="shared" ref="E123:AB123" si="61">E109</f>
        <v>0</v>
      </c>
      <c r="F123" s="42">
        <f t="shared" si="61"/>
        <v>0</v>
      </c>
      <c r="G123" s="42">
        <f t="shared" si="61"/>
        <v>0</v>
      </c>
      <c r="H123" s="42">
        <f t="shared" si="61"/>
        <v>0</v>
      </c>
      <c r="I123" s="42">
        <f t="shared" si="61"/>
        <v>0</v>
      </c>
      <c r="J123" s="42">
        <f t="shared" si="61"/>
        <v>0</v>
      </c>
      <c r="K123" s="42">
        <f t="shared" si="61"/>
        <v>0</v>
      </c>
      <c r="L123" s="42">
        <f t="shared" si="61"/>
        <v>0</v>
      </c>
      <c r="M123" s="42">
        <f t="shared" si="61"/>
        <v>0</v>
      </c>
      <c r="N123" s="42">
        <f t="shared" si="61"/>
        <v>0</v>
      </c>
      <c r="O123" s="42">
        <f t="shared" si="61"/>
        <v>0</v>
      </c>
      <c r="P123" s="42">
        <f t="shared" si="61"/>
        <v>0</v>
      </c>
      <c r="Q123" s="42">
        <f t="shared" si="61"/>
        <v>0</v>
      </c>
      <c r="R123" s="42">
        <f t="shared" si="61"/>
        <v>0</v>
      </c>
      <c r="S123" s="42">
        <f t="shared" si="61"/>
        <v>0</v>
      </c>
      <c r="T123" s="42">
        <f t="shared" si="61"/>
        <v>0</v>
      </c>
      <c r="U123" s="42">
        <f t="shared" si="61"/>
        <v>0</v>
      </c>
      <c r="V123" s="42">
        <f t="shared" si="61"/>
        <v>0</v>
      </c>
      <c r="W123" s="42">
        <f t="shared" si="61"/>
        <v>0</v>
      </c>
      <c r="X123" s="42">
        <f t="shared" si="61"/>
        <v>0</v>
      </c>
      <c r="Y123" s="42">
        <f t="shared" si="61"/>
        <v>0</v>
      </c>
      <c r="Z123" s="42">
        <f t="shared" si="61"/>
        <v>0</v>
      </c>
      <c r="AA123" s="42">
        <f t="shared" si="61"/>
        <v>0</v>
      </c>
      <c r="AB123" s="42">
        <f t="shared" si="61"/>
        <v>0</v>
      </c>
      <c r="AC123" s="42"/>
      <c r="AD123" s="42"/>
    </row>
    <row r="124" spans="1:30" x14ac:dyDescent="0.3">
      <c r="B124" t="s">
        <v>102</v>
      </c>
      <c r="C124" s="42"/>
      <c r="D124" s="42">
        <f t="shared" ref="D124:AB124" si="62">D69</f>
        <v>1526.4</v>
      </c>
      <c r="E124" s="42">
        <f t="shared" si="62"/>
        <v>1526.4</v>
      </c>
      <c r="F124" s="42">
        <f t="shared" si="62"/>
        <v>1526.4</v>
      </c>
      <c r="G124" s="42">
        <f t="shared" si="62"/>
        <v>1526.4</v>
      </c>
      <c r="H124" s="42">
        <f t="shared" si="62"/>
        <v>1526.4</v>
      </c>
      <c r="I124" s="42">
        <f t="shared" si="62"/>
        <v>1526.4</v>
      </c>
      <c r="J124" s="42">
        <f t="shared" si="62"/>
        <v>1526.4</v>
      </c>
      <c r="K124" s="42">
        <f t="shared" si="62"/>
        <v>1526.4</v>
      </c>
      <c r="L124" s="42">
        <f t="shared" si="62"/>
        <v>1526.4</v>
      </c>
      <c r="M124" s="42">
        <f t="shared" si="62"/>
        <v>1526.4</v>
      </c>
      <c r="N124" s="42">
        <f t="shared" si="62"/>
        <v>1526.4</v>
      </c>
      <c r="O124" s="42">
        <f t="shared" si="62"/>
        <v>1526.4</v>
      </c>
      <c r="P124" s="42">
        <f t="shared" si="62"/>
        <v>1526.4</v>
      </c>
      <c r="Q124" s="42">
        <f t="shared" si="62"/>
        <v>1526.4</v>
      </c>
      <c r="R124" s="42">
        <f t="shared" si="62"/>
        <v>1526.4</v>
      </c>
      <c r="S124" s="42">
        <f t="shared" si="62"/>
        <v>1526.4</v>
      </c>
      <c r="T124" s="42">
        <f t="shared" si="62"/>
        <v>1526.4</v>
      </c>
      <c r="U124" s="42">
        <f t="shared" si="62"/>
        <v>1526.4</v>
      </c>
      <c r="V124" s="42">
        <f t="shared" si="62"/>
        <v>1526.4</v>
      </c>
      <c r="W124" s="42">
        <f t="shared" si="62"/>
        <v>1526.4</v>
      </c>
      <c r="X124" s="42">
        <f t="shared" si="62"/>
        <v>1526.4</v>
      </c>
      <c r="Y124" s="42">
        <f t="shared" si="62"/>
        <v>1526.4</v>
      </c>
      <c r="Z124" s="42">
        <f t="shared" si="62"/>
        <v>1526.4</v>
      </c>
      <c r="AA124" s="42">
        <f t="shared" si="62"/>
        <v>1526.4</v>
      </c>
      <c r="AB124" s="42">
        <f t="shared" si="62"/>
        <v>1526.3999999999824</v>
      </c>
      <c r="AC124" s="42"/>
      <c r="AD124" s="42"/>
    </row>
    <row r="125" spans="1:30" x14ac:dyDescent="0.3">
      <c r="A125" s="72"/>
      <c r="B125" s="3" t="s">
        <v>103</v>
      </c>
      <c r="C125" s="48"/>
      <c r="D125" s="48">
        <f>D120+D124+D121-D122-D123</f>
        <v>4059.6937267881626</v>
      </c>
      <c r="E125" s="48">
        <f>E120+E124+E121-E122-E123</f>
        <v>4128.0679971080772</v>
      </c>
      <c r="F125" s="48">
        <f t="shared" ref="F125:AB125" si="63">F120+F124+F121-F122-F123</f>
        <v>4197.6937424880998</v>
      </c>
      <c r="G125" s="48">
        <f t="shared" si="63"/>
        <v>4510.8935400309892</v>
      </c>
      <c r="H125" s="48">
        <f t="shared" si="63"/>
        <v>4589.1466785216435</v>
      </c>
      <c r="I125" s="48">
        <f t="shared" si="63"/>
        <v>4668.8704163743623</v>
      </c>
      <c r="J125" s="48">
        <f t="shared" si="63"/>
        <v>4750.0918647073331</v>
      </c>
      <c r="K125" s="48">
        <f t="shared" si="63"/>
        <v>4832.8386205461102</v>
      </c>
      <c r="L125" s="48">
        <f t="shared" si="63"/>
        <v>4917.1387751578732</v>
      </c>
      <c r="M125" s="48">
        <f t="shared" si="63"/>
        <v>5003.0209225182589</v>
      </c>
      <c r="N125" s="48">
        <f t="shared" si="63"/>
        <v>5450.5141679125336</v>
      </c>
      <c r="O125" s="48">
        <f t="shared" si="63"/>
        <v>5539.6481366730004</v>
      </c>
      <c r="P125" s="48">
        <f t="shared" si="63"/>
        <v>5248.8529830544103</v>
      </c>
      <c r="Q125" s="48">
        <f t="shared" si="63"/>
        <v>4959.7593992492784</v>
      </c>
      <c r="R125" s="48">
        <f t="shared" si="63"/>
        <v>5053.9986245449336</v>
      </c>
      <c r="S125" s="48">
        <f t="shared" si="63"/>
        <v>5150.0024546242321</v>
      </c>
      <c r="T125" s="48">
        <f t="shared" si="63"/>
        <v>5247.80325101177</v>
      </c>
      <c r="U125" s="48">
        <f t="shared" si="63"/>
        <v>5347.4339506675515</v>
      </c>
      <c r="V125" s="48">
        <f t="shared" si="63"/>
        <v>5448.9280757300457</v>
      </c>
      <c r="W125" s="48">
        <f t="shared" si="63"/>
        <v>5552.3197434104786</v>
      </c>
      <c r="X125" s="48">
        <f t="shared" si="63"/>
        <v>5657.6436760404431</v>
      </c>
      <c r="Y125" s="48">
        <f t="shared" si="63"/>
        <v>5764.9352112746674</v>
      </c>
      <c r="Z125" s="48">
        <f t="shared" si="63"/>
        <v>5874.2303124509981</v>
      </c>
      <c r="AA125" s="48">
        <f t="shared" si="63"/>
        <v>5985.5655791095141</v>
      </c>
      <c r="AB125" s="48">
        <f t="shared" si="63"/>
        <v>6098.9782576728312</v>
      </c>
      <c r="AC125" s="48"/>
      <c r="AD125" s="48"/>
    </row>
    <row r="126" spans="1:30" x14ac:dyDescent="0.3">
      <c r="B126" t="s">
        <v>205</v>
      </c>
      <c r="C126" s="47">
        <f>'Calculation Debt'!C127</f>
        <v>38160</v>
      </c>
      <c r="D126" s="47">
        <f t="shared" ref="D126:AB126" si="64">(D42=$H$6)*(($C$7*$H$8)+$H$7)</f>
        <v>0</v>
      </c>
      <c r="E126" s="47">
        <f t="shared" si="64"/>
        <v>0</v>
      </c>
      <c r="F126" s="47">
        <f t="shared" si="64"/>
        <v>0</v>
      </c>
      <c r="G126" s="47">
        <f t="shared" si="64"/>
        <v>0</v>
      </c>
      <c r="H126" s="47">
        <f t="shared" si="64"/>
        <v>0</v>
      </c>
      <c r="I126" s="47">
        <f t="shared" si="64"/>
        <v>0</v>
      </c>
      <c r="J126" s="47">
        <f t="shared" si="64"/>
        <v>0</v>
      </c>
      <c r="K126" s="47">
        <f t="shared" si="64"/>
        <v>0</v>
      </c>
      <c r="L126" s="47">
        <f t="shared" si="64"/>
        <v>0</v>
      </c>
      <c r="M126" s="47">
        <f t="shared" si="64"/>
        <v>0</v>
      </c>
      <c r="N126" s="47">
        <f t="shared" si="64"/>
        <v>0</v>
      </c>
      <c r="O126" s="47">
        <f t="shared" si="64"/>
        <v>0</v>
      </c>
      <c r="P126" s="47">
        <f t="shared" si="64"/>
        <v>0</v>
      </c>
      <c r="Q126" s="47">
        <f t="shared" si="64"/>
        <v>0</v>
      </c>
      <c r="R126" s="47">
        <f t="shared" si="64"/>
        <v>0</v>
      </c>
      <c r="S126" s="47">
        <f t="shared" si="64"/>
        <v>0</v>
      </c>
      <c r="T126" s="47">
        <f t="shared" si="64"/>
        <v>0</v>
      </c>
      <c r="U126" s="47">
        <f t="shared" si="64"/>
        <v>0</v>
      </c>
      <c r="V126" s="47">
        <f t="shared" si="64"/>
        <v>0</v>
      </c>
      <c r="W126" s="47">
        <f t="shared" si="64"/>
        <v>0</v>
      </c>
      <c r="X126" s="47">
        <f t="shared" si="64"/>
        <v>0</v>
      </c>
      <c r="Y126" s="47">
        <f t="shared" si="64"/>
        <v>0</v>
      </c>
      <c r="Z126" s="47">
        <f t="shared" si="64"/>
        <v>0</v>
      </c>
      <c r="AA126" s="47">
        <f t="shared" si="64"/>
        <v>0</v>
      </c>
      <c r="AB126" s="47">
        <f t="shared" si="64"/>
        <v>0</v>
      </c>
      <c r="AC126" s="47"/>
      <c r="AD126" s="47"/>
    </row>
    <row r="127" spans="1:30" x14ac:dyDescent="0.3">
      <c r="B127" t="s">
        <v>105</v>
      </c>
      <c r="C127" s="47"/>
      <c r="D127" s="47">
        <f>-D132</f>
        <v>0</v>
      </c>
      <c r="E127" s="47">
        <f t="shared" ref="E127:AB127" si="65">-E132</f>
        <v>0</v>
      </c>
      <c r="F127" s="47">
        <f t="shared" si="65"/>
        <v>0</v>
      </c>
      <c r="G127" s="47">
        <f t="shared" si="65"/>
        <v>0</v>
      </c>
      <c r="H127" s="47">
        <f t="shared" si="65"/>
        <v>0</v>
      </c>
      <c r="I127" s="47">
        <f t="shared" si="65"/>
        <v>0</v>
      </c>
      <c r="J127" s="47">
        <f t="shared" si="65"/>
        <v>0</v>
      </c>
      <c r="K127" s="47">
        <f t="shared" si="65"/>
        <v>0</v>
      </c>
      <c r="L127" s="47">
        <f t="shared" si="65"/>
        <v>0</v>
      </c>
      <c r="M127" s="47">
        <f t="shared" si="65"/>
        <v>0</v>
      </c>
      <c r="N127" s="47">
        <f t="shared" si="65"/>
        <v>0</v>
      </c>
      <c r="O127" s="47">
        <f t="shared" si="65"/>
        <v>0</v>
      </c>
      <c r="P127" s="47">
        <f t="shared" si="65"/>
        <v>0</v>
      </c>
      <c r="Q127" s="47">
        <f t="shared" si="65"/>
        <v>0</v>
      </c>
      <c r="R127" s="47">
        <f t="shared" si="65"/>
        <v>0</v>
      </c>
      <c r="S127" s="47">
        <f t="shared" si="65"/>
        <v>0</v>
      </c>
      <c r="T127" s="47">
        <f t="shared" si="65"/>
        <v>0</v>
      </c>
      <c r="U127" s="47">
        <f t="shared" si="65"/>
        <v>0</v>
      </c>
      <c r="V127" s="47">
        <f t="shared" si="65"/>
        <v>0</v>
      </c>
      <c r="W127" s="47">
        <f t="shared" si="65"/>
        <v>0</v>
      </c>
      <c r="X127" s="47">
        <f t="shared" si="65"/>
        <v>0</v>
      </c>
      <c r="Y127" s="47">
        <f t="shared" si="65"/>
        <v>0</v>
      </c>
      <c r="Z127" s="47">
        <f t="shared" si="65"/>
        <v>0</v>
      </c>
      <c r="AA127" s="47">
        <f t="shared" si="65"/>
        <v>0</v>
      </c>
      <c r="AB127" s="47">
        <f t="shared" si="65"/>
        <v>0</v>
      </c>
      <c r="AC127" s="47"/>
      <c r="AD127" s="47"/>
    </row>
    <row r="128" spans="1:30" x14ac:dyDescent="0.3">
      <c r="A128" s="14"/>
      <c r="B128" s="14" t="s">
        <v>106</v>
      </c>
      <c r="C128" s="73"/>
      <c r="D128" s="73">
        <f>-D134</f>
        <v>0</v>
      </c>
      <c r="E128" s="73">
        <f t="shared" ref="E128:AB128" si="66">-E134</f>
        <v>0</v>
      </c>
      <c r="F128" s="73">
        <f t="shared" si="66"/>
        <v>0</v>
      </c>
      <c r="G128" s="73">
        <f t="shared" si="66"/>
        <v>0</v>
      </c>
      <c r="H128" s="73">
        <f t="shared" si="66"/>
        <v>0</v>
      </c>
      <c r="I128" s="73">
        <f t="shared" si="66"/>
        <v>0</v>
      </c>
      <c r="J128" s="73">
        <f t="shared" si="66"/>
        <v>0</v>
      </c>
      <c r="K128" s="73">
        <f t="shared" si="66"/>
        <v>0</v>
      </c>
      <c r="L128" s="73">
        <f t="shared" si="66"/>
        <v>0</v>
      </c>
      <c r="M128" s="73">
        <f t="shared" si="66"/>
        <v>0</v>
      </c>
      <c r="N128" s="73">
        <f t="shared" si="66"/>
        <v>0</v>
      </c>
      <c r="O128" s="73">
        <f t="shared" si="66"/>
        <v>0</v>
      </c>
      <c r="P128" s="73">
        <f t="shared" si="66"/>
        <v>0</v>
      </c>
      <c r="Q128" s="73">
        <f t="shared" si="66"/>
        <v>0</v>
      </c>
      <c r="R128" s="73">
        <f t="shared" si="66"/>
        <v>0</v>
      </c>
      <c r="S128" s="73">
        <f t="shared" si="66"/>
        <v>0</v>
      </c>
      <c r="T128" s="73">
        <f t="shared" si="66"/>
        <v>0</v>
      </c>
      <c r="U128" s="73">
        <f t="shared" si="66"/>
        <v>0</v>
      </c>
      <c r="V128" s="73">
        <f t="shared" si="66"/>
        <v>0</v>
      </c>
      <c r="W128" s="73">
        <f t="shared" si="66"/>
        <v>0</v>
      </c>
      <c r="X128" s="73">
        <f t="shared" si="66"/>
        <v>0</v>
      </c>
      <c r="Y128" s="73">
        <f t="shared" si="66"/>
        <v>0</v>
      </c>
      <c r="Z128" s="73">
        <f t="shared" si="66"/>
        <v>0</v>
      </c>
      <c r="AA128" s="73">
        <f t="shared" si="66"/>
        <v>0</v>
      </c>
      <c r="AB128" s="73">
        <f t="shared" si="66"/>
        <v>0</v>
      </c>
      <c r="AC128" s="73"/>
      <c r="AD128" s="73"/>
    </row>
    <row r="129" spans="1:30" x14ac:dyDescent="0.3">
      <c r="A129" s="3"/>
      <c r="B129" s="3" t="s">
        <v>107</v>
      </c>
      <c r="C129" s="48">
        <f>SUM(C126:C128)</f>
        <v>38160</v>
      </c>
      <c r="D129" s="48">
        <f>SUM(D126:D128)</f>
        <v>0</v>
      </c>
      <c r="E129" s="48">
        <f t="shared" ref="E129:AB129" si="67">SUM(E126:E128)</f>
        <v>0</v>
      </c>
      <c r="F129" s="48">
        <f t="shared" si="67"/>
        <v>0</v>
      </c>
      <c r="G129" s="48">
        <f t="shared" si="67"/>
        <v>0</v>
      </c>
      <c r="H129" s="48">
        <f t="shared" si="67"/>
        <v>0</v>
      </c>
      <c r="I129" s="48">
        <f t="shared" si="67"/>
        <v>0</v>
      </c>
      <c r="J129" s="48">
        <f t="shared" si="67"/>
        <v>0</v>
      </c>
      <c r="K129" s="48">
        <f t="shared" si="67"/>
        <v>0</v>
      </c>
      <c r="L129" s="48">
        <f t="shared" si="67"/>
        <v>0</v>
      </c>
      <c r="M129" s="48">
        <f t="shared" si="67"/>
        <v>0</v>
      </c>
      <c r="N129" s="48">
        <f t="shared" si="67"/>
        <v>0</v>
      </c>
      <c r="O129" s="48">
        <f t="shared" si="67"/>
        <v>0</v>
      </c>
      <c r="P129" s="48">
        <f t="shared" si="67"/>
        <v>0</v>
      </c>
      <c r="Q129" s="48">
        <f t="shared" si="67"/>
        <v>0</v>
      </c>
      <c r="R129" s="48">
        <f t="shared" si="67"/>
        <v>0</v>
      </c>
      <c r="S129" s="48">
        <f t="shared" si="67"/>
        <v>0</v>
      </c>
      <c r="T129" s="48">
        <f t="shared" si="67"/>
        <v>0</v>
      </c>
      <c r="U129" s="48">
        <f t="shared" si="67"/>
        <v>0</v>
      </c>
      <c r="V129" s="48">
        <f t="shared" si="67"/>
        <v>0</v>
      </c>
      <c r="W129" s="48">
        <f t="shared" si="67"/>
        <v>0</v>
      </c>
      <c r="X129" s="48">
        <f t="shared" si="67"/>
        <v>0</v>
      </c>
      <c r="Y129" s="48">
        <f t="shared" si="67"/>
        <v>0</v>
      </c>
      <c r="Z129" s="48">
        <f t="shared" si="67"/>
        <v>0</v>
      </c>
      <c r="AA129" s="48">
        <f t="shared" si="67"/>
        <v>0</v>
      </c>
      <c r="AB129" s="48">
        <f t="shared" si="67"/>
        <v>0</v>
      </c>
      <c r="AC129" s="48"/>
      <c r="AD129" s="48"/>
    </row>
    <row r="130" spans="1:30" x14ac:dyDescent="0.3">
      <c r="A130" s="3"/>
      <c r="B130" s="3"/>
      <c r="C130" s="48"/>
      <c r="D130" s="48"/>
      <c r="E130" s="48"/>
      <c r="F130" s="48"/>
      <c r="G130" s="48"/>
      <c r="H130" s="48"/>
      <c r="I130" s="48"/>
      <c r="J130" s="48"/>
      <c r="K130" s="48"/>
      <c r="L130" s="48"/>
      <c r="M130" s="48"/>
      <c r="N130" s="48"/>
      <c r="O130" s="48"/>
      <c r="P130" s="48"/>
      <c r="Q130" s="48"/>
      <c r="R130" s="48"/>
      <c r="S130" s="48"/>
      <c r="T130" s="48"/>
      <c r="U130" s="48"/>
      <c r="V130" s="48"/>
      <c r="W130" s="48"/>
      <c r="X130" s="48"/>
      <c r="Y130" s="48"/>
      <c r="Z130" s="48"/>
      <c r="AA130" s="48"/>
      <c r="AB130" s="48"/>
      <c r="AC130" s="48"/>
      <c r="AD130" s="48"/>
    </row>
    <row r="131" spans="1:30" x14ac:dyDescent="0.3">
      <c r="A131" s="14"/>
      <c r="B131" s="14" t="s">
        <v>108</v>
      </c>
      <c r="C131" s="74"/>
      <c r="D131" s="74">
        <f t="shared" ref="D131:AB131" si="68">IF(D42&lt;=$H$12,$H$15,0)</f>
        <v>0</v>
      </c>
      <c r="E131" s="74">
        <f t="shared" si="68"/>
        <v>0</v>
      </c>
      <c r="F131" s="74">
        <f t="shared" si="68"/>
        <v>0</v>
      </c>
      <c r="G131" s="74">
        <f t="shared" si="68"/>
        <v>0</v>
      </c>
      <c r="H131" s="74">
        <f t="shared" si="68"/>
        <v>0</v>
      </c>
      <c r="I131" s="74">
        <f t="shared" si="68"/>
        <v>0</v>
      </c>
      <c r="J131" s="74">
        <f t="shared" si="68"/>
        <v>0</v>
      </c>
      <c r="K131" s="74">
        <f t="shared" si="68"/>
        <v>0</v>
      </c>
      <c r="L131" s="74">
        <f t="shared" si="68"/>
        <v>0</v>
      </c>
      <c r="M131" s="74">
        <f t="shared" si="68"/>
        <v>0</v>
      </c>
      <c r="N131" s="74">
        <f t="shared" si="68"/>
        <v>0</v>
      </c>
      <c r="O131" s="74">
        <f t="shared" si="68"/>
        <v>0</v>
      </c>
      <c r="P131" s="74">
        <f t="shared" si="68"/>
        <v>0</v>
      </c>
      <c r="Q131" s="74">
        <f t="shared" si="68"/>
        <v>0</v>
      </c>
      <c r="R131" s="74">
        <f t="shared" si="68"/>
        <v>0</v>
      </c>
      <c r="S131" s="74">
        <f t="shared" si="68"/>
        <v>0</v>
      </c>
      <c r="T131" s="74">
        <f t="shared" si="68"/>
        <v>0</v>
      </c>
      <c r="U131" s="74">
        <f t="shared" si="68"/>
        <v>0</v>
      </c>
      <c r="V131" s="74">
        <f t="shared" si="68"/>
        <v>0</v>
      </c>
      <c r="W131" s="74">
        <f t="shared" si="68"/>
        <v>0</v>
      </c>
      <c r="X131" s="74">
        <f t="shared" si="68"/>
        <v>0</v>
      </c>
      <c r="Y131" s="74">
        <f t="shared" si="68"/>
        <v>0</v>
      </c>
      <c r="Z131" s="74">
        <f t="shared" si="68"/>
        <v>0</v>
      </c>
      <c r="AA131" s="74">
        <f t="shared" si="68"/>
        <v>0</v>
      </c>
      <c r="AB131" s="74">
        <f t="shared" si="68"/>
        <v>0</v>
      </c>
      <c r="AC131" s="74"/>
      <c r="AD131" s="74"/>
    </row>
    <row r="132" spans="1:30" x14ac:dyDescent="0.3">
      <c r="A132" s="75"/>
      <c r="B132" s="14" t="s">
        <v>109</v>
      </c>
      <c r="C132" s="76"/>
      <c r="D132" s="76">
        <f>-IF(D$42=$H$12,$H$11,0)</f>
        <v>0</v>
      </c>
      <c r="E132" s="76">
        <f t="shared" ref="E132:AB132" si="69">-IF(E$42=$H$12,$H$11,0)</f>
        <v>0</v>
      </c>
      <c r="F132" s="76">
        <f t="shared" si="69"/>
        <v>0</v>
      </c>
      <c r="G132" s="76">
        <f t="shared" si="69"/>
        <v>0</v>
      </c>
      <c r="H132" s="76">
        <f t="shared" si="69"/>
        <v>0</v>
      </c>
      <c r="I132" s="76">
        <f t="shared" si="69"/>
        <v>0</v>
      </c>
      <c r="J132" s="76">
        <f t="shared" si="69"/>
        <v>0</v>
      </c>
      <c r="K132" s="76">
        <f t="shared" si="69"/>
        <v>0</v>
      </c>
      <c r="L132" s="76">
        <f t="shared" si="69"/>
        <v>0</v>
      </c>
      <c r="M132" s="76">
        <f t="shared" si="69"/>
        <v>0</v>
      </c>
      <c r="N132" s="76">
        <f t="shared" si="69"/>
        <v>0</v>
      </c>
      <c r="O132" s="76">
        <f t="shared" si="69"/>
        <v>0</v>
      </c>
      <c r="P132" s="76">
        <f t="shared" si="69"/>
        <v>0</v>
      </c>
      <c r="Q132" s="76">
        <f t="shared" si="69"/>
        <v>0</v>
      </c>
      <c r="R132" s="76">
        <f t="shared" si="69"/>
        <v>0</v>
      </c>
      <c r="S132" s="76">
        <f t="shared" si="69"/>
        <v>0</v>
      </c>
      <c r="T132" s="76">
        <f t="shared" si="69"/>
        <v>0</v>
      </c>
      <c r="U132" s="76">
        <f t="shared" si="69"/>
        <v>0</v>
      </c>
      <c r="V132" s="76">
        <f t="shared" si="69"/>
        <v>0</v>
      </c>
      <c r="W132" s="76">
        <f t="shared" si="69"/>
        <v>0</v>
      </c>
      <c r="X132" s="76">
        <f t="shared" si="69"/>
        <v>0</v>
      </c>
      <c r="Y132" s="76">
        <f t="shared" si="69"/>
        <v>0</v>
      </c>
      <c r="Z132" s="76">
        <f t="shared" si="69"/>
        <v>0</v>
      </c>
      <c r="AA132" s="76">
        <f t="shared" si="69"/>
        <v>0</v>
      </c>
      <c r="AB132" s="76">
        <f t="shared" si="69"/>
        <v>0</v>
      </c>
      <c r="AC132" s="76"/>
      <c r="AD132" s="76"/>
    </row>
    <row r="133" spans="1:30" x14ac:dyDescent="0.3">
      <c r="A133" s="14"/>
      <c r="B133" s="14" t="s">
        <v>110</v>
      </c>
      <c r="C133" s="74"/>
      <c r="D133" s="74">
        <f t="shared" ref="D133:AB133" si="70">IF(D42&lt;=$H$14,$H$16,0)</f>
        <v>0</v>
      </c>
      <c r="E133" s="74">
        <f t="shared" si="70"/>
        <v>0</v>
      </c>
      <c r="F133" s="74">
        <f t="shared" si="70"/>
        <v>0</v>
      </c>
      <c r="G133" s="74">
        <f t="shared" si="70"/>
        <v>0</v>
      </c>
      <c r="H133" s="74">
        <f t="shared" si="70"/>
        <v>0</v>
      </c>
      <c r="I133" s="74">
        <f t="shared" si="70"/>
        <v>0</v>
      </c>
      <c r="J133" s="74">
        <f t="shared" si="70"/>
        <v>0</v>
      </c>
      <c r="K133" s="74">
        <f t="shared" si="70"/>
        <v>0</v>
      </c>
      <c r="L133" s="74">
        <f t="shared" si="70"/>
        <v>0</v>
      </c>
      <c r="M133" s="74">
        <f t="shared" si="70"/>
        <v>0</v>
      </c>
      <c r="N133" s="74">
        <f t="shared" si="70"/>
        <v>0</v>
      </c>
      <c r="O133" s="74">
        <f t="shared" si="70"/>
        <v>0</v>
      </c>
      <c r="P133" s="74">
        <f t="shared" si="70"/>
        <v>0</v>
      </c>
      <c r="Q133" s="74">
        <f t="shared" si="70"/>
        <v>0</v>
      </c>
      <c r="R133" s="74">
        <f t="shared" si="70"/>
        <v>0</v>
      </c>
      <c r="S133" s="74">
        <f t="shared" si="70"/>
        <v>0</v>
      </c>
      <c r="T133" s="74">
        <f t="shared" si="70"/>
        <v>0</v>
      </c>
      <c r="U133" s="74">
        <f t="shared" si="70"/>
        <v>0</v>
      </c>
      <c r="V133" s="74">
        <f t="shared" si="70"/>
        <v>0</v>
      </c>
      <c r="W133" s="74">
        <f t="shared" si="70"/>
        <v>0</v>
      </c>
      <c r="X133" s="74">
        <f t="shared" si="70"/>
        <v>0</v>
      </c>
      <c r="Y133" s="74">
        <f t="shared" si="70"/>
        <v>0</v>
      </c>
      <c r="Z133" s="74">
        <f t="shared" si="70"/>
        <v>0</v>
      </c>
      <c r="AA133" s="74">
        <f t="shared" si="70"/>
        <v>0</v>
      </c>
      <c r="AB133" s="74">
        <f t="shared" si="70"/>
        <v>0</v>
      </c>
      <c r="AC133" s="74"/>
      <c r="AD133" s="74"/>
    </row>
    <row r="134" spans="1:30" x14ac:dyDescent="0.3">
      <c r="A134" s="75"/>
      <c r="B134" s="14" t="s">
        <v>111</v>
      </c>
      <c r="C134" s="76"/>
      <c r="D134" s="76">
        <f>-IF(D$42=$H$14,$H$13,0)</f>
        <v>0</v>
      </c>
      <c r="E134" s="76">
        <f t="shared" ref="E134:AB134" si="71">-IF(E$42=$H$14,$H$13,0)</f>
        <v>0</v>
      </c>
      <c r="F134" s="76">
        <f t="shared" si="71"/>
        <v>0</v>
      </c>
      <c r="G134" s="76">
        <f t="shared" si="71"/>
        <v>0</v>
      </c>
      <c r="H134" s="76">
        <f t="shared" si="71"/>
        <v>0</v>
      </c>
      <c r="I134" s="76">
        <f t="shared" si="71"/>
        <v>0</v>
      </c>
      <c r="J134" s="76">
        <f t="shared" si="71"/>
        <v>0</v>
      </c>
      <c r="K134" s="76">
        <f t="shared" si="71"/>
        <v>0</v>
      </c>
      <c r="L134" s="76">
        <f t="shared" si="71"/>
        <v>0</v>
      </c>
      <c r="M134" s="76">
        <f t="shared" si="71"/>
        <v>0</v>
      </c>
      <c r="N134" s="76">
        <f t="shared" si="71"/>
        <v>0</v>
      </c>
      <c r="O134" s="76">
        <f t="shared" si="71"/>
        <v>0</v>
      </c>
      <c r="P134" s="76">
        <f t="shared" si="71"/>
        <v>0</v>
      </c>
      <c r="Q134" s="76">
        <f t="shared" si="71"/>
        <v>0</v>
      </c>
      <c r="R134" s="76">
        <f t="shared" si="71"/>
        <v>0</v>
      </c>
      <c r="S134" s="76">
        <f t="shared" si="71"/>
        <v>0</v>
      </c>
      <c r="T134" s="76">
        <f t="shared" si="71"/>
        <v>0</v>
      </c>
      <c r="U134" s="76">
        <f t="shared" si="71"/>
        <v>0</v>
      </c>
      <c r="V134" s="76">
        <f t="shared" si="71"/>
        <v>0</v>
      </c>
      <c r="W134" s="76">
        <f t="shared" si="71"/>
        <v>0</v>
      </c>
      <c r="X134" s="76">
        <f t="shared" si="71"/>
        <v>0</v>
      </c>
      <c r="Y134" s="76">
        <f t="shared" si="71"/>
        <v>0</v>
      </c>
      <c r="Z134" s="76">
        <f t="shared" si="71"/>
        <v>0</v>
      </c>
      <c r="AA134" s="76">
        <f t="shared" si="71"/>
        <v>0</v>
      </c>
      <c r="AB134" s="76">
        <f t="shared" si="71"/>
        <v>0</v>
      </c>
      <c r="AC134" s="76"/>
      <c r="AD134" s="76"/>
    </row>
    <row r="135" spans="1:30" x14ac:dyDescent="0.3">
      <c r="A135" s="75"/>
      <c r="B135" s="14"/>
      <c r="C135" s="76"/>
      <c r="D135" s="76"/>
      <c r="E135" s="76"/>
      <c r="F135" s="76"/>
      <c r="G135" s="76"/>
      <c r="H135" s="76"/>
      <c r="I135" s="76"/>
      <c r="J135" s="76"/>
      <c r="K135" s="76"/>
      <c r="L135" s="76"/>
      <c r="M135" s="76"/>
      <c r="N135" s="76"/>
      <c r="O135" s="76"/>
      <c r="P135" s="76"/>
      <c r="Q135" s="76"/>
      <c r="R135" s="76"/>
      <c r="S135" s="76"/>
      <c r="T135" s="76"/>
      <c r="U135" s="76"/>
      <c r="V135" s="76"/>
      <c r="W135" s="76"/>
      <c r="X135" s="76"/>
      <c r="Y135" s="76"/>
      <c r="Z135" s="76"/>
      <c r="AA135" s="76"/>
      <c r="AB135" s="76"/>
      <c r="AC135" s="76"/>
      <c r="AD135" s="76"/>
    </row>
    <row r="136" spans="1:30" x14ac:dyDescent="0.3">
      <c r="A136" s="77">
        <f>SUM(C136:AB136)</f>
        <v>89878.070107667605</v>
      </c>
      <c r="B136" s="3" t="s">
        <v>112</v>
      </c>
      <c r="C136" s="48">
        <f>-C129+C125-SUM(C131:C134)</f>
        <v>-38160</v>
      </c>
      <c r="D136" s="48">
        <f>-D129+D125-SUM(D131:D134)</f>
        <v>4059.6937267881626</v>
      </c>
      <c r="E136" s="48">
        <f>-E129+E125-SUM(E131:E134)</f>
        <v>4128.0679971080772</v>
      </c>
      <c r="F136" s="48">
        <f t="shared" ref="F136:AB136" si="72">-F129+F125-SUM(F131:F134)</f>
        <v>4197.6937424880998</v>
      </c>
      <c r="G136" s="48">
        <f t="shared" si="72"/>
        <v>4510.8935400309892</v>
      </c>
      <c r="H136" s="48">
        <f t="shared" si="72"/>
        <v>4589.1466785216435</v>
      </c>
      <c r="I136" s="48">
        <f t="shared" si="72"/>
        <v>4668.8704163743623</v>
      </c>
      <c r="J136" s="48">
        <f t="shared" si="72"/>
        <v>4750.0918647073331</v>
      </c>
      <c r="K136" s="48">
        <f t="shared" si="72"/>
        <v>4832.8386205461102</v>
      </c>
      <c r="L136" s="48">
        <f t="shared" si="72"/>
        <v>4917.1387751578732</v>
      </c>
      <c r="M136" s="48">
        <f t="shared" si="72"/>
        <v>5003.0209225182589</v>
      </c>
      <c r="N136" s="48">
        <f t="shared" si="72"/>
        <v>5450.5141679125336</v>
      </c>
      <c r="O136" s="48">
        <f t="shared" si="72"/>
        <v>5539.6481366730004</v>
      </c>
      <c r="P136" s="48">
        <f t="shared" si="72"/>
        <v>5248.8529830544103</v>
      </c>
      <c r="Q136" s="48">
        <f t="shared" si="72"/>
        <v>4959.7593992492784</v>
      </c>
      <c r="R136" s="48">
        <f t="shared" si="72"/>
        <v>5053.9986245449336</v>
      </c>
      <c r="S136" s="48">
        <f t="shared" si="72"/>
        <v>5150.0024546242321</v>
      </c>
      <c r="T136" s="48">
        <f t="shared" si="72"/>
        <v>5247.80325101177</v>
      </c>
      <c r="U136" s="48">
        <f t="shared" si="72"/>
        <v>5347.4339506675515</v>
      </c>
      <c r="V136" s="48">
        <f t="shared" si="72"/>
        <v>5448.9280757300457</v>
      </c>
      <c r="W136" s="48">
        <f t="shared" si="72"/>
        <v>5552.3197434104786</v>
      </c>
      <c r="X136" s="48">
        <f t="shared" si="72"/>
        <v>5657.6436760404431</v>
      </c>
      <c r="Y136" s="48">
        <f t="shared" si="72"/>
        <v>5764.9352112746674</v>
      </c>
      <c r="Z136" s="48">
        <f t="shared" si="72"/>
        <v>5874.2303124509981</v>
      </c>
      <c r="AA136" s="48">
        <f t="shared" si="72"/>
        <v>5985.5655791095141</v>
      </c>
      <c r="AB136" s="48">
        <f t="shared" si="72"/>
        <v>6098.9782576728312</v>
      </c>
      <c r="AC136" s="48"/>
      <c r="AD136" s="48"/>
    </row>
    <row r="137" spans="1:30" x14ac:dyDescent="0.3">
      <c r="A137" s="78">
        <f>SUM(C137:AB137)</f>
        <v>0</v>
      </c>
      <c r="B137" s="75" t="s">
        <v>113</v>
      </c>
      <c r="C137" s="79">
        <f t="shared" ref="C137:AB137" si="73">-C141-C151-C146</f>
        <v>0</v>
      </c>
      <c r="D137" s="79">
        <f t="shared" si="73"/>
        <v>0</v>
      </c>
      <c r="E137" s="79">
        <f t="shared" si="73"/>
        <v>0</v>
      </c>
      <c r="F137" s="79">
        <f t="shared" si="73"/>
        <v>0</v>
      </c>
      <c r="G137" s="79">
        <f t="shared" si="73"/>
        <v>0</v>
      </c>
      <c r="H137" s="79">
        <f t="shared" si="73"/>
        <v>0</v>
      </c>
      <c r="I137" s="79">
        <f t="shared" si="73"/>
        <v>0</v>
      </c>
      <c r="J137" s="79">
        <f t="shared" si="73"/>
        <v>0</v>
      </c>
      <c r="K137" s="79">
        <f t="shared" si="73"/>
        <v>0</v>
      </c>
      <c r="L137" s="79">
        <f t="shared" si="73"/>
        <v>0</v>
      </c>
      <c r="M137" s="79">
        <f t="shared" si="73"/>
        <v>0</v>
      </c>
      <c r="N137" s="79">
        <f t="shared" si="73"/>
        <v>0</v>
      </c>
      <c r="O137" s="79">
        <f t="shared" si="73"/>
        <v>0</v>
      </c>
      <c r="P137" s="79">
        <f t="shared" si="73"/>
        <v>0</v>
      </c>
      <c r="Q137" s="79">
        <f t="shared" si="73"/>
        <v>0</v>
      </c>
      <c r="R137" s="79">
        <f t="shared" si="73"/>
        <v>0</v>
      </c>
      <c r="S137" s="79">
        <f t="shared" si="73"/>
        <v>0</v>
      </c>
      <c r="T137" s="79">
        <f t="shared" si="73"/>
        <v>0</v>
      </c>
      <c r="U137" s="79">
        <f t="shared" si="73"/>
        <v>0</v>
      </c>
      <c r="V137" s="79">
        <f t="shared" si="73"/>
        <v>0</v>
      </c>
      <c r="W137" s="79">
        <f t="shared" si="73"/>
        <v>0</v>
      </c>
      <c r="X137" s="79">
        <f t="shared" si="73"/>
        <v>0</v>
      </c>
      <c r="Y137" s="79">
        <f t="shared" si="73"/>
        <v>0</v>
      </c>
      <c r="Z137" s="79">
        <f t="shared" si="73"/>
        <v>0</v>
      </c>
      <c r="AA137" s="79">
        <f t="shared" si="73"/>
        <v>0</v>
      </c>
      <c r="AB137" s="79">
        <f t="shared" si="73"/>
        <v>0</v>
      </c>
      <c r="AC137" s="79"/>
      <c r="AD137" s="79"/>
    </row>
    <row r="138" spans="1:30" x14ac:dyDescent="0.3">
      <c r="A138" s="59"/>
      <c r="B138" s="59" t="s">
        <v>114</v>
      </c>
      <c r="C138" s="80">
        <f>C136</f>
        <v>-38160</v>
      </c>
      <c r="D138" s="80">
        <f t="shared" ref="D138:AB138" si="74">(C138+D136)*(D42&lt;=$C$19)</f>
        <v>-34100.306273211834</v>
      </c>
      <c r="E138" s="80">
        <f t="shared" si="74"/>
        <v>-29972.238276103759</v>
      </c>
      <c r="F138" s="80">
        <f t="shared" si="74"/>
        <v>-25774.544533615659</v>
      </c>
      <c r="G138" s="80">
        <f t="shared" si="74"/>
        <v>-21263.65099358467</v>
      </c>
      <c r="H138" s="80">
        <f t="shared" si="74"/>
        <v>-16674.504315063026</v>
      </c>
      <c r="I138" s="80">
        <f t="shared" si="74"/>
        <v>-12005.633898688664</v>
      </c>
      <c r="J138" s="80">
        <f t="shared" si="74"/>
        <v>-7255.5420339813309</v>
      </c>
      <c r="K138" s="80">
        <f t="shared" si="74"/>
        <v>-2422.7034134352207</v>
      </c>
      <c r="L138" s="80">
        <f t="shared" si="74"/>
        <v>2494.4353617226525</v>
      </c>
      <c r="M138" s="80">
        <f t="shared" si="74"/>
        <v>7497.4562842409114</v>
      </c>
      <c r="N138" s="80">
        <f t="shared" si="74"/>
        <v>12947.970452153444</v>
      </c>
      <c r="O138" s="80">
        <f t="shared" si="74"/>
        <v>18487.618588826444</v>
      </c>
      <c r="P138" s="80">
        <f t="shared" si="74"/>
        <v>23736.471571880855</v>
      </c>
      <c r="Q138" s="80">
        <f t="shared" si="74"/>
        <v>28696.230971130135</v>
      </c>
      <c r="R138" s="80">
        <f t="shared" si="74"/>
        <v>33750.229595675068</v>
      </c>
      <c r="S138" s="80">
        <f t="shared" si="74"/>
        <v>38900.232050299303</v>
      </c>
      <c r="T138" s="80">
        <f t="shared" si="74"/>
        <v>44148.035301311073</v>
      </c>
      <c r="U138" s="80">
        <f t="shared" si="74"/>
        <v>49495.469251978626</v>
      </c>
      <c r="V138" s="80">
        <f t="shared" si="74"/>
        <v>54944.39732770867</v>
      </c>
      <c r="W138" s="80">
        <f t="shared" si="74"/>
        <v>60496.71707111915</v>
      </c>
      <c r="X138" s="80">
        <f t="shared" si="74"/>
        <v>66154.36074715959</v>
      </c>
      <c r="Y138" s="80">
        <f t="shared" si="74"/>
        <v>71919.295958434261</v>
      </c>
      <c r="Z138" s="80">
        <f t="shared" si="74"/>
        <v>77793.526270885253</v>
      </c>
      <c r="AA138" s="80">
        <f t="shared" si="74"/>
        <v>83779.091849994773</v>
      </c>
      <c r="AB138" s="80">
        <f t="shared" si="74"/>
        <v>89878.070107667605</v>
      </c>
      <c r="AC138" s="80"/>
      <c r="AD138" s="80"/>
    </row>
    <row r="139" spans="1:30" x14ac:dyDescent="0.3">
      <c r="A139" s="59"/>
      <c r="B139" s="81"/>
      <c r="C139" s="80"/>
      <c r="D139" s="80"/>
      <c r="E139" s="80"/>
      <c r="F139" s="80"/>
      <c r="G139" s="80"/>
      <c r="H139" s="80"/>
      <c r="I139" s="80"/>
      <c r="J139" s="80"/>
      <c r="K139" s="80"/>
      <c r="L139" s="80"/>
      <c r="M139" s="80"/>
      <c r="N139" s="80"/>
      <c r="O139" s="80"/>
      <c r="P139" s="80"/>
      <c r="Q139" s="80"/>
      <c r="R139" s="80"/>
      <c r="S139" s="80"/>
      <c r="T139" s="80"/>
      <c r="U139" s="80"/>
      <c r="V139" s="80"/>
      <c r="W139" s="80"/>
      <c r="X139" s="80"/>
      <c r="Y139" s="80"/>
      <c r="Z139" s="80"/>
      <c r="AA139" s="80"/>
      <c r="AB139" s="80"/>
      <c r="AC139" s="80"/>
      <c r="AD139" s="80"/>
    </row>
    <row r="140" spans="1:30" x14ac:dyDescent="0.3">
      <c r="C140" s="42"/>
      <c r="D140" s="42"/>
      <c r="E140" s="42"/>
      <c r="F140" s="42"/>
      <c r="G140" s="42"/>
      <c r="H140" s="42"/>
      <c r="I140" s="42"/>
      <c r="J140" s="42"/>
      <c r="K140" s="42"/>
      <c r="L140" s="42"/>
      <c r="M140" s="42"/>
      <c r="N140" s="42"/>
      <c r="O140" s="42"/>
      <c r="P140" s="42"/>
      <c r="Q140" s="42"/>
      <c r="R140" s="42"/>
      <c r="S140" s="42"/>
      <c r="T140" s="42"/>
      <c r="U140" s="42"/>
      <c r="V140" s="42"/>
      <c r="W140" s="42"/>
      <c r="X140" s="42"/>
      <c r="Y140" s="42"/>
      <c r="Z140" s="42"/>
      <c r="AA140" s="42"/>
      <c r="AB140" s="42"/>
      <c r="AC140" s="42"/>
      <c r="AD140" s="42"/>
    </row>
    <row r="141" spans="1:30" x14ac:dyDescent="0.3">
      <c r="B141" t="s">
        <v>115</v>
      </c>
      <c r="C141" s="42">
        <f>C129*Finance!E22</f>
        <v>0</v>
      </c>
      <c r="D141" s="42">
        <f t="shared" ref="D141:AB141" si="75">MAX(0,D129-D142)</f>
        <v>0</v>
      </c>
      <c r="E141" s="42">
        <f t="shared" si="75"/>
        <v>0</v>
      </c>
      <c r="F141" s="42">
        <f t="shared" si="75"/>
        <v>0</v>
      </c>
      <c r="G141" s="42">
        <f t="shared" si="75"/>
        <v>0</v>
      </c>
      <c r="H141" s="42">
        <f t="shared" si="75"/>
        <v>0</v>
      </c>
      <c r="I141" s="42">
        <f t="shared" si="75"/>
        <v>0</v>
      </c>
      <c r="J141" s="42">
        <f t="shared" si="75"/>
        <v>0</v>
      </c>
      <c r="K141" s="42">
        <f t="shared" si="75"/>
        <v>0</v>
      </c>
      <c r="L141" s="42">
        <f t="shared" si="75"/>
        <v>0</v>
      </c>
      <c r="M141" s="42">
        <f t="shared" si="75"/>
        <v>0</v>
      </c>
      <c r="N141" s="42">
        <f t="shared" si="75"/>
        <v>0</v>
      </c>
      <c r="O141" s="42">
        <f t="shared" si="75"/>
        <v>0</v>
      </c>
      <c r="P141" s="42">
        <f t="shared" si="75"/>
        <v>0</v>
      </c>
      <c r="Q141" s="42">
        <f t="shared" si="75"/>
        <v>0</v>
      </c>
      <c r="R141" s="42">
        <f t="shared" si="75"/>
        <v>0</v>
      </c>
      <c r="S141" s="42">
        <f t="shared" si="75"/>
        <v>0</v>
      </c>
      <c r="T141" s="42">
        <f t="shared" si="75"/>
        <v>0</v>
      </c>
      <c r="U141" s="42">
        <f t="shared" si="75"/>
        <v>0</v>
      </c>
      <c r="V141" s="42">
        <f t="shared" si="75"/>
        <v>0</v>
      </c>
      <c r="W141" s="42">
        <f t="shared" si="75"/>
        <v>0</v>
      </c>
      <c r="X141" s="42">
        <f t="shared" si="75"/>
        <v>0</v>
      </c>
      <c r="Y141" s="42">
        <f t="shared" si="75"/>
        <v>0</v>
      </c>
      <c r="Z141" s="42">
        <f t="shared" si="75"/>
        <v>0</v>
      </c>
      <c r="AA141" s="42">
        <f t="shared" si="75"/>
        <v>0</v>
      </c>
      <c r="AB141" s="42">
        <f t="shared" si="75"/>
        <v>0</v>
      </c>
      <c r="AC141" s="42"/>
      <c r="AD141" s="42"/>
    </row>
    <row r="142" spans="1:30" x14ac:dyDescent="0.3">
      <c r="A142" s="120"/>
      <c r="B142" s="120" t="s">
        <v>116</v>
      </c>
      <c r="C142" s="121">
        <f>C129*Finance!E19</f>
        <v>38160</v>
      </c>
      <c r="D142" s="121">
        <f>(C142-D144)*(D$42&lt;=Finance!$E$20)</f>
        <v>35616</v>
      </c>
      <c r="E142" s="121">
        <f>(D142-E144)*(E$42&lt;=Finance!$E$20)</f>
        <v>33072</v>
      </c>
      <c r="F142" s="121">
        <f>(E142-F144)*(F$42&lt;=Finance!$E$20)</f>
        <v>30528</v>
      </c>
      <c r="G142" s="121">
        <f>(F142-G144)*(G$42&lt;=Finance!$E$20)</f>
        <v>27984</v>
      </c>
      <c r="H142" s="121">
        <f>(G142-H144)*(H$42&lt;=Finance!$E$20)</f>
        <v>25440</v>
      </c>
      <c r="I142" s="121">
        <f>(H142-I144)*(I$42&lt;=Finance!$E$20)</f>
        <v>22896</v>
      </c>
      <c r="J142" s="121">
        <f>(I142-J144)*(J$42&lt;=Finance!$E$20)</f>
        <v>20352</v>
      </c>
      <c r="K142" s="121">
        <f>(J142-K144)*(K$42&lt;=Finance!$E$20)</f>
        <v>17808</v>
      </c>
      <c r="L142" s="121">
        <f>(K142-L144)*(L$42&lt;=Finance!$E$20)</f>
        <v>15264</v>
      </c>
      <c r="M142" s="121">
        <f>(L142-M144)*(M$42&lt;=Finance!$E$20)</f>
        <v>12720</v>
      </c>
      <c r="N142" s="121">
        <f>(M142-N144)*(N$42&lt;=Finance!$E$20)</f>
        <v>10176</v>
      </c>
      <c r="O142" s="121">
        <f>(N142-O144)*(O$42&lt;=Finance!$E$20)</f>
        <v>7632</v>
      </c>
      <c r="P142" s="121">
        <f>(O142-P144)*(P$42&lt;=Finance!$E$20)</f>
        <v>5088</v>
      </c>
      <c r="Q142" s="121">
        <f>(P142-Q144)*(Q$42&lt;=Finance!$E$20)</f>
        <v>2544</v>
      </c>
      <c r="R142" s="121">
        <f>(Q142-R144)*(R$42&lt;=Finance!$E$20)</f>
        <v>0</v>
      </c>
      <c r="S142" s="121">
        <f>(R142-S144)*(S$42&lt;=Finance!$E$20)</f>
        <v>0</v>
      </c>
      <c r="T142" s="121">
        <f>(S142-T144)*(T$42&lt;=Finance!$E$20)</f>
        <v>0</v>
      </c>
      <c r="U142" s="121">
        <f>(T142-U144)*(U$42&lt;=Finance!$E$20)</f>
        <v>0</v>
      </c>
      <c r="V142" s="121">
        <f>(U142-V144)*(V$42&lt;=Finance!$E$20)</f>
        <v>0</v>
      </c>
      <c r="W142" s="121">
        <f>(V142-W144)*(W$42&lt;=Finance!$E$20)</f>
        <v>0</v>
      </c>
      <c r="X142" s="121">
        <f>(W142-X144)*(X$42&lt;=Finance!$E$20)</f>
        <v>0</v>
      </c>
      <c r="Y142" s="121">
        <f>(X142-Y144)*(Y$42&lt;=Finance!$E$20)</f>
        <v>0</v>
      </c>
      <c r="Z142" s="121">
        <f>(Y142-Z144)*(Z$42&lt;=Finance!$E$20)</f>
        <v>0</v>
      </c>
      <c r="AA142" s="121">
        <f>(Z142-AA144)*(AA$42&lt;=Finance!$E$20)</f>
        <v>0</v>
      </c>
      <c r="AB142" s="121">
        <f>(AA142-AB144)*(AB$42&lt;=Finance!$E$20)</f>
        <v>0</v>
      </c>
      <c r="AC142" s="121"/>
      <c r="AD142" s="121"/>
    </row>
    <row r="143" spans="1:30" x14ac:dyDescent="0.3">
      <c r="B143" s="120" t="s">
        <v>181</v>
      </c>
      <c r="C143" s="120"/>
      <c r="D143" s="121">
        <f>C142*Finance!E21</f>
        <v>3434.4</v>
      </c>
      <c r="E143" s="121">
        <f>D142*Finance!$E$21</f>
        <v>3205.44</v>
      </c>
      <c r="F143" s="121">
        <f>E142*Finance!$E$21</f>
        <v>2976.48</v>
      </c>
      <c r="G143" s="121">
        <f>F142*Finance!$E$21</f>
        <v>2747.52</v>
      </c>
      <c r="H143" s="121">
        <f>G142*Finance!$E$21</f>
        <v>2518.56</v>
      </c>
      <c r="I143" s="121">
        <f>H142*Finance!$E$21</f>
        <v>2289.6</v>
      </c>
      <c r="J143" s="121">
        <f>I142*Finance!$E$21</f>
        <v>2060.64</v>
      </c>
      <c r="K143" s="121">
        <f>J142*Finance!$E$21</f>
        <v>1831.6799999999998</v>
      </c>
      <c r="L143" s="121">
        <f>K142*Finance!$E$21</f>
        <v>1602.72</v>
      </c>
      <c r="M143" s="121">
        <f>L142*Finance!$E$21</f>
        <v>1373.76</v>
      </c>
      <c r="N143" s="121">
        <f>M142*Finance!$E$21</f>
        <v>1144.8</v>
      </c>
      <c r="O143" s="121">
        <f>N142*Finance!$E$21</f>
        <v>915.83999999999992</v>
      </c>
      <c r="P143" s="121">
        <f>O142*Finance!$E$21</f>
        <v>686.88</v>
      </c>
      <c r="Q143" s="121">
        <f>P142*Finance!$E$21</f>
        <v>457.91999999999996</v>
      </c>
      <c r="R143" s="121">
        <f>Q142*Finance!$E$21</f>
        <v>228.95999999999998</v>
      </c>
      <c r="S143" s="121">
        <f>R142*Finance!$E$21</f>
        <v>0</v>
      </c>
      <c r="T143" s="121">
        <f>S142*Finance!$E$21</f>
        <v>0</v>
      </c>
      <c r="U143" s="121">
        <f>T142*Finance!$E$21</f>
        <v>0</v>
      </c>
      <c r="V143" s="121">
        <f>U142*Finance!$E$21</f>
        <v>0</v>
      </c>
      <c r="W143" s="121">
        <f>V142*Finance!$E$21</f>
        <v>0</v>
      </c>
      <c r="X143" s="121">
        <f>W142*Finance!$E$21</f>
        <v>0</v>
      </c>
      <c r="Y143" s="121">
        <f>X142*Finance!$E$21</f>
        <v>0</v>
      </c>
      <c r="Z143" s="121">
        <f>Y142*Finance!$E$21</f>
        <v>0</v>
      </c>
      <c r="AA143" s="121">
        <f>Z142*Finance!$E$21</f>
        <v>0</v>
      </c>
      <c r="AB143" s="121">
        <f>AA142*Finance!$E$21</f>
        <v>0</v>
      </c>
      <c r="AC143" s="42"/>
      <c r="AD143" s="42"/>
    </row>
    <row r="144" spans="1:30" x14ac:dyDescent="0.3">
      <c r="B144" s="120" t="s">
        <v>183</v>
      </c>
      <c r="C144" s="120"/>
      <c r="D144" s="121">
        <f>C142/Finance!E20</f>
        <v>2544</v>
      </c>
      <c r="E144" s="121">
        <f>D144*(E$42&lt;=Finance!$E$20)</f>
        <v>2544</v>
      </c>
      <c r="F144" s="121">
        <f>E144*(F$42&lt;=Finance!$E$20)</f>
        <v>2544</v>
      </c>
      <c r="G144" s="121">
        <f>F144*(G$42&lt;=Finance!$E$20)</f>
        <v>2544</v>
      </c>
      <c r="H144" s="121">
        <f>G144*(H$42&lt;=Finance!$E$20)</f>
        <v>2544</v>
      </c>
      <c r="I144" s="121">
        <f>H144*(I$42&lt;=Finance!$E$20)</f>
        <v>2544</v>
      </c>
      <c r="J144" s="121">
        <f>I144*(J$42&lt;=Finance!$E$20)</f>
        <v>2544</v>
      </c>
      <c r="K144" s="121">
        <f>J144*(K$42&lt;=Finance!$E$20)</f>
        <v>2544</v>
      </c>
      <c r="L144" s="121">
        <f>K144*(L$42&lt;=Finance!$E$20)</f>
        <v>2544</v>
      </c>
      <c r="M144" s="121">
        <f>L144*(M$42&lt;=Finance!$E$20)</f>
        <v>2544</v>
      </c>
      <c r="N144" s="121">
        <f>M144*(N$42&lt;=Finance!$E$20)</f>
        <v>2544</v>
      </c>
      <c r="O144" s="121">
        <f>N144*(O$42&lt;=Finance!$E$20)</f>
        <v>2544</v>
      </c>
      <c r="P144" s="121">
        <f>O144*(P$42&lt;=Finance!$E$20)</f>
        <v>2544</v>
      </c>
      <c r="Q144" s="121">
        <f>P144*(Q$42&lt;=Finance!$E$20)</f>
        <v>2544</v>
      </c>
      <c r="R144" s="121">
        <f>Q144*(R$42&lt;=Finance!$E$20)</f>
        <v>2544</v>
      </c>
      <c r="S144" s="121">
        <f>R144*(S$42&lt;=Finance!$E$20)</f>
        <v>0</v>
      </c>
      <c r="T144" s="121">
        <f>S144*(T$42&lt;=Finance!$E$20)</f>
        <v>0</v>
      </c>
      <c r="U144" s="121">
        <f>T144*(U$42&lt;=Finance!$E$20)</f>
        <v>0</v>
      </c>
      <c r="V144" s="121">
        <f>U144*(V$42&lt;=Finance!$E$20)</f>
        <v>0</v>
      </c>
      <c r="W144" s="121">
        <f>V144*(W$42&lt;=Finance!$E$20)</f>
        <v>0</v>
      </c>
      <c r="X144" s="121">
        <f>W144*(X$42&lt;=Finance!$E$20)</f>
        <v>0</v>
      </c>
      <c r="Y144" s="121">
        <f>X144*(Y$42&lt;=Finance!$E$20)</f>
        <v>0</v>
      </c>
      <c r="Z144" s="121">
        <f>Y144*(Z$42&lt;=Finance!$E$20)</f>
        <v>0</v>
      </c>
      <c r="AA144" s="121">
        <f>Z144*(AA$42&lt;=Finance!$E$20)</f>
        <v>0</v>
      </c>
      <c r="AB144" s="121">
        <f>AA144*(AB$42&lt;=Finance!$E$20)</f>
        <v>0</v>
      </c>
      <c r="AC144" s="42"/>
      <c r="AD144" s="42"/>
    </row>
    <row r="145" spans="1:30" x14ac:dyDescent="0.3">
      <c r="C145" s="42"/>
      <c r="D145" s="42"/>
      <c r="E145" s="42"/>
      <c r="F145" s="42"/>
      <c r="G145" s="42"/>
      <c r="H145" s="42"/>
      <c r="I145" s="42"/>
      <c r="J145" s="42"/>
      <c r="K145" s="42"/>
      <c r="L145" s="42"/>
      <c r="M145" s="42"/>
      <c r="N145" s="42"/>
      <c r="O145" s="42"/>
      <c r="P145" s="42"/>
      <c r="Q145" s="42"/>
      <c r="R145" s="42"/>
      <c r="S145" s="42"/>
      <c r="T145" s="42"/>
      <c r="U145" s="42"/>
      <c r="V145" s="42"/>
      <c r="W145" s="42"/>
      <c r="X145" s="42"/>
      <c r="Y145" s="42"/>
      <c r="Z145" s="42"/>
      <c r="AA145" s="42"/>
      <c r="AB145" s="42"/>
      <c r="AC145" s="42"/>
      <c r="AD145" s="42"/>
    </row>
    <row r="146" spans="1:30" x14ac:dyDescent="0.3">
      <c r="A146" s="154"/>
      <c r="B146" s="154" t="s">
        <v>117</v>
      </c>
      <c r="C146" s="156"/>
      <c r="D146" s="156"/>
      <c r="E146" s="156"/>
      <c r="F146" s="156"/>
      <c r="G146" s="156"/>
      <c r="H146" s="156"/>
      <c r="I146" s="156"/>
      <c r="J146" s="156"/>
      <c r="K146" s="156"/>
      <c r="L146" s="156"/>
      <c r="M146" s="156"/>
      <c r="N146" s="156"/>
      <c r="O146" s="156"/>
      <c r="P146" s="156"/>
      <c r="Q146" s="156"/>
      <c r="R146" s="156"/>
      <c r="S146" s="156"/>
      <c r="T146" s="156"/>
      <c r="U146" s="156"/>
      <c r="V146" s="156"/>
      <c r="W146" s="156"/>
      <c r="X146" s="156"/>
      <c r="Y146" s="156"/>
      <c r="Z146" s="156"/>
      <c r="AA146" s="156"/>
      <c r="AB146" s="156"/>
      <c r="AC146" s="156"/>
      <c r="AD146" s="156"/>
    </row>
    <row r="147" spans="1:30" x14ac:dyDescent="0.3">
      <c r="A147" s="154"/>
      <c r="B147" s="154" t="s">
        <v>118</v>
      </c>
      <c r="C147" s="156"/>
      <c r="D147" s="156"/>
      <c r="E147" s="156"/>
      <c r="F147" s="156"/>
      <c r="G147" s="156"/>
      <c r="H147" s="156"/>
      <c r="I147" s="156"/>
      <c r="J147" s="156"/>
      <c r="K147" s="156"/>
      <c r="L147" s="156"/>
      <c r="M147" s="156"/>
      <c r="N147" s="156"/>
      <c r="O147" s="156"/>
      <c r="P147" s="156"/>
      <c r="Q147" s="156"/>
      <c r="R147" s="156"/>
      <c r="S147" s="156"/>
      <c r="T147" s="156"/>
      <c r="U147" s="156"/>
      <c r="V147" s="156"/>
      <c r="W147" s="156"/>
      <c r="X147" s="156"/>
      <c r="Y147" s="156"/>
      <c r="Z147" s="156"/>
      <c r="AA147" s="156"/>
      <c r="AB147" s="156"/>
      <c r="AC147" s="156"/>
      <c r="AD147" s="156"/>
    </row>
    <row r="148" spans="1:30" x14ac:dyDescent="0.3">
      <c r="A148" s="157">
        <f>SUM(C148:AB148)</f>
        <v>0</v>
      </c>
      <c r="B148" s="154" t="s">
        <v>119</v>
      </c>
      <c r="C148" s="156"/>
      <c r="D148" s="156"/>
      <c r="E148" s="156"/>
      <c r="F148" s="156"/>
      <c r="G148" s="156"/>
      <c r="H148" s="156"/>
      <c r="I148" s="156"/>
      <c r="J148" s="156"/>
      <c r="K148" s="156"/>
      <c r="L148" s="156"/>
      <c r="M148" s="156"/>
      <c r="N148" s="156"/>
      <c r="O148" s="156"/>
      <c r="P148" s="156"/>
      <c r="Q148" s="156"/>
      <c r="R148" s="156"/>
      <c r="S148" s="156"/>
      <c r="T148" s="156"/>
      <c r="U148" s="156"/>
      <c r="V148" s="156"/>
      <c r="W148" s="156"/>
      <c r="X148" s="156"/>
      <c r="Y148" s="156"/>
      <c r="Z148" s="156"/>
      <c r="AA148" s="156"/>
      <c r="AB148" s="156"/>
      <c r="AC148" s="156"/>
      <c r="AD148" s="156"/>
    </row>
    <row r="149" spans="1:30" x14ac:dyDescent="0.3">
      <c r="A149" s="154"/>
      <c r="B149" s="154" t="s">
        <v>120</v>
      </c>
      <c r="C149" s="156"/>
      <c r="D149" s="156"/>
      <c r="E149" s="156"/>
      <c r="F149" s="156"/>
      <c r="G149" s="156"/>
      <c r="H149" s="156"/>
      <c r="I149" s="156"/>
      <c r="J149" s="156"/>
      <c r="K149" s="156"/>
      <c r="L149" s="156"/>
      <c r="M149" s="156"/>
      <c r="N149" s="156"/>
      <c r="O149" s="156"/>
      <c r="P149" s="156"/>
      <c r="Q149" s="156"/>
      <c r="R149" s="156"/>
      <c r="S149" s="156"/>
      <c r="T149" s="156"/>
      <c r="U149" s="156"/>
      <c r="V149" s="156"/>
      <c r="W149" s="156"/>
      <c r="X149" s="156"/>
      <c r="Y149" s="156"/>
      <c r="Z149" s="156"/>
      <c r="AA149" s="156"/>
      <c r="AB149" s="156"/>
      <c r="AC149" s="156"/>
      <c r="AD149" s="156"/>
    </row>
    <row r="150" spans="1:30" x14ac:dyDescent="0.3">
      <c r="B150" t="s">
        <v>121</v>
      </c>
      <c r="C150" s="42">
        <f t="shared" ref="C150:AB150" si="76">C123</f>
        <v>0</v>
      </c>
      <c r="D150" s="42">
        <f t="shared" si="76"/>
        <v>0</v>
      </c>
      <c r="E150" s="42">
        <f t="shared" si="76"/>
        <v>0</v>
      </c>
      <c r="F150" s="42">
        <f t="shared" si="76"/>
        <v>0</v>
      </c>
      <c r="G150" s="42">
        <f t="shared" si="76"/>
        <v>0</v>
      </c>
      <c r="H150" s="42">
        <f t="shared" si="76"/>
        <v>0</v>
      </c>
      <c r="I150" s="42">
        <f t="shared" si="76"/>
        <v>0</v>
      </c>
      <c r="J150" s="42">
        <f t="shared" si="76"/>
        <v>0</v>
      </c>
      <c r="K150" s="42">
        <f t="shared" si="76"/>
        <v>0</v>
      </c>
      <c r="L150" s="42">
        <f t="shared" si="76"/>
        <v>0</v>
      </c>
      <c r="M150" s="42">
        <f t="shared" si="76"/>
        <v>0</v>
      </c>
      <c r="N150" s="42">
        <f t="shared" si="76"/>
        <v>0</v>
      </c>
      <c r="O150" s="42">
        <f t="shared" si="76"/>
        <v>0</v>
      </c>
      <c r="P150" s="42">
        <f t="shared" si="76"/>
        <v>0</v>
      </c>
      <c r="Q150" s="42">
        <f t="shared" si="76"/>
        <v>0</v>
      </c>
      <c r="R150" s="42">
        <f t="shared" si="76"/>
        <v>0</v>
      </c>
      <c r="S150" s="42">
        <f t="shared" si="76"/>
        <v>0</v>
      </c>
      <c r="T150" s="42">
        <f t="shared" si="76"/>
        <v>0</v>
      </c>
      <c r="U150" s="42">
        <f t="shared" si="76"/>
        <v>0</v>
      </c>
      <c r="V150" s="42">
        <f t="shared" si="76"/>
        <v>0</v>
      </c>
      <c r="W150" s="42">
        <f t="shared" si="76"/>
        <v>0</v>
      </c>
      <c r="X150" s="42">
        <f t="shared" si="76"/>
        <v>0</v>
      </c>
      <c r="Y150" s="42">
        <f t="shared" si="76"/>
        <v>0</v>
      </c>
      <c r="Z150" s="42">
        <f t="shared" si="76"/>
        <v>0</v>
      </c>
      <c r="AA150" s="42">
        <f t="shared" si="76"/>
        <v>0</v>
      </c>
      <c r="AB150" s="42">
        <f t="shared" si="76"/>
        <v>0</v>
      </c>
      <c r="AC150" s="42"/>
      <c r="AD150" s="42"/>
    </row>
    <row r="151" spans="1:30" x14ac:dyDescent="0.3">
      <c r="B151" t="s">
        <v>206</v>
      </c>
      <c r="C151" s="42"/>
      <c r="D151" s="42">
        <f t="shared" ref="D151:AB151" si="77">MIN(0,$C$33-$C$32*(D136+D146+D147+D148+D149+D150+C164))*(D42&lt;=$C$19)*(C164&gt;$C$33)</f>
        <v>0</v>
      </c>
      <c r="E151" s="42">
        <f t="shared" si="77"/>
        <v>0</v>
      </c>
      <c r="F151" s="42">
        <f t="shared" si="77"/>
        <v>0</v>
      </c>
      <c r="G151" s="42">
        <f t="shared" si="77"/>
        <v>0</v>
      </c>
      <c r="H151" s="42">
        <f t="shared" si="77"/>
        <v>0</v>
      </c>
      <c r="I151" s="42">
        <f t="shared" si="77"/>
        <v>0</v>
      </c>
      <c r="J151" s="42">
        <f t="shared" si="77"/>
        <v>0</v>
      </c>
      <c r="K151" s="42">
        <f t="shared" si="77"/>
        <v>0</v>
      </c>
      <c r="L151" s="42">
        <f t="shared" si="77"/>
        <v>0</v>
      </c>
      <c r="M151" s="42">
        <f t="shared" si="77"/>
        <v>0</v>
      </c>
      <c r="N151" s="42">
        <f t="shared" si="77"/>
        <v>0</v>
      </c>
      <c r="O151" s="42">
        <f t="shared" si="77"/>
        <v>0</v>
      </c>
      <c r="P151" s="42">
        <f t="shared" si="77"/>
        <v>0</v>
      </c>
      <c r="Q151" s="42">
        <f t="shared" si="77"/>
        <v>0</v>
      </c>
      <c r="R151" s="42">
        <f t="shared" si="77"/>
        <v>0</v>
      </c>
      <c r="S151" s="42">
        <f t="shared" si="77"/>
        <v>0</v>
      </c>
      <c r="T151" s="42">
        <f t="shared" si="77"/>
        <v>0</v>
      </c>
      <c r="U151" s="42">
        <f t="shared" si="77"/>
        <v>0</v>
      </c>
      <c r="V151" s="42">
        <f t="shared" si="77"/>
        <v>0</v>
      </c>
      <c r="W151" s="42">
        <f t="shared" si="77"/>
        <v>0</v>
      </c>
      <c r="X151" s="42">
        <f t="shared" si="77"/>
        <v>0</v>
      </c>
      <c r="Y151" s="42">
        <f t="shared" si="77"/>
        <v>0</v>
      </c>
      <c r="Z151" s="42">
        <f t="shared" si="77"/>
        <v>0</v>
      </c>
      <c r="AA151" s="42">
        <f t="shared" si="77"/>
        <v>0</v>
      </c>
      <c r="AB151" s="42">
        <f t="shared" si="77"/>
        <v>0</v>
      </c>
      <c r="AC151" s="42"/>
      <c r="AD151" s="42"/>
    </row>
    <row r="152" spans="1:30" x14ac:dyDescent="0.3">
      <c r="B152" s="3" t="s">
        <v>123</v>
      </c>
      <c r="C152" s="48">
        <f t="shared" ref="C152:AB152" si="78">C136+SUM(C141:C151)</f>
        <v>0</v>
      </c>
      <c r="D152" s="48">
        <f>D136+SUM(D141:D151)</f>
        <v>45654.093726788167</v>
      </c>
      <c r="E152" s="48">
        <f t="shared" si="78"/>
        <v>42949.507997108078</v>
      </c>
      <c r="F152" s="48">
        <f t="shared" si="78"/>
        <v>40246.173742488099</v>
      </c>
      <c r="G152" s="48">
        <f t="shared" si="78"/>
        <v>37786.41354003099</v>
      </c>
      <c r="H152" s="48">
        <f t="shared" si="78"/>
        <v>35091.706678521645</v>
      </c>
      <c r="I152" s="48">
        <f t="shared" si="78"/>
        <v>32398.470416374359</v>
      </c>
      <c r="J152" s="48">
        <f t="shared" si="78"/>
        <v>29706.731864707333</v>
      </c>
      <c r="K152" s="48">
        <f t="shared" si="78"/>
        <v>27016.51862054611</v>
      </c>
      <c r="L152" s="48">
        <f t="shared" si="78"/>
        <v>24327.858775157874</v>
      </c>
      <c r="M152" s="48">
        <f t="shared" si="78"/>
        <v>21640.780922518261</v>
      </c>
      <c r="N152" s="48">
        <f t="shared" si="78"/>
        <v>19315.314167912533</v>
      </c>
      <c r="O152" s="48">
        <f t="shared" si="78"/>
        <v>16631.488136673001</v>
      </c>
      <c r="P152" s="48">
        <f t="shared" si="78"/>
        <v>13567.732983054411</v>
      </c>
      <c r="Q152" s="48">
        <f t="shared" si="78"/>
        <v>10505.679399249279</v>
      </c>
      <c r="R152" s="48">
        <f t="shared" si="78"/>
        <v>7826.9586245449336</v>
      </c>
      <c r="S152" s="48">
        <f t="shared" si="78"/>
        <v>5150.0024546242321</v>
      </c>
      <c r="T152" s="48">
        <f t="shared" si="78"/>
        <v>5247.80325101177</v>
      </c>
      <c r="U152" s="48">
        <f t="shared" si="78"/>
        <v>5347.4339506675515</v>
      </c>
      <c r="V152" s="48">
        <f t="shared" si="78"/>
        <v>5448.9280757300457</v>
      </c>
      <c r="W152" s="48">
        <f t="shared" si="78"/>
        <v>5552.3197434104786</v>
      </c>
      <c r="X152" s="48">
        <f t="shared" si="78"/>
        <v>5657.6436760404431</v>
      </c>
      <c r="Y152" s="48">
        <f t="shared" si="78"/>
        <v>5764.9352112746674</v>
      </c>
      <c r="Z152" s="48">
        <f t="shared" si="78"/>
        <v>5874.2303124509981</v>
      </c>
      <c r="AA152" s="48">
        <f t="shared" si="78"/>
        <v>5985.5655791095141</v>
      </c>
      <c r="AB152" s="48">
        <f t="shared" si="78"/>
        <v>6098.9782576728312</v>
      </c>
      <c r="AC152" s="48"/>
      <c r="AD152" s="48"/>
    </row>
    <row r="153" spans="1:30" x14ac:dyDescent="0.3">
      <c r="C153" s="82">
        <f>C152/MAX($C$126:$AB$126)</f>
        <v>0</v>
      </c>
      <c r="D153" s="82">
        <f>D152/MAX($C$126:$AB$126)</f>
        <v>1.1963861039514718</v>
      </c>
      <c r="E153" s="82">
        <f>E152/MAX($C$126:$AB$126)</f>
        <v>1.1255112158571299</v>
      </c>
      <c r="F153" s="82">
        <f>F152/MAX($C$126:$AB$126)</f>
        <v>1.0546691232308203</v>
      </c>
      <c r="G153" s="82">
        <f t="shared" ref="G153:AB153" si="79">G152/MAX($C$126:$AB$126)</f>
        <v>0.99020999842848501</v>
      </c>
      <c r="H153" s="82">
        <f t="shared" si="79"/>
        <v>0.91959399052729673</v>
      </c>
      <c r="I153" s="82">
        <f t="shared" si="79"/>
        <v>0.84901652034524</v>
      </c>
      <c r="J153" s="82">
        <f t="shared" si="79"/>
        <v>0.77847829834138715</v>
      </c>
      <c r="K153" s="82">
        <f t="shared" si="79"/>
        <v>0.70798004770823142</v>
      </c>
      <c r="L153" s="82">
        <f t="shared" si="79"/>
        <v>0.63752250459009108</v>
      </c>
      <c r="M153" s="82">
        <f t="shared" si="79"/>
        <v>0.56710641830498587</v>
      </c>
      <c r="N153" s="82">
        <f t="shared" si="79"/>
        <v>0.50616651383418587</v>
      </c>
      <c r="O153" s="82">
        <f t="shared" si="79"/>
        <v>0.4358356429945755</v>
      </c>
      <c r="P153" s="82">
        <f t="shared" si="79"/>
        <v>0.35554855825614284</v>
      </c>
      <c r="Q153" s="82">
        <f t="shared" si="79"/>
        <v>0.27530606392162682</v>
      </c>
      <c r="R153" s="82">
        <f t="shared" si="79"/>
        <v>0.20510897863063243</v>
      </c>
      <c r="S153" s="82">
        <f t="shared" si="79"/>
        <v>0.13495813560336037</v>
      </c>
      <c r="T153" s="82">
        <f t="shared" si="79"/>
        <v>0.13752104955481578</v>
      </c>
      <c r="U153" s="82">
        <f t="shared" si="79"/>
        <v>0.14013191694621466</v>
      </c>
      <c r="V153" s="82">
        <f t="shared" si="79"/>
        <v>0.14279161624030517</v>
      </c>
      <c r="W153" s="82">
        <f t="shared" si="79"/>
        <v>0.14550104149398529</v>
      </c>
      <c r="X153" s="82">
        <f t="shared" si="79"/>
        <v>0.14826110262160491</v>
      </c>
      <c r="Y153" s="82">
        <f t="shared" si="79"/>
        <v>0.15107272566233404</v>
      </c>
      <c r="Z153" s="82">
        <f t="shared" si="79"/>
        <v>0.15393685305165089</v>
      </c>
      <c r="AA153" s="82">
        <f t="shared" si="79"/>
        <v>0.15685444389699985</v>
      </c>
      <c r="AB153" s="82">
        <f t="shared" si="79"/>
        <v>0.15982647425767377</v>
      </c>
      <c r="AC153" s="82"/>
      <c r="AD153" s="82"/>
    </row>
    <row r="154" spans="1:30" x14ac:dyDescent="0.3">
      <c r="B154" s="11" t="s">
        <v>124</v>
      </c>
      <c r="C154" s="83">
        <f>C136</f>
        <v>-38160</v>
      </c>
      <c r="D154" s="83">
        <f>+D136+D102</f>
        <v>4395.3249690508837</v>
      </c>
      <c r="E154" s="83">
        <f t="shared" ref="E154:AB154" si="80">+E136+E102</f>
        <v>4486.4906628107692</v>
      </c>
      <c r="F154" s="83">
        <f t="shared" si="80"/>
        <v>4579.324989984133</v>
      </c>
      <c r="G154" s="83">
        <f t="shared" si="80"/>
        <v>4996.9247200413192</v>
      </c>
      <c r="H154" s="83">
        <f t="shared" si="80"/>
        <v>5101.2622380288576</v>
      </c>
      <c r="I154" s="83">
        <f t="shared" si="80"/>
        <v>5207.5605551658164</v>
      </c>
      <c r="J154" s="83">
        <f t="shared" si="80"/>
        <v>5315.8558196097774</v>
      </c>
      <c r="K154" s="83">
        <f t="shared" si="80"/>
        <v>5426.1848273948135</v>
      </c>
      <c r="L154" s="83">
        <f t="shared" si="80"/>
        <v>5538.5850335438308</v>
      </c>
      <c r="M154" s="83">
        <f t="shared" si="80"/>
        <v>5653.0945633576785</v>
      </c>
      <c r="N154" s="83">
        <f t="shared" si="80"/>
        <v>6249.7522238833781</v>
      </c>
      <c r="O154" s="83">
        <f t="shared" si="80"/>
        <v>6368.5975155640008</v>
      </c>
      <c r="P154" s="83">
        <f t="shared" si="80"/>
        <v>6489.6706440725466</v>
      </c>
      <c r="Q154" s="83">
        <f t="shared" si="80"/>
        <v>6613.0125323323709</v>
      </c>
      <c r="R154" s="83">
        <f t="shared" si="80"/>
        <v>6738.6648327265775</v>
      </c>
      <c r="S154" s="83">
        <f t="shared" si="80"/>
        <v>6866.6699394989755</v>
      </c>
      <c r="T154" s="83">
        <f t="shared" si="80"/>
        <v>6997.0710013490261</v>
      </c>
      <c r="U154" s="83">
        <f t="shared" si="80"/>
        <v>7129.9119342234026</v>
      </c>
      <c r="V154" s="83">
        <f t="shared" si="80"/>
        <v>7265.2374343067277</v>
      </c>
      <c r="W154" s="83">
        <f t="shared" si="80"/>
        <v>7403.0929912139718</v>
      </c>
      <c r="X154" s="83">
        <f t="shared" si="80"/>
        <v>7543.5249013872572</v>
      </c>
      <c r="Y154" s="83">
        <f t="shared" si="80"/>
        <v>7686.5802816995565</v>
      </c>
      <c r="Z154" s="83">
        <f t="shared" si="80"/>
        <v>7832.3070832679969</v>
      </c>
      <c r="AA154" s="83">
        <f t="shared" si="80"/>
        <v>7980.7541054793519</v>
      </c>
      <c r="AB154" s="83">
        <f t="shared" si="80"/>
        <v>8131.9710102304416</v>
      </c>
      <c r="AC154" s="83"/>
      <c r="AD154" s="83"/>
    </row>
    <row r="155" spans="1:30" x14ac:dyDescent="0.3">
      <c r="A155" s="12"/>
      <c r="B155" s="11" t="s">
        <v>125</v>
      </c>
      <c r="C155" s="83">
        <f>C138</f>
        <v>-38160</v>
      </c>
      <c r="D155" s="83">
        <f>D154-D95</f>
        <v>3678.0937267881627</v>
      </c>
      <c r="E155" s="83">
        <f t="shared" ref="E155:AB155" si="81">E154-E95</f>
        <v>3746.4679971080768</v>
      </c>
      <c r="F155" s="83">
        <f t="shared" si="81"/>
        <v>3816.0937424880999</v>
      </c>
      <c r="G155" s="83">
        <f t="shared" si="81"/>
        <v>4129.2935400309898</v>
      </c>
      <c r="H155" s="83">
        <f t="shared" si="81"/>
        <v>4207.5466785216431</v>
      </c>
      <c r="I155" s="83">
        <f t="shared" si="81"/>
        <v>4287.270416374362</v>
      </c>
      <c r="J155" s="83">
        <f t="shared" si="81"/>
        <v>4368.4918647073328</v>
      </c>
      <c r="K155" s="83">
        <f t="shared" si="81"/>
        <v>4451.2386205461107</v>
      </c>
      <c r="L155" s="83">
        <f t="shared" si="81"/>
        <v>4535.5387751578728</v>
      </c>
      <c r="M155" s="83">
        <f t="shared" si="81"/>
        <v>4621.4209225182585</v>
      </c>
      <c r="N155" s="83">
        <f t="shared" si="81"/>
        <v>5068.9141679125332</v>
      </c>
      <c r="O155" s="83">
        <f t="shared" si="81"/>
        <v>5158.048136673</v>
      </c>
      <c r="P155" s="83">
        <f t="shared" si="81"/>
        <v>5248.8529830544103</v>
      </c>
      <c r="Q155" s="83">
        <f t="shared" si="81"/>
        <v>5341.3593992492788</v>
      </c>
      <c r="R155" s="83">
        <f t="shared" si="81"/>
        <v>5435.598624544933</v>
      </c>
      <c r="S155" s="83">
        <f t="shared" si="81"/>
        <v>5531.6024546242315</v>
      </c>
      <c r="T155" s="83">
        <f t="shared" si="81"/>
        <v>5629.4032510117695</v>
      </c>
      <c r="U155" s="83">
        <f t="shared" si="81"/>
        <v>5729.0339506675518</v>
      </c>
      <c r="V155" s="83">
        <f t="shared" si="81"/>
        <v>5830.5280757300461</v>
      </c>
      <c r="W155" s="83">
        <f t="shared" si="81"/>
        <v>5933.919743410479</v>
      </c>
      <c r="X155" s="83">
        <f t="shared" si="81"/>
        <v>6039.2436760404435</v>
      </c>
      <c r="Y155" s="83">
        <f t="shared" si="81"/>
        <v>6146.5352112746677</v>
      </c>
      <c r="Z155" s="83">
        <f t="shared" si="81"/>
        <v>6255.8303124509976</v>
      </c>
      <c r="AA155" s="83">
        <f t="shared" si="81"/>
        <v>6367.1655791095145</v>
      </c>
      <c r="AB155" s="83">
        <f t="shared" si="81"/>
        <v>6480.578257672827</v>
      </c>
      <c r="AC155" s="83"/>
      <c r="AD155" s="83"/>
    </row>
    <row r="156" spans="1:30" x14ac:dyDescent="0.3">
      <c r="A156" s="12"/>
      <c r="B156" s="11"/>
      <c r="C156" s="83"/>
      <c r="D156" s="83"/>
      <c r="E156" s="83"/>
      <c r="F156" s="83"/>
      <c r="G156" s="83"/>
      <c r="H156" s="83"/>
      <c r="I156" s="83"/>
      <c r="J156" s="83"/>
      <c r="K156" s="83"/>
      <c r="L156" s="83"/>
      <c r="M156" s="83"/>
      <c r="N156" s="83"/>
      <c r="O156" s="83"/>
      <c r="P156" s="83"/>
      <c r="Q156" s="83"/>
      <c r="R156" s="83"/>
      <c r="S156" s="83"/>
      <c r="T156" s="83"/>
      <c r="U156" s="83"/>
      <c r="V156" s="83"/>
      <c r="W156" s="83"/>
      <c r="X156" s="83"/>
      <c r="Y156" s="83"/>
      <c r="Z156" s="83"/>
      <c r="AA156" s="83"/>
      <c r="AB156" s="83"/>
      <c r="AC156" s="83"/>
      <c r="AD156" s="83"/>
    </row>
    <row r="157" spans="1:30" x14ac:dyDescent="0.3">
      <c r="A157" s="12"/>
      <c r="B157" s="11"/>
      <c r="C157" s="83">
        <f>C154</f>
        <v>-38160</v>
      </c>
      <c r="D157" s="83">
        <f>C157+D154</f>
        <v>-33764.675030949118</v>
      </c>
      <c r="E157" s="83">
        <f>D157+E154</f>
        <v>-29278.184368138347</v>
      </c>
      <c r="F157" s="83">
        <f t="shared" ref="F157:AB158" si="82">E157+F154</f>
        <v>-24698.859378154215</v>
      </c>
      <c r="G157" s="83">
        <f t="shared" si="82"/>
        <v>-19701.934658112896</v>
      </c>
      <c r="H157" s="83">
        <f t="shared" si="82"/>
        <v>-14600.672420084038</v>
      </c>
      <c r="I157" s="83">
        <f t="shared" si="82"/>
        <v>-9393.1118649182208</v>
      </c>
      <c r="J157" s="83">
        <f t="shared" si="82"/>
        <v>-4077.2560453084434</v>
      </c>
      <c r="K157" s="83">
        <f>J157+K154</f>
        <v>1348.9287820863701</v>
      </c>
      <c r="L157" s="83">
        <f t="shared" si="82"/>
        <v>6887.513815630201</v>
      </c>
      <c r="M157" s="83">
        <f t="shared" si="82"/>
        <v>12540.608378987879</v>
      </c>
      <c r="N157" s="83">
        <f t="shared" si="82"/>
        <v>18790.360602871257</v>
      </c>
      <c r="O157" s="83">
        <f t="shared" si="82"/>
        <v>25158.958118435257</v>
      </c>
      <c r="P157" s="83">
        <f t="shared" si="82"/>
        <v>31648.628762507804</v>
      </c>
      <c r="Q157" s="83">
        <f t="shared" si="82"/>
        <v>38261.641294840178</v>
      </c>
      <c r="R157" s="83">
        <f t="shared" si="82"/>
        <v>45000.306127566757</v>
      </c>
      <c r="S157" s="83">
        <f t="shared" si="82"/>
        <v>51866.976067065734</v>
      </c>
      <c r="T157" s="83">
        <f t="shared" si="82"/>
        <v>58864.047068414759</v>
      </c>
      <c r="U157" s="83">
        <f t="shared" si="82"/>
        <v>65993.959002638163</v>
      </c>
      <c r="V157" s="83">
        <f t="shared" si="82"/>
        <v>73259.196436944883</v>
      </c>
      <c r="W157" s="83">
        <f t="shared" si="82"/>
        <v>80662.289428158852</v>
      </c>
      <c r="X157" s="83">
        <f t="shared" si="82"/>
        <v>88205.814329546105</v>
      </c>
      <c r="Y157" s="83">
        <f t="shared" si="82"/>
        <v>95892.394611245662</v>
      </c>
      <c r="Z157" s="83">
        <f t="shared" si="82"/>
        <v>103724.70169451366</v>
      </c>
      <c r="AA157" s="83">
        <f t="shared" si="82"/>
        <v>111705.45579999301</v>
      </c>
      <c r="AB157" s="83">
        <f t="shared" si="82"/>
        <v>119837.42681022345</v>
      </c>
      <c r="AC157" s="83"/>
      <c r="AD157" s="83"/>
    </row>
    <row r="158" spans="1:30" x14ac:dyDescent="0.3">
      <c r="A158" s="12"/>
      <c r="B158" s="12"/>
      <c r="C158" s="83">
        <f>C155</f>
        <v>-38160</v>
      </c>
      <c r="D158" s="83">
        <f>C158+D155</f>
        <v>-34481.90627321184</v>
      </c>
      <c r="E158" s="83">
        <f>D158+E155</f>
        <v>-30735.438276103763</v>
      </c>
      <c r="F158" s="83">
        <f>E158+F155</f>
        <v>-26919.344533615662</v>
      </c>
      <c r="G158" s="83">
        <f>F158+G155</f>
        <v>-22790.050993584671</v>
      </c>
      <c r="H158" s="83">
        <f>G158+H155</f>
        <v>-18582.50431506303</v>
      </c>
      <c r="I158" s="83">
        <f>H158+I155</f>
        <v>-14295.233898688668</v>
      </c>
      <c r="J158" s="83">
        <f>I158+J155</f>
        <v>-9926.7420339813361</v>
      </c>
      <c r="K158" s="83">
        <f>J158+K155</f>
        <v>-5475.5034134352254</v>
      </c>
      <c r="L158" s="83">
        <f t="shared" si="82"/>
        <v>-939.96463827735261</v>
      </c>
      <c r="M158" s="83">
        <f t="shared" si="82"/>
        <v>3681.4562842409059</v>
      </c>
      <c r="N158" s="83">
        <f t="shared" si="82"/>
        <v>8750.3704521534382</v>
      </c>
      <c r="O158" s="83">
        <f t="shared" si="82"/>
        <v>13908.418588826438</v>
      </c>
      <c r="P158" s="83">
        <f t="shared" si="82"/>
        <v>19157.271571880847</v>
      </c>
      <c r="Q158" s="83">
        <f t="shared" si="82"/>
        <v>24498.630971130126</v>
      </c>
      <c r="R158" s="83">
        <f t="shared" si="82"/>
        <v>29934.22959567506</v>
      </c>
      <c r="S158" s="83">
        <f t="shared" si="82"/>
        <v>35465.832050299294</v>
      </c>
      <c r="T158" s="83">
        <f t="shared" si="82"/>
        <v>41095.235301311062</v>
      </c>
      <c r="U158" s="83">
        <f t="shared" si="82"/>
        <v>46824.269251978614</v>
      </c>
      <c r="V158" s="83">
        <f t="shared" si="82"/>
        <v>52654.797327708657</v>
      </c>
      <c r="W158" s="83">
        <f t="shared" si="82"/>
        <v>58588.717071119136</v>
      </c>
      <c r="X158" s="83">
        <f t="shared" si="82"/>
        <v>64627.960747159581</v>
      </c>
      <c r="Y158" s="83">
        <f t="shared" si="82"/>
        <v>70774.495958434243</v>
      </c>
      <c r="Z158" s="83">
        <f t="shared" si="82"/>
        <v>77030.326270885242</v>
      </c>
      <c r="AA158" s="83">
        <f t="shared" si="82"/>
        <v>83397.491849994753</v>
      </c>
      <c r="AB158" s="83">
        <f t="shared" si="82"/>
        <v>89878.070107667576</v>
      </c>
      <c r="AC158" s="83"/>
      <c r="AD158" s="83"/>
    </row>
    <row r="159" spans="1:30" x14ac:dyDescent="0.3">
      <c r="A159" s="12"/>
      <c r="B159" s="12"/>
      <c r="C159" s="104">
        <v>0</v>
      </c>
      <c r="D159" s="104">
        <v>0</v>
      </c>
      <c r="E159" s="104">
        <v>0</v>
      </c>
      <c r="F159" s="104">
        <v>0</v>
      </c>
      <c r="G159" s="104">
        <v>0</v>
      </c>
      <c r="H159" s="104">
        <v>0</v>
      </c>
      <c r="I159" s="104">
        <v>0</v>
      </c>
      <c r="J159" s="104">
        <v>0</v>
      </c>
      <c r="K159" s="104">
        <v>0</v>
      </c>
      <c r="L159" s="104">
        <v>0</v>
      </c>
      <c r="M159" s="104">
        <v>0</v>
      </c>
      <c r="N159" s="104">
        <v>0</v>
      </c>
      <c r="O159" s="104">
        <v>0</v>
      </c>
      <c r="P159" s="104">
        <v>0</v>
      </c>
      <c r="Q159" s="104">
        <v>0</v>
      </c>
      <c r="R159" s="104">
        <v>0</v>
      </c>
      <c r="S159" s="104">
        <v>0</v>
      </c>
      <c r="T159" s="104">
        <v>0</v>
      </c>
      <c r="U159" s="104">
        <v>0</v>
      </c>
      <c r="V159" s="104">
        <v>0</v>
      </c>
      <c r="W159" s="104">
        <v>0</v>
      </c>
      <c r="X159" s="104">
        <v>0</v>
      </c>
      <c r="Y159" s="104">
        <v>0</v>
      </c>
      <c r="Z159" s="104">
        <v>0</v>
      </c>
      <c r="AA159" s="104">
        <v>0</v>
      </c>
      <c r="AB159" s="104">
        <v>0</v>
      </c>
      <c r="AC159" s="83"/>
      <c r="AD159" s="83"/>
    </row>
    <row r="160" spans="1:30" x14ac:dyDescent="0.3">
      <c r="B160" s="2" t="s">
        <v>126</v>
      </c>
      <c r="C160" s="2">
        <v>0</v>
      </c>
      <c r="D160" s="2">
        <v>1</v>
      </c>
      <c r="E160" s="2">
        <v>2</v>
      </c>
      <c r="F160" s="2">
        <v>3</v>
      </c>
      <c r="G160" s="2">
        <v>4</v>
      </c>
      <c r="H160" s="2">
        <v>5</v>
      </c>
      <c r="I160" s="2">
        <v>6</v>
      </c>
      <c r="J160" s="2">
        <v>7</v>
      </c>
      <c r="K160" s="2">
        <v>8</v>
      </c>
      <c r="L160" s="2">
        <v>9</v>
      </c>
      <c r="M160" s="2">
        <v>10</v>
      </c>
      <c r="N160" s="2">
        <v>11</v>
      </c>
      <c r="O160" s="2">
        <v>12</v>
      </c>
      <c r="P160" s="2">
        <v>13</v>
      </c>
      <c r="Q160" s="2">
        <v>14</v>
      </c>
      <c r="R160" s="2">
        <v>15</v>
      </c>
      <c r="S160" s="2">
        <v>16</v>
      </c>
      <c r="T160" s="2">
        <v>17</v>
      </c>
      <c r="U160" s="2">
        <v>18</v>
      </c>
      <c r="V160" s="2">
        <v>19</v>
      </c>
      <c r="W160" s="2">
        <v>20</v>
      </c>
      <c r="X160" s="2">
        <v>21</v>
      </c>
      <c r="Y160" s="2">
        <v>22</v>
      </c>
      <c r="Z160" s="2">
        <v>23</v>
      </c>
      <c r="AA160" s="2">
        <v>24</v>
      </c>
      <c r="AB160" s="2">
        <v>25</v>
      </c>
      <c r="AC160" s="2"/>
      <c r="AD160" s="2"/>
    </row>
    <row r="162" spans="1:30" x14ac:dyDescent="0.3">
      <c r="B162" s="3" t="s">
        <v>127</v>
      </c>
    </row>
    <row r="163" spans="1:30" x14ac:dyDescent="0.3">
      <c r="A163" s="14"/>
      <c r="B163" s="14" t="s">
        <v>128</v>
      </c>
      <c r="C163" s="84">
        <f>C129-C69</f>
        <v>38160</v>
      </c>
      <c r="D163" s="84">
        <f t="shared" ref="D163:AB163" si="83">(D129+C163-D69)*(D42&lt;=$C$19)</f>
        <v>36633.599999999999</v>
      </c>
      <c r="E163" s="84">
        <f t="shared" si="83"/>
        <v>35107.199999999997</v>
      </c>
      <c r="F163" s="84">
        <f t="shared" si="83"/>
        <v>33580.799999999996</v>
      </c>
      <c r="G163" s="84">
        <f t="shared" si="83"/>
        <v>32054.399999999994</v>
      </c>
      <c r="H163" s="84">
        <f t="shared" si="83"/>
        <v>30527.999999999993</v>
      </c>
      <c r="I163" s="84">
        <f t="shared" si="83"/>
        <v>29001.599999999991</v>
      </c>
      <c r="J163" s="84">
        <f t="shared" si="83"/>
        <v>27475.19999999999</v>
      </c>
      <c r="K163" s="84">
        <f t="shared" si="83"/>
        <v>25948.799999999988</v>
      </c>
      <c r="L163" s="84">
        <f t="shared" si="83"/>
        <v>24422.399999999987</v>
      </c>
      <c r="M163" s="84">
        <f t="shared" si="83"/>
        <v>22895.999999999985</v>
      </c>
      <c r="N163" s="84">
        <f t="shared" si="83"/>
        <v>21369.599999999984</v>
      </c>
      <c r="O163" s="84">
        <f t="shared" si="83"/>
        <v>19843.199999999983</v>
      </c>
      <c r="P163" s="84">
        <f t="shared" si="83"/>
        <v>18316.799999999981</v>
      </c>
      <c r="Q163" s="84">
        <f t="shared" si="83"/>
        <v>16790.39999999998</v>
      </c>
      <c r="R163" s="84">
        <f t="shared" si="83"/>
        <v>15263.99999999998</v>
      </c>
      <c r="S163" s="84">
        <f t="shared" si="83"/>
        <v>13737.59999999998</v>
      </c>
      <c r="T163" s="84">
        <f t="shared" si="83"/>
        <v>12211.199999999981</v>
      </c>
      <c r="U163" s="84">
        <f t="shared" si="83"/>
        <v>10684.799999999981</v>
      </c>
      <c r="V163" s="84">
        <f t="shared" si="83"/>
        <v>9158.3999999999814</v>
      </c>
      <c r="W163" s="84">
        <f t="shared" si="83"/>
        <v>7631.9999999999818</v>
      </c>
      <c r="X163" s="84">
        <f t="shared" si="83"/>
        <v>6105.5999999999822</v>
      </c>
      <c r="Y163" s="84">
        <f t="shared" si="83"/>
        <v>4579.1999999999825</v>
      </c>
      <c r="Z163" s="84">
        <f t="shared" si="83"/>
        <v>3052.7999999999824</v>
      </c>
      <c r="AA163" s="84">
        <f t="shared" si="83"/>
        <v>1526.3999999999824</v>
      </c>
      <c r="AB163" s="84">
        <f t="shared" si="83"/>
        <v>0</v>
      </c>
      <c r="AC163" s="84"/>
      <c r="AD163" s="84"/>
    </row>
    <row r="164" spans="1:30" x14ac:dyDescent="0.3">
      <c r="B164" t="s">
        <v>129</v>
      </c>
      <c r="C164" s="38">
        <f>C152</f>
        <v>0</v>
      </c>
      <c r="D164" s="38">
        <f t="shared" ref="D164:AB164" si="84">(C164+D152)*(D42&lt;=$C$19)</f>
        <v>45654.093726788167</v>
      </c>
      <c r="E164" s="38">
        <f t="shared" si="84"/>
        <v>88603.601723896252</v>
      </c>
      <c r="F164" s="38">
        <f t="shared" si="84"/>
        <v>128849.77546638435</v>
      </c>
      <c r="G164" s="38">
        <f t="shared" si="84"/>
        <v>166636.18900641534</v>
      </c>
      <c r="H164" s="38">
        <f t="shared" si="84"/>
        <v>201727.89568493699</v>
      </c>
      <c r="I164" s="38">
        <f t="shared" si="84"/>
        <v>234126.36610131135</v>
      </c>
      <c r="J164" s="38">
        <f t="shared" si="84"/>
        <v>263833.09796601866</v>
      </c>
      <c r="K164" s="38">
        <f t="shared" si="84"/>
        <v>290849.61658656475</v>
      </c>
      <c r="L164" s="38">
        <f t="shared" si="84"/>
        <v>315177.47536172264</v>
      </c>
      <c r="M164" s="38">
        <f t="shared" si="84"/>
        <v>336818.25628424092</v>
      </c>
      <c r="N164" s="38">
        <f t="shared" si="84"/>
        <v>356133.57045215345</v>
      </c>
      <c r="O164" s="38">
        <f t="shared" si="84"/>
        <v>372765.05858882645</v>
      </c>
      <c r="P164" s="38">
        <f t="shared" si="84"/>
        <v>386332.79157188087</v>
      </c>
      <c r="Q164" s="38">
        <f t="shared" si="84"/>
        <v>396838.47097113013</v>
      </c>
      <c r="R164" s="38">
        <f t="shared" si="84"/>
        <v>404665.42959567509</v>
      </c>
      <c r="S164" s="38">
        <f t="shared" si="84"/>
        <v>409815.43205029931</v>
      </c>
      <c r="T164" s="38">
        <f t="shared" si="84"/>
        <v>415063.23530131107</v>
      </c>
      <c r="U164" s="38">
        <f t="shared" si="84"/>
        <v>420410.66925197863</v>
      </c>
      <c r="V164" s="38">
        <f t="shared" si="84"/>
        <v>425859.59732770867</v>
      </c>
      <c r="W164" s="38">
        <f t="shared" si="84"/>
        <v>431411.91707111913</v>
      </c>
      <c r="X164" s="38">
        <f t="shared" si="84"/>
        <v>437069.56074715959</v>
      </c>
      <c r="Y164" s="38">
        <f t="shared" si="84"/>
        <v>442834.49595843424</v>
      </c>
      <c r="Z164" s="38">
        <f t="shared" si="84"/>
        <v>448708.72627088526</v>
      </c>
      <c r="AA164" s="38">
        <f t="shared" si="84"/>
        <v>454694.2918499948</v>
      </c>
      <c r="AB164" s="38">
        <f t="shared" si="84"/>
        <v>460793.2701076676</v>
      </c>
      <c r="AC164" s="38"/>
      <c r="AD164" s="38"/>
    </row>
    <row r="165" spans="1:30" x14ac:dyDescent="0.3">
      <c r="B165" t="s">
        <v>130</v>
      </c>
      <c r="C165" s="38"/>
      <c r="D165" s="38">
        <f>SUM($D$131:D134)</f>
        <v>0</v>
      </c>
      <c r="E165" s="38">
        <f>SUM($D$131:E134)</f>
        <v>0</v>
      </c>
      <c r="F165" s="38">
        <f>SUM($D$131:F134)</f>
        <v>0</v>
      </c>
      <c r="G165" s="38">
        <f>SUM($D$131:G134)</f>
        <v>0</v>
      </c>
      <c r="H165" s="38">
        <f>SUM($D$131:H134)</f>
        <v>0</v>
      </c>
      <c r="I165" s="38">
        <f>SUM($D$131:I134)</f>
        <v>0</v>
      </c>
      <c r="J165" s="38">
        <f>SUM($D$131:J134)</f>
        <v>0</v>
      </c>
      <c r="K165" s="38">
        <f>SUM($D$131:K134)</f>
        <v>0</v>
      </c>
      <c r="L165" s="38">
        <f>SUM($D$131:L134)</f>
        <v>0</v>
      </c>
      <c r="M165" s="38">
        <f>SUM($D$131:M134)</f>
        <v>0</v>
      </c>
      <c r="N165" s="38">
        <f>SUM($D$131:N134)</f>
        <v>0</v>
      </c>
      <c r="O165" s="38">
        <f>SUM($D$131:O134)</f>
        <v>0</v>
      </c>
      <c r="P165" s="38">
        <f>SUM($D$131:P134)</f>
        <v>0</v>
      </c>
      <c r="Q165" s="38">
        <f>SUM($D$131:Q134)</f>
        <v>0</v>
      </c>
      <c r="R165" s="38">
        <f>SUM($D$131:R134)</f>
        <v>0</v>
      </c>
      <c r="S165" s="38">
        <f>SUM($D$131:S134)</f>
        <v>0</v>
      </c>
      <c r="T165" s="38">
        <f>SUM($D$131:T134)</f>
        <v>0</v>
      </c>
      <c r="U165" s="38">
        <f>SUM($D$131:U134)</f>
        <v>0</v>
      </c>
      <c r="V165" s="38">
        <f>SUM($D$131:V134)</f>
        <v>0</v>
      </c>
      <c r="W165" s="38">
        <f>SUM($D$131:W134)</f>
        <v>0</v>
      </c>
      <c r="X165" s="38">
        <f>SUM($D$131:X134)</f>
        <v>0</v>
      </c>
      <c r="Y165" s="38">
        <f>SUM($D$131:Y134)</f>
        <v>0</v>
      </c>
      <c r="Z165" s="38">
        <f>SUM($D$131:Z134)</f>
        <v>0</v>
      </c>
      <c r="AA165" s="38">
        <f>SUM($D$131:AA134)</f>
        <v>0</v>
      </c>
      <c r="AB165" s="38">
        <f>SUM($D$131:AB134)</f>
        <v>0</v>
      </c>
      <c r="AC165" s="38"/>
      <c r="AD165" s="38"/>
    </row>
    <row r="166" spans="1:30" x14ac:dyDescent="0.3">
      <c r="B166" s="3" t="s">
        <v>131</v>
      </c>
      <c r="C166" s="61">
        <f>C163+C164</f>
        <v>38160</v>
      </c>
      <c r="D166" s="61">
        <f t="shared" ref="D166:AB166" si="85">D163+D164+D165</f>
        <v>82287.693726788159</v>
      </c>
      <c r="E166" s="61">
        <f t="shared" si="85"/>
        <v>123710.80172389625</v>
      </c>
      <c r="F166" s="61">
        <f t="shared" si="85"/>
        <v>162430.57546638435</v>
      </c>
      <c r="G166" s="61">
        <f t="shared" si="85"/>
        <v>198690.58900641534</v>
      </c>
      <c r="H166" s="61">
        <f t="shared" si="85"/>
        <v>232255.89568493699</v>
      </c>
      <c r="I166" s="61">
        <f t="shared" si="85"/>
        <v>263127.96610131132</v>
      </c>
      <c r="J166" s="61">
        <f t="shared" si="85"/>
        <v>291308.29796601867</v>
      </c>
      <c r="K166" s="61">
        <f t="shared" si="85"/>
        <v>316798.41658656474</v>
      </c>
      <c r="L166" s="61">
        <f t="shared" si="85"/>
        <v>339599.8753617226</v>
      </c>
      <c r="M166" s="61">
        <f t="shared" si="85"/>
        <v>359714.25628424092</v>
      </c>
      <c r="N166" s="61">
        <f t="shared" si="85"/>
        <v>377503.17045215343</v>
      </c>
      <c r="O166" s="61">
        <f t="shared" si="85"/>
        <v>392608.2585888264</v>
      </c>
      <c r="P166" s="61">
        <f t="shared" si="85"/>
        <v>404649.59157188085</v>
      </c>
      <c r="Q166" s="61">
        <f t="shared" si="85"/>
        <v>413628.87097113009</v>
      </c>
      <c r="R166" s="61">
        <f t="shared" si="85"/>
        <v>419929.42959567509</v>
      </c>
      <c r="S166" s="61">
        <f t="shared" si="85"/>
        <v>423553.03205029928</v>
      </c>
      <c r="T166" s="61">
        <f t="shared" si="85"/>
        <v>427274.43530131102</v>
      </c>
      <c r="U166" s="61">
        <f t="shared" si="85"/>
        <v>431095.46925197862</v>
      </c>
      <c r="V166" s="61">
        <f t="shared" si="85"/>
        <v>435017.99732770864</v>
      </c>
      <c r="W166" s="61">
        <f t="shared" si="85"/>
        <v>439043.91707111913</v>
      </c>
      <c r="X166" s="61">
        <f t="shared" si="85"/>
        <v>443175.16074715956</v>
      </c>
      <c r="Y166" s="61">
        <f t="shared" si="85"/>
        <v>447413.69595843425</v>
      </c>
      <c r="Z166" s="61">
        <f t="shared" si="85"/>
        <v>451761.52627088525</v>
      </c>
      <c r="AA166" s="61">
        <f t="shared" si="85"/>
        <v>456220.69184999476</v>
      </c>
      <c r="AB166" s="61">
        <f t="shared" si="85"/>
        <v>460793.2701076676</v>
      </c>
      <c r="AC166" s="61"/>
      <c r="AD166" s="61"/>
    </row>
    <row r="168" spans="1:30" x14ac:dyDescent="0.3">
      <c r="A168" s="3"/>
      <c r="B168" s="3" t="s">
        <v>132</v>
      </c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</row>
    <row r="169" spans="1:30" x14ac:dyDescent="0.3">
      <c r="B169" t="s">
        <v>133</v>
      </c>
      <c r="C169" s="38">
        <f>C142</f>
        <v>38160</v>
      </c>
      <c r="D169" s="38">
        <f t="shared" ref="D169:AB169" si="86">C142</f>
        <v>38160</v>
      </c>
      <c r="E169" s="38">
        <f t="shared" si="86"/>
        <v>35616</v>
      </c>
      <c r="F169" s="38">
        <f t="shared" si="86"/>
        <v>33072</v>
      </c>
      <c r="G169" s="38">
        <f t="shared" si="86"/>
        <v>30528</v>
      </c>
      <c r="H169" s="38">
        <f t="shared" si="86"/>
        <v>27984</v>
      </c>
      <c r="I169" s="38">
        <f t="shared" si="86"/>
        <v>25440</v>
      </c>
      <c r="J169" s="38">
        <f t="shared" si="86"/>
        <v>22896</v>
      </c>
      <c r="K169" s="38">
        <f t="shared" si="86"/>
        <v>20352</v>
      </c>
      <c r="L169" s="38">
        <f t="shared" si="86"/>
        <v>17808</v>
      </c>
      <c r="M169" s="38">
        <f t="shared" si="86"/>
        <v>15264</v>
      </c>
      <c r="N169" s="38">
        <f t="shared" si="86"/>
        <v>12720</v>
      </c>
      <c r="O169" s="38">
        <f t="shared" si="86"/>
        <v>10176</v>
      </c>
      <c r="P169" s="38">
        <f t="shared" si="86"/>
        <v>7632</v>
      </c>
      <c r="Q169" s="38">
        <f t="shared" si="86"/>
        <v>5088</v>
      </c>
      <c r="R169" s="38">
        <f t="shared" si="86"/>
        <v>2544</v>
      </c>
      <c r="S169" s="38">
        <f t="shared" si="86"/>
        <v>0</v>
      </c>
      <c r="T169" s="38">
        <f t="shared" si="86"/>
        <v>0</v>
      </c>
      <c r="U169" s="38">
        <f t="shared" si="86"/>
        <v>0</v>
      </c>
      <c r="V169" s="38">
        <f t="shared" si="86"/>
        <v>0</v>
      </c>
      <c r="W169" s="38">
        <f t="shared" si="86"/>
        <v>0</v>
      </c>
      <c r="X169" s="38">
        <f t="shared" si="86"/>
        <v>0</v>
      </c>
      <c r="Y169" s="38">
        <f t="shared" si="86"/>
        <v>0</v>
      </c>
      <c r="Z169" s="38">
        <f t="shared" si="86"/>
        <v>0</v>
      </c>
      <c r="AA169" s="38">
        <f t="shared" si="86"/>
        <v>0</v>
      </c>
      <c r="AB169" s="38">
        <f t="shared" si="86"/>
        <v>0</v>
      </c>
      <c r="AC169" s="38"/>
      <c r="AD169" s="38"/>
    </row>
    <row r="170" spans="1:30" x14ac:dyDescent="0.3">
      <c r="B170" s="3" t="s">
        <v>134</v>
      </c>
      <c r="C170" s="38">
        <f>C169+C168</f>
        <v>38160</v>
      </c>
      <c r="D170" s="38">
        <f t="shared" ref="D170:AB170" si="87">D169+D168</f>
        <v>38160</v>
      </c>
      <c r="E170" s="38">
        <f t="shared" si="87"/>
        <v>35616</v>
      </c>
      <c r="F170" s="38">
        <f t="shared" si="87"/>
        <v>33072</v>
      </c>
      <c r="G170" s="38">
        <f t="shared" si="87"/>
        <v>30528</v>
      </c>
      <c r="H170" s="38">
        <f t="shared" si="87"/>
        <v>27984</v>
      </c>
      <c r="I170" s="38">
        <f t="shared" si="87"/>
        <v>25440</v>
      </c>
      <c r="J170" s="38">
        <f t="shared" si="87"/>
        <v>22896</v>
      </c>
      <c r="K170" s="38">
        <f t="shared" si="87"/>
        <v>20352</v>
      </c>
      <c r="L170" s="38">
        <f t="shared" si="87"/>
        <v>17808</v>
      </c>
      <c r="M170" s="38">
        <f t="shared" si="87"/>
        <v>15264</v>
      </c>
      <c r="N170" s="38">
        <f t="shared" si="87"/>
        <v>12720</v>
      </c>
      <c r="O170" s="38">
        <f t="shared" si="87"/>
        <v>10176</v>
      </c>
      <c r="P170" s="38">
        <f t="shared" si="87"/>
        <v>7632</v>
      </c>
      <c r="Q170" s="38">
        <f t="shared" si="87"/>
        <v>5088</v>
      </c>
      <c r="R170" s="38">
        <f t="shared" si="87"/>
        <v>2544</v>
      </c>
      <c r="S170" s="38">
        <f t="shared" si="87"/>
        <v>0</v>
      </c>
      <c r="T170" s="38">
        <f t="shared" si="87"/>
        <v>0</v>
      </c>
      <c r="U170" s="38">
        <f t="shared" si="87"/>
        <v>0</v>
      </c>
      <c r="V170" s="38">
        <f t="shared" si="87"/>
        <v>0</v>
      </c>
      <c r="W170" s="38">
        <f t="shared" si="87"/>
        <v>0</v>
      </c>
      <c r="X170" s="38">
        <f t="shared" si="87"/>
        <v>0</v>
      </c>
      <c r="Y170" s="38">
        <f t="shared" si="87"/>
        <v>0</v>
      </c>
      <c r="Z170" s="38">
        <f t="shared" si="87"/>
        <v>0</v>
      </c>
      <c r="AA170" s="38">
        <f t="shared" si="87"/>
        <v>0</v>
      </c>
      <c r="AB170" s="38">
        <f t="shared" si="87"/>
        <v>0</v>
      </c>
      <c r="AC170" s="38"/>
      <c r="AD170" s="38"/>
    </row>
    <row r="172" spans="1:30" x14ac:dyDescent="0.3">
      <c r="B172" s="3" t="s">
        <v>135</v>
      </c>
    </row>
    <row r="173" spans="1:30" x14ac:dyDescent="0.3">
      <c r="B173" t="s">
        <v>136</v>
      </c>
      <c r="C173" s="38">
        <f>C141*(C42&lt;=$C$19)</f>
        <v>0</v>
      </c>
      <c r="D173" s="38">
        <f t="shared" ref="D173:AB173" si="88">(C173*(D42&lt;=$C$19))+D141+D151</f>
        <v>0</v>
      </c>
      <c r="E173" s="38">
        <f t="shared" si="88"/>
        <v>0</v>
      </c>
      <c r="F173" s="38">
        <f t="shared" si="88"/>
        <v>0</v>
      </c>
      <c r="G173" s="38">
        <f t="shared" si="88"/>
        <v>0</v>
      </c>
      <c r="H173" s="38">
        <f t="shared" si="88"/>
        <v>0</v>
      </c>
      <c r="I173" s="38">
        <f t="shared" si="88"/>
        <v>0</v>
      </c>
      <c r="J173" s="38">
        <f t="shared" si="88"/>
        <v>0</v>
      </c>
      <c r="K173" s="38">
        <f t="shared" si="88"/>
        <v>0</v>
      </c>
      <c r="L173" s="38">
        <f t="shared" si="88"/>
        <v>0</v>
      </c>
      <c r="M173" s="38">
        <f t="shared" si="88"/>
        <v>0</v>
      </c>
      <c r="N173" s="38">
        <f t="shared" si="88"/>
        <v>0</v>
      </c>
      <c r="O173" s="38">
        <f t="shared" si="88"/>
        <v>0</v>
      </c>
      <c r="P173" s="38">
        <f t="shared" si="88"/>
        <v>0</v>
      </c>
      <c r="Q173" s="38">
        <f t="shared" si="88"/>
        <v>0</v>
      </c>
      <c r="R173" s="38">
        <f t="shared" si="88"/>
        <v>0</v>
      </c>
      <c r="S173" s="38">
        <f t="shared" si="88"/>
        <v>0</v>
      </c>
      <c r="T173" s="38">
        <f t="shared" si="88"/>
        <v>0</v>
      </c>
      <c r="U173" s="38">
        <f t="shared" si="88"/>
        <v>0</v>
      </c>
      <c r="V173" s="38">
        <f t="shared" si="88"/>
        <v>0</v>
      </c>
      <c r="W173" s="38">
        <f t="shared" si="88"/>
        <v>0</v>
      </c>
      <c r="X173" s="38">
        <f t="shared" si="88"/>
        <v>0</v>
      </c>
      <c r="Y173" s="38">
        <f t="shared" si="88"/>
        <v>0</v>
      </c>
      <c r="Z173" s="38">
        <f t="shared" si="88"/>
        <v>0</v>
      </c>
      <c r="AA173" s="38">
        <f t="shared" si="88"/>
        <v>0</v>
      </c>
      <c r="AB173" s="38">
        <f t="shared" si="88"/>
        <v>0</v>
      </c>
      <c r="AC173" s="38"/>
      <c r="AD173" s="38"/>
    </row>
    <row r="174" spans="1:30" x14ac:dyDescent="0.3">
      <c r="B174" t="s">
        <v>97</v>
      </c>
      <c r="D174" s="38">
        <f t="shared" ref="D174:AB174" si="89">(D115+C174)*(D42&lt;=$C$19)</f>
        <v>2533.2937267881625</v>
      </c>
      <c r="E174" s="38">
        <f t="shared" si="89"/>
        <v>5134.9617238962392</v>
      </c>
      <c r="F174" s="38">
        <f t="shared" si="89"/>
        <v>7806.2554663843384</v>
      </c>
      <c r="G174" s="38">
        <f t="shared" si="89"/>
        <v>10790.749006415328</v>
      </c>
      <c r="H174" s="38">
        <f t="shared" si="89"/>
        <v>13853.49568493697</v>
      </c>
      <c r="I174" s="38">
        <f t="shared" si="89"/>
        <v>16995.966101311333</v>
      </c>
      <c r="J174" s="38">
        <f t="shared" si="89"/>
        <v>20219.657966018665</v>
      </c>
      <c r="K174" s="38">
        <f t="shared" si="89"/>
        <v>23526.096586564774</v>
      </c>
      <c r="L174" s="38">
        <f t="shared" si="89"/>
        <v>26916.835361722646</v>
      </c>
      <c r="M174" s="38">
        <f t="shared" si="89"/>
        <v>30393.456284240903</v>
      </c>
      <c r="N174" s="38">
        <f t="shared" si="89"/>
        <v>34317.570452153435</v>
      </c>
      <c r="O174" s="38">
        <f t="shared" si="89"/>
        <v>38330.818588826434</v>
      </c>
      <c r="P174" s="38">
        <f t="shared" si="89"/>
        <v>42053.271571880847</v>
      </c>
      <c r="Q174" s="38">
        <f t="shared" si="89"/>
        <v>45486.630971130122</v>
      </c>
      <c r="R174" s="38">
        <f t="shared" si="89"/>
        <v>49014.229595675053</v>
      </c>
      <c r="S174" s="38">
        <f t="shared" si="89"/>
        <v>52637.832050299286</v>
      </c>
      <c r="T174" s="38">
        <f t="shared" si="89"/>
        <v>56359.235301311055</v>
      </c>
      <c r="U174" s="38">
        <f t="shared" si="89"/>
        <v>60180.269251978607</v>
      </c>
      <c r="V174" s="38">
        <f t="shared" si="89"/>
        <v>64102.797327708657</v>
      </c>
      <c r="W174" s="38">
        <f t="shared" si="89"/>
        <v>68128.717071119128</v>
      </c>
      <c r="X174" s="38">
        <f t="shared" si="89"/>
        <v>72259.960747159566</v>
      </c>
      <c r="Y174" s="38">
        <f t="shared" si="89"/>
        <v>76498.495958434229</v>
      </c>
      <c r="Z174" s="38">
        <f t="shared" si="89"/>
        <v>80846.326270885227</v>
      </c>
      <c r="AA174" s="38">
        <f t="shared" si="89"/>
        <v>85305.491849994738</v>
      </c>
      <c r="AB174" s="38">
        <f t="shared" si="89"/>
        <v>89878.07010766759</v>
      </c>
      <c r="AC174" s="38"/>
      <c r="AD174" s="38"/>
    </row>
    <row r="175" spans="1:30" x14ac:dyDescent="0.3">
      <c r="A175" s="3"/>
      <c r="B175" s="3" t="s">
        <v>137</v>
      </c>
      <c r="C175" s="61">
        <f>C173+C174</f>
        <v>0</v>
      </c>
      <c r="D175" s="61">
        <f t="shared" ref="D175:AB175" si="90">D173+D174</f>
        <v>2533.2937267881625</v>
      </c>
      <c r="E175" s="61">
        <f t="shared" si="90"/>
        <v>5134.9617238962392</v>
      </c>
      <c r="F175" s="61">
        <f t="shared" si="90"/>
        <v>7806.2554663843384</v>
      </c>
      <c r="G175" s="61">
        <f t="shared" si="90"/>
        <v>10790.749006415328</v>
      </c>
      <c r="H175" s="61">
        <f t="shared" si="90"/>
        <v>13853.49568493697</v>
      </c>
      <c r="I175" s="61">
        <f t="shared" si="90"/>
        <v>16995.966101311333</v>
      </c>
      <c r="J175" s="61">
        <f t="shared" si="90"/>
        <v>20219.657966018665</v>
      </c>
      <c r="K175" s="61">
        <f t="shared" si="90"/>
        <v>23526.096586564774</v>
      </c>
      <c r="L175" s="61">
        <f t="shared" si="90"/>
        <v>26916.835361722646</v>
      </c>
      <c r="M175" s="61">
        <f t="shared" si="90"/>
        <v>30393.456284240903</v>
      </c>
      <c r="N175" s="61">
        <f t="shared" si="90"/>
        <v>34317.570452153435</v>
      </c>
      <c r="O175" s="61">
        <f t="shared" si="90"/>
        <v>38330.818588826434</v>
      </c>
      <c r="P175" s="61">
        <f t="shared" si="90"/>
        <v>42053.271571880847</v>
      </c>
      <c r="Q175" s="61">
        <f t="shared" si="90"/>
        <v>45486.630971130122</v>
      </c>
      <c r="R175" s="61">
        <f t="shared" si="90"/>
        <v>49014.229595675053</v>
      </c>
      <c r="S175" s="61">
        <f t="shared" si="90"/>
        <v>52637.832050299286</v>
      </c>
      <c r="T175" s="61">
        <f t="shared" si="90"/>
        <v>56359.235301311055</v>
      </c>
      <c r="U175" s="61">
        <f t="shared" si="90"/>
        <v>60180.269251978607</v>
      </c>
      <c r="V175" s="61">
        <f t="shared" si="90"/>
        <v>64102.797327708657</v>
      </c>
      <c r="W175" s="61">
        <f t="shared" si="90"/>
        <v>68128.717071119128</v>
      </c>
      <c r="X175" s="61">
        <f t="shared" si="90"/>
        <v>72259.960747159566</v>
      </c>
      <c r="Y175" s="61">
        <f t="shared" si="90"/>
        <v>76498.495958434229</v>
      </c>
      <c r="Z175" s="61">
        <f t="shared" si="90"/>
        <v>80846.326270885227</v>
      </c>
      <c r="AA175" s="61">
        <f t="shared" si="90"/>
        <v>85305.491849994738</v>
      </c>
      <c r="AB175" s="61">
        <f t="shared" si="90"/>
        <v>89878.07010766759</v>
      </c>
      <c r="AC175" s="61"/>
      <c r="AD175" s="61"/>
    </row>
    <row r="177" spans="1:30" x14ac:dyDescent="0.3">
      <c r="A177" s="59"/>
      <c r="B177" s="59" t="s">
        <v>138</v>
      </c>
      <c r="C177" s="60">
        <f t="shared" ref="C177:AB177" si="91">C166-C170-C175</f>
        <v>0</v>
      </c>
      <c r="D177" s="60">
        <f t="shared" si="91"/>
        <v>41594.399999999994</v>
      </c>
      <c r="E177" s="60">
        <f t="shared" si="91"/>
        <v>82959.840000000011</v>
      </c>
      <c r="F177" s="60">
        <f t="shared" si="91"/>
        <v>121552.32000000002</v>
      </c>
      <c r="G177" s="60">
        <f t="shared" si="91"/>
        <v>157371.84</v>
      </c>
      <c r="H177" s="60">
        <f t="shared" si="91"/>
        <v>190418.40000000002</v>
      </c>
      <c r="I177" s="60">
        <f t="shared" si="91"/>
        <v>220692</v>
      </c>
      <c r="J177" s="60">
        <f t="shared" si="91"/>
        <v>248192.64000000001</v>
      </c>
      <c r="K177" s="60">
        <f t="shared" si="91"/>
        <v>272920.31999999995</v>
      </c>
      <c r="L177" s="60">
        <f t="shared" si="91"/>
        <v>294875.03999999998</v>
      </c>
      <c r="M177" s="60">
        <f t="shared" si="91"/>
        <v>314056.80000000005</v>
      </c>
      <c r="N177" s="60">
        <f t="shared" si="91"/>
        <v>330465.59999999998</v>
      </c>
      <c r="O177" s="60">
        <f t="shared" si="91"/>
        <v>344101.43999999994</v>
      </c>
      <c r="P177" s="60">
        <f t="shared" si="91"/>
        <v>354964.32</v>
      </c>
      <c r="Q177" s="60">
        <f t="shared" si="91"/>
        <v>363054.24</v>
      </c>
      <c r="R177" s="60">
        <f t="shared" si="91"/>
        <v>368371.20000000001</v>
      </c>
      <c r="S177" s="60">
        <f t="shared" si="91"/>
        <v>370915.2</v>
      </c>
      <c r="T177" s="60">
        <f t="shared" si="91"/>
        <v>370915.19999999995</v>
      </c>
      <c r="U177" s="60">
        <f t="shared" si="91"/>
        <v>370915.2</v>
      </c>
      <c r="V177" s="60">
        <f t="shared" si="91"/>
        <v>370915.19999999995</v>
      </c>
      <c r="W177" s="60">
        <f t="shared" si="91"/>
        <v>370915.2</v>
      </c>
      <c r="X177" s="60">
        <f t="shared" si="91"/>
        <v>370915.2</v>
      </c>
      <c r="Y177" s="60">
        <f t="shared" si="91"/>
        <v>370915.2</v>
      </c>
      <c r="Z177" s="60">
        <f t="shared" si="91"/>
        <v>370915.2</v>
      </c>
      <c r="AA177" s="60">
        <f t="shared" si="91"/>
        <v>370915.2</v>
      </c>
      <c r="AB177" s="60">
        <f t="shared" si="91"/>
        <v>370915.2</v>
      </c>
      <c r="AC177" s="60"/>
      <c r="AD177" s="60"/>
    </row>
    <row r="178" spans="1:30" x14ac:dyDescent="0.3">
      <c r="D178" s="38"/>
      <c r="E178" s="38"/>
      <c r="F178" s="38"/>
      <c r="G178" s="38"/>
      <c r="H178" s="38"/>
      <c r="I178" s="38"/>
      <c r="J178" s="38"/>
      <c r="K178" s="38"/>
      <c r="L178" s="38"/>
      <c r="M178" s="38"/>
      <c r="N178" s="38"/>
      <c r="O178" s="38"/>
      <c r="P178" s="38"/>
      <c r="Q178" s="38"/>
      <c r="R178" s="38"/>
      <c r="S178" s="38"/>
      <c r="T178" s="38"/>
      <c r="U178" s="38"/>
      <c r="V178" s="38"/>
      <c r="W178" s="38"/>
      <c r="X178" s="38"/>
      <c r="Y178" s="38"/>
      <c r="Z178" s="38"/>
      <c r="AA178" s="38"/>
      <c r="AB178" s="38"/>
      <c r="AC178" s="38"/>
      <c r="AD178" s="38"/>
    </row>
  </sheetData>
  <mergeCells count="3">
    <mergeCell ref="B2:C2"/>
    <mergeCell ref="D2:E2"/>
    <mergeCell ref="A17:A19"/>
  </mergeCells>
  <conditionalFormatting sqref="M26:U40">
    <cfRule type="cellIs" dxfId="0" priority="1" operator="greaterThanOrEqual">
      <formula>$N$12</formula>
    </cfRule>
  </conditionalFormatting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0721E9-28F6-4434-92CB-897315BE3068}">
  <sheetPr codeName="Sheet6"/>
  <dimension ref="A1:AD26"/>
  <sheetViews>
    <sheetView workbookViewId="0">
      <selection activeCell="E3" sqref="E3:AD3"/>
    </sheetView>
  </sheetViews>
  <sheetFormatPr defaultRowHeight="14.4" x14ac:dyDescent="0.3"/>
  <cols>
    <col min="1" max="1" width="13.109375" customWidth="1"/>
    <col min="4" max="4" width="35.21875" customWidth="1"/>
    <col min="5" max="5" width="11.33203125" bestFit="1" customWidth="1"/>
    <col min="6" max="6" width="13.5546875" customWidth="1"/>
    <col min="7" max="14" width="11.21875" bestFit="1" customWidth="1"/>
    <col min="15" max="30" width="9.88671875" bestFit="1" customWidth="1"/>
    <col min="31" max="84" width="9" bestFit="1" customWidth="1"/>
  </cols>
  <sheetData>
    <row r="1" spans="1:30" x14ac:dyDescent="0.3">
      <c r="D1" s="40" t="s">
        <v>55</v>
      </c>
      <c r="E1" s="2">
        <v>0</v>
      </c>
      <c r="F1" s="2">
        <v>1</v>
      </c>
      <c r="G1" s="2">
        <v>2</v>
      </c>
      <c r="H1" s="2">
        <v>3</v>
      </c>
      <c r="I1" s="2">
        <v>4</v>
      </c>
      <c r="J1" s="2">
        <v>5</v>
      </c>
      <c r="K1" s="2">
        <v>6</v>
      </c>
      <c r="L1" s="2">
        <v>7</v>
      </c>
      <c r="M1" s="2">
        <v>8</v>
      </c>
      <c r="N1" s="2">
        <v>9</v>
      </c>
      <c r="O1" s="2">
        <v>10</v>
      </c>
      <c r="P1" s="2">
        <v>11</v>
      </c>
      <c r="Q1" s="2">
        <v>12</v>
      </c>
      <c r="R1" s="2">
        <v>13</v>
      </c>
      <c r="S1" s="2">
        <v>14</v>
      </c>
      <c r="T1" s="2">
        <v>15</v>
      </c>
      <c r="U1" s="2">
        <v>16</v>
      </c>
      <c r="V1" s="2">
        <v>17</v>
      </c>
      <c r="W1" s="2">
        <v>18</v>
      </c>
      <c r="X1" s="2">
        <v>19</v>
      </c>
      <c r="Y1" s="2">
        <v>20</v>
      </c>
      <c r="Z1" s="2">
        <v>21</v>
      </c>
      <c r="AA1" s="2">
        <v>22</v>
      </c>
      <c r="AB1" s="2">
        <v>23</v>
      </c>
      <c r="AC1" s="2">
        <v>24</v>
      </c>
      <c r="AD1" s="2">
        <v>25</v>
      </c>
    </row>
    <row r="2" spans="1:30" ht="15" thickBot="1" x14ac:dyDescent="0.35"/>
    <row r="3" spans="1:30" x14ac:dyDescent="0.3">
      <c r="A3" s="170" t="s">
        <v>133</v>
      </c>
      <c r="B3" s="171"/>
      <c r="C3" s="172"/>
      <c r="D3" s="172" t="str">
        <f>'Calculation Debt'!B156</f>
        <v>Project Cash Flow (post tax)</v>
      </c>
      <c r="E3" s="173">
        <f>'Calculation Debt'!C156</f>
        <v>-38160</v>
      </c>
      <c r="F3" s="173">
        <f>'Calculation Debt'!D156</f>
        <v>-1583.075030949115</v>
      </c>
      <c r="G3" s="173">
        <f>'Calculation Debt'!E156</f>
        <v>-1262.9493371892313</v>
      </c>
      <c r="H3" s="173">
        <f>'Calculation Debt'!F156</f>
        <v>-941.15501001586654</v>
      </c>
      <c r="I3" s="173">
        <f>'Calculation Debt'!G156</f>
        <v>-294.59527995868211</v>
      </c>
      <c r="J3" s="173">
        <f>'Calculation Debt'!H156</f>
        <v>38.702238028858119</v>
      </c>
      <c r="K3" s="173">
        <f>'Calculation Debt'!I156</f>
        <v>373.960555165816</v>
      </c>
      <c r="L3" s="173">
        <f>'Calculation Debt'!J156</f>
        <v>711.21581960977801</v>
      </c>
      <c r="M3" s="173">
        <f>'Calculation Debt'!K156</f>
        <v>1050.5048273948123</v>
      </c>
      <c r="N3" s="173">
        <f>'Calculation Debt'!L156</f>
        <v>1391.8650335438315</v>
      </c>
      <c r="O3" s="173">
        <f>'Calculation Debt'!M156</f>
        <v>1735.3345633576773</v>
      </c>
      <c r="P3" s="173">
        <f>'Calculation Debt'!N156</f>
        <v>2560.952223883377</v>
      </c>
      <c r="Q3" s="173">
        <f>'Calculation Debt'!O156</f>
        <v>2908.7575155640006</v>
      </c>
      <c r="R3" s="173">
        <f>'Calculation Debt'!P156</f>
        <v>3258.7906440725465</v>
      </c>
      <c r="S3" s="173">
        <f>'Calculation Debt'!Q156</f>
        <v>3611.09253233237</v>
      </c>
      <c r="T3" s="173">
        <f>'Calculation Debt'!R156</f>
        <v>3965.7048327265779</v>
      </c>
      <c r="U3" s="173">
        <f>'Calculation Debt'!S156</f>
        <v>6866.6699394989755</v>
      </c>
      <c r="V3" s="173">
        <f>'Calculation Debt'!T156</f>
        <v>5637.0592342453383</v>
      </c>
      <c r="W3" s="173">
        <f>'Calculation Debt'!U156</f>
        <v>5729.0339506675527</v>
      </c>
      <c r="X3" s="173">
        <f>'Calculation Debt'!V156</f>
        <v>5830.5280757300461</v>
      </c>
      <c r="Y3" s="173">
        <f>'Calculation Debt'!W156</f>
        <v>5933.919743410479</v>
      </c>
      <c r="Z3" s="173">
        <f>'Calculation Debt'!X156</f>
        <v>6039.2436760404435</v>
      </c>
      <c r="AA3" s="173">
        <f>'Calculation Debt'!Y156</f>
        <v>6146.5352112746677</v>
      </c>
      <c r="AB3" s="173">
        <f>'Calculation Debt'!Z156</f>
        <v>6255.8303124509976</v>
      </c>
      <c r="AC3" s="173">
        <f>'Calculation Debt'!AA156</f>
        <v>6367.1655791095145</v>
      </c>
      <c r="AD3" s="174">
        <f>'Calculation Debt'!AB156</f>
        <v>6480.578257672827</v>
      </c>
    </row>
    <row r="4" spans="1:30" x14ac:dyDescent="0.3">
      <c r="A4" s="175"/>
      <c r="B4" s="176"/>
      <c r="C4" s="176"/>
      <c r="D4" s="176" t="str">
        <f>'Calculation Debt'!B143</f>
        <v>Add Debt Raised</v>
      </c>
      <c r="E4" s="177">
        <f>'Calculation Debt'!C143</f>
        <v>38160</v>
      </c>
      <c r="F4" s="177">
        <f>'Calculation Debt'!D143</f>
        <v>35616</v>
      </c>
      <c r="G4" s="177">
        <f>'Calculation Debt'!E143</f>
        <v>33072</v>
      </c>
      <c r="H4" s="177">
        <f>'Calculation Debt'!F143</f>
        <v>30528</v>
      </c>
      <c r="I4" s="177">
        <f>'Calculation Debt'!G143</f>
        <v>27984</v>
      </c>
      <c r="J4" s="177">
        <f>'Calculation Debt'!H143</f>
        <v>25440</v>
      </c>
      <c r="K4" s="177">
        <f>'Calculation Debt'!I143</f>
        <v>22896</v>
      </c>
      <c r="L4" s="177">
        <f>'Calculation Debt'!J143</f>
        <v>20352</v>
      </c>
      <c r="M4" s="177">
        <f>'Calculation Debt'!K143</f>
        <v>17808</v>
      </c>
      <c r="N4" s="177">
        <f>'Calculation Debt'!L143</f>
        <v>15264</v>
      </c>
      <c r="O4" s="177">
        <f>'Calculation Debt'!M143</f>
        <v>12720</v>
      </c>
      <c r="P4" s="177">
        <f>'Calculation Debt'!N143</f>
        <v>10176</v>
      </c>
      <c r="Q4" s="177">
        <f>'Calculation Debt'!O143</f>
        <v>7632</v>
      </c>
      <c r="R4" s="177">
        <f>'Calculation Debt'!P143</f>
        <v>5088</v>
      </c>
      <c r="S4" s="177">
        <f>'Calculation Debt'!Q143</f>
        <v>2544</v>
      </c>
      <c r="T4" s="177">
        <f>'Calculation Debt'!R143</f>
        <v>0</v>
      </c>
      <c r="U4" s="177">
        <f>'Calculation Debt'!S143</f>
        <v>0</v>
      </c>
      <c r="V4" s="177">
        <f>'Calculation Debt'!T143</f>
        <v>0</v>
      </c>
      <c r="W4" s="177">
        <f>'Calculation Debt'!U143</f>
        <v>0</v>
      </c>
      <c r="X4" s="177">
        <f>'Calculation Debt'!V143</f>
        <v>0</v>
      </c>
      <c r="Y4" s="177">
        <f>'Calculation Debt'!W143</f>
        <v>0</v>
      </c>
      <c r="Z4" s="177">
        <f>'Calculation Debt'!X143</f>
        <v>0</v>
      </c>
      <c r="AA4" s="177">
        <f>'Calculation Debt'!Y143</f>
        <v>0</v>
      </c>
      <c r="AB4" s="177">
        <f>'Calculation Debt'!Z143</f>
        <v>0</v>
      </c>
      <c r="AC4" s="177">
        <f>'Calculation Debt'!AA143</f>
        <v>0</v>
      </c>
      <c r="AD4" s="178">
        <f>'Calculation Debt'!AB143</f>
        <v>0</v>
      </c>
    </row>
    <row r="5" spans="1:30" x14ac:dyDescent="0.3">
      <c r="A5" s="175"/>
      <c r="B5" s="176"/>
      <c r="C5" s="176"/>
      <c r="D5" s="176" t="str">
        <f>'Calculation Debt'!B144</f>
        <v>interest</v>
      </c>
      <c r="E5" s="177"/>
      <c r="F5" s="177">
        <f>'Calculation Debt'!D144</f>
        <v>3434.4</v>
      </c>
      <c r="G5" s="177">
        <f>'Calculation Debt'!E144</f>
        <v>3205.44</v>
      </c>
      <c r="H5" s="177">
        <f>'Calculation Debt'!F144</f>
        <v>2976.48</v>
      </c>
      <c r="I5" s="177">
        <f>'Calculation Debt'!G144</f>
        <v>2747.52</v>
      </c>
      <c r="J5" s="177">
        <f>'Calculation Debt'!H144</f>
        <v>2518.56</v>
      </c>
      <c r="K5" s="177">
        <f>'Calculation Debt'!I144</f>
        <v>2289.6</v>
      </c>
      <c r="L5" s="177">
        <f>'Calculation Debt'!J144</f>
        <v>2060.64</v>
      </c>
      <c r="M5" s="177">
        <f>'Calculation Debt'!K144</f>
        <v>1831.6799999999998</v>
      </c>
      <c r="N5" s="177">
        <f>'Calculation Debt'!L144</f>
        <v>1602.72</v>
      </c>
      <c r="O5" s="177">
        <f>'Calculation Debt'!M144</f>
        <v>1373.76</v>
      </c>
      <c r="P5" s="177">
        <f>'Calculation Debt'!N144</f>
        <v>1144.8</v>
      </c>
      <c r="Q5" s="177">
        <f>'Calculation Debt'!O144</f>
        <v>915.83999999999992</v>
      </c>
      <c r="R5" s="177">
        <f>'Calculation Debt'!P144</f>
        <v>686.88</v>
      </c>
      <c r="S5" s="177">
        <f>'Calculation Debt'!Q144</f>
        <v>457.91999999999996</v>
      </c>
      <c r="T5" s="177">
        <f>'Calculation Debt'!R144</f>
        <v>228.95999999999998</v>
      </c>
      <c r="U5" s="177">
        <f>'Calculation Debt'!S144</f>
        <v>0</v>
      </c>
      <c r="V5" s="177">
        <f>'Calculation Debt'!T144</f>
        <v>0</v>
      </c>
      <c r="W5" s="177">
        <f>'Calculation Debt'!U144</f>
        <v>0</v>
      </c>
      <c r="X5" s="177">
        <f>'Calculation Debt'!V144</f>
        <v>0</v>
      </c>
      <c r="Y5" s="177">
        <f>'Calculation Debt'!W144</f>
        <v>0</v>
      </c>
      <c r="Z5" s="177">
        <f>'Calculation Debt'!X144</f>
        <v>0</v>
      </c>
      <c r="AA5" s="177">
        <f>'Calculation Debt'!Y144</f>
        <v>0</v>
      </c>
      <c r="AB5" s="177">
        <f>'Calculation Debt'!Z144</f>
        <v>0</v>
      </c>
      <c r="AC5" s="177">
        <f>'Calculation Debt'!AA144</f>
        <v>0</v>
      </c>
      <c r="AD5" s="178">
        <f>'Calculation Debt'!AB144</f>
        <v>0</v>
      </c>
    </row>
    <row r="6" spans="1:30" x14ac:dyDescent="0.3">
      <c r="A6" s="175"/>
      <c r="B6" s="176"/>
      <c r="C6" s="176"/>
      <c r="D6" s="176" t="str">
        <f>'Calculation Debt'!B145</f>
        <v>Dept repayment</v>
      </c>
      <c r="E6" s="177"/>
      <c r="F6" s="177">
        <f>'Calculation Debt'!D145</f>
        <v>2544</v>
      </c>
      <c r="G6" s="177">
        <f>'Calculation Debt'!E145</f>
        <v>2544</v>
      </c>
      <c r="H6" s="177">
        <f>'Calculation Debt'!F145</f>
        <v>2544</v>
      </c>
      <c r="I6" s="177">
        <f>'Calculation Debt'!G145</f>
        <v>2544</v>
      </c>
      <c r="J6" s="177">
        <f>'Calculation Debt'!H145</f>
        <v>2544</v>
      </c>
      <c r="K6" s="177">
        <f>'Calculation Debt'!I145</f>
        <v>2544</v>
      </c>
      <c r="L6" s="177">
        <f>'Calculation Debt'!J145</f>
        <v>2544</v>
      </c>
      <c r="M6" s="177">
        <f>'Calculation Debt'!K145</f>
        <v>2544</v>
      </c>
      <c r="N6" s="177">
        <f>'Calculation Debt'!L145</f>
        <v>2544</v>
      </c>
      <c r="O6" s="177">
        <f>'Calculation Debt'!M145</f>
        <v>2544</v>
      </c>
      <c r="P6" s="177">
        <f>'Calculation Debt'!N145</f>
        <v>2544</v>
      </c>
      <c r="Q6" s="177">
        <f>'Calculation Debt'!O145</f>
        <v>2544</v>
      </c>
      <c r="R6" s="177">
        <f>'Calculation Debt'!P145</f>
        <v>2544</v>
      </c>
      <c r="S6" s="177">
        <f>'Calculation Debt'!Q145</f>
        <v>2544</v>
      </c>
      <c r="T6" s="177">
        <f>'Calculation Debt'!R145</f>
        <v>2544</v>
      </c>
      <c r="U6" s="177">
        <f>'Calculation Debt'!S145</f>
        <v>0</v>
      </c>
      <c r="V6" s="177">
        <f>'Calculation Debt'!T145</f>
        <v>0</v>
      </c>
      <c r="W6" s="177">
        <f>'Calculation Debt'!U145</f>
        <v>0</v>
      </c>
      <c r="X6" s="177">
        <f>'Calculation Debt'!V145</f>
        <v>0</v>
      </c>
      <c r="Y6" s="177">
        <f>'Calculation Debt'!W145</f>
        <v>0</v>
      </c>
      <c r="Z6" s="177">
        <f>'Calculation Debt'!X145</f>
        <v>0</v>
      </c>
      <c r="AA6" s="177">
        <f>'Calculation Debt'!Y145</f>
        <v>0</v>
      </c>
      <c r="AB6" s="177">
        <f>'Calculation Debt'!Z145</f>
        <v>0</v>
      </c>
      <c r="AC6" s="177">
        <f>'Calculation Debt'!AA145</f>
        <v>0</v>
      </c>
      <c r="AD6" s="178">
        <f>'Calculation Debt'!AB145</f>
        <v>0</v>
      </c>
    </row>
    <row r="7" spans="1:30" x14ac:dyDescent="0.3">
      <c r="A7" s="175"/>
      <c r="B7" s="176"/>
      <c r="C7" s="176"/>
      <c r="D7" s="176"/>
      <c r="E7" s="176"/>
      <c r="F7" s="176"/>
      <c r="G7" s="176"/>
      <c r="H7" s="176"/>
      <c r="I7" s="176"/>
      <c r="J7" s="176"/>
      <c r="K7" s="176"/>
      <c r="L7" s="176"/>
      <c r="M7" s="176"/>
      <c r="N7" s="176"/>
      <c r="O7" s="176"/>
      <c r="P7" s="176"/>
      <c r="Q7" s="176"/>
      <c r="R7" s="176"/>
      <c r="S7" s="176"/>
      <c r="T7" s="176"/>
      <c r="U7" s="176"/>
      <c r="V7" s="176"/>
      <c r="W7" s="176"/>
      <c r="X7" s="176"/>
      <c r="Y7" s="176"/>
      <c r="Z7" s="176"/>
      <c r="AA7" s="176"/>
      <c r="AB7" s="176"/>
      <c r="AC7" s="176"/>
      <c r="AD7" s="179"/>
    </row>
    <row r="8" spans="1:30" x14ac:dyDescent="0.3">
      <c r="A8" s="175"/>
      <c r="B8" s="176"/>
      <c r="C8" s="176"/>
      <c r="D8" s="176"/>
      <c r="E8" s="176"/>
      <c r="F8" s="176"/>
      <c r="G8" s="176"/>
      <c r="H8" s="176"/>
      <c r="I8" s="176"/>
      <c r="J8" s="176"/>
      <c r="K8" s="176"/>
      <c r="L8" s="176"/>
      <c r="M8" s="176"/>
      <c r="N8" s="176"/>
      <c r="O8" s="176"/>
      <c r="P8" s="176"/>
      <c r="Q8" s="176"/>
      <c r="R8" s="176"/>
      <c r="S8" s="176"/>
      <c r="T8" s="176"/>
      <c r="U8" s="176"/>
      <c r="V8" s="176"/>
      <c r="W8" s="176"/>
      <c r="X8" s="176"/>
      <c r="Y8" s="176"/>
      <c r="Z8" s="176"/>
      <c r="AA8" s="176"/>
      <c r="AB8" s="176"/>
      <c r="AC8" s="176"/>
      <c r="AD8" s="179"/>
    </row>
    <row r="9" spans="1:30" x14ac:dyDescent="0.3">
      <c r="A9" s="175"/>
      <c r="B9" s="176"/>
      <c r="C9" s="176"/>
      <c r="D9" s="176" t="s">
        <v>198</v>
      </c>
      <c r="E9" s="176"/>
      <c r="F9" s="177">
        <f>SUM(F5:F6)</f>
        <v>5978.4</v>
      </c>
      <c r="G9" s="177">
        <f t="shared" ref="G9:AD9" si="0">SUM(G5:G6)</f>
        <v>5749.4400000000005</v>
      </c>
      <c r="H9" s="177">
        <f t="shared" si="0"/>
        <v>5520.48</v>
      </c>
      <c r="I9" s="177">
        <f t="shared" si="0"/>
        <v>5291.52</v>
      </c>
      <c r="J9" s="177">
        <f t="shared" si="0"/>
        <v>5062.5599999999995</v>
      </c>
      <c r="K9" s="177">
        <f t="shared" si="0"/>
        <v>4833.6000000000004</v>
      </c>
      <c r="L9" s="177">
        <f t="shared" si="0"/>
        <v>4604.6399999999994</v>
      </c>
      <c r="M9" s="177">
        <f t="shared" si="0"/>
        <v>4375.68</v>
      </c>
      <c r="N9" s="177">
        <f t="shared" si="0"/>
        <v>4146.72</v>
      </c>
      <c r="O9" s="177">
        <f t="shared" si="0"/>
        <v>3917.76</v>
      </c>
      <c r="P9" s="177">
        <f t="shared" si="0"/>
        <v>3688.8</v>
      </c>
      <c r="Q9" s="177">
        <f t="shared" si="0"/>
        <v>3459.84</v>
      </c>
      <c r="R9" s="177">
        <f t="shared" si="0"/>
        <v>3230.88</v>
      </c>
      <c r="S9" s="177">
        <f t="shared" si="0"/>
        <v>3001.92</v>
      </c>
      <c r="T9" s="177">
        <f t="shared" si="0"/>
        <v>2772.96</v>
      </c>
      <c r="U9" s="177">
        <f t="shared" si="0"/>
        <v>0</v>
      </c>
      <c r="V9" s="177">
        <f t="shared" si="0"/>
        <v>0</v>
      </c>
      <c r="W9" s="177">
        <f t="shared" si="0"/>
        <v>0</v>
      </c>
      <c r="X9" s="177">
        <f t="shared" si="0"/>
        <v>0</v>
      </c>
      <c r="Y9" s="177">
        <f t="shared" si="0"/>
        <v>0</v>
      </c>
      <c r="Z9" s="177">
        <f t="shared" si="0"/>
        <v>0</v>
      </c>
      <c r="AA9" s="177">
        <f t="shared" si="0"/>
        <v>0</v>
      </c>
      <c r="AB9" s="177">
        <f t="shared" si="0"/>
        <v>0</v>
      </c>
      <c r="AC9" s="177">
        <f t="shared" si="0"/>
        <v>0</v>
      </c>
      <c r="AD9" s="178">
        <f t="shared" si="0"/>
        <v>0</v>
      </c>
    </row>
    <row r="10" spans="1:30" x14ac:dyDescent="0.3">
      <c r="A10" s="175"/>
      <c r="B10" s="176"/>
      <c r="C10" s="176"/>
      <c r="D10" s="176"/>
      <c r="E10" s="176"/>
      <c r="F10" s="176"/>
      <c r="G10" s="176"/>
      <c r="H10" s="176"/>
      <c r="I10" s="176"/>
      <c r="J10" s="176"/>
      <c r="K10" s="176"/>
      <c r="L10" s="176"/>
      <c r="M10" s="176"/>
      <c r="N10" s="176"/>
      <c r="O10" s="176"/>
      <c r="P10" s="176"/>
      <c r="Q10" s="176"/>
      <c r="R10" s="176"/>
      <c r="S10" s="176"/>
      <c r="T10" s="176"/>
      <c r="U10" s="176"/>
      <c r="V10" s="176"/>
      <c r="W10" s="176"/>
      <c r="X10" s="176"/>
      <c r="Y10" s="176"/>
      <c r="Z10" s="176"/>
      <c r="AA10" s="176"/>
      <c r="AB10" s="176"/>
      <c r="AC10" s="176"/>
      <c r="AD10" s="179"/>
    </row>
    <row r="11" spans="1:30" x14ac:dyDescent="0.3">
      <c r="A11" s="175"/>
      <c r="B11" s="176"/>
      <c r="C11" s="176"/>
      <c r="D11" s="176"/>
      <c r="E11" s="176"/>
      <c r="F11" s="177"/>
      <c r="G11" s="177"/>
      <c r="H11" s="177"/>
      <c r="I11" s="177"/>
      <c r="J11" s="177"/>
      <c r="K11" s="177"/>
      <c r="L11" s="177"/>
      <c r="M11" s="177"/>
      <c r="N11" s="177"/>
      <c r="O11" s="177"/>
      <c r="P11" s="177"/>
      <c r="Q11" s="177"/>
      <c r="R11" s="177"/>
      <c r="S11" s="177"/>
      <c r="T11" s="177"/>
      <c r="U11" s="177"/>
      <c r="V11" s="177"/>
      <c r="W11" s="177"/>
      <c r="X11" s="177"/>
      <c r="Y11" s="177"/>
      <c r="Z11" s="177"/>
      <c r="AA11" s="177"/>
      <c r="AB11" s="177"/>
      <c r="AC11" s="177"/>
      <c r="AD11" s="178"/>
    </row>
    <row r="12" spans="1:30" x14ac:dyDescent="0.3">
      <c r="A12" s="175"/>
      <c r="B12" s="176"/>
      <c r="C12" s="176"/>
      <c r="D12" s="176"/>
      <c r="E12" s="176"/>
      <c r="F12" s="176"/>
      <c r="G12" s="176"/>
      <c r="H12" s="176"/>
      <c r="I12" s="176"/>
      <c r="J12" s="176"/>
      <c r="K12" s="176"/>
      <c r="L12" s="176"/>
      <c r="M12" s="176"/>
      <c r="N12" s="176"/>
      <c r="O12" s="176"/>
      <c r="P12" s="176"/>
      <c r="Q12" s="176"/>
      <c r="R12" s="176"/>
      <c r="S12" s="176"/>
      <c r="T12" s="176"/>
      <c r="U12" s="176"/>
      <c r="V12" s="176"/>
      <c r="W12" s="176"/>
      <c r="X12" s="176"/>
      <c r="Y12" s="176"/>
      <c r="Z12" s="176"/>
      <c r="AA12" s="176"/>
      <c r="AB12" s="176"/>
      <c r="AC12" s="176"/>
      <c r="AD12" s="179"/>
    </row>
    <row r="13" spans="1:30" ht="15" thickBot="1" x14ac:dyDescent="0.35">
      <c r="A13" s="180"/>
      <c r="B13" s="181"/>
      <c r="C13" s="181"/>
      <c r="D13" s="181" t="str">
        <f>'Calculation Debt'!B67</f>
        <v xml:space="preserve">EBITDA </v>
      </c>
      <c r="E13" s="181"/>
      <c r="F13" s="182">
        <f>'Calculation Debt'!D67</f>
        <v>-1583.075030949115</v>
      </c>
      <c r="G13" s="182">
        <f>'Calculation Debt'!E67</f>
        <v>-1262.9493371892313</v>
      </c>
      <c r="H13" s="182">
        <f>'Calculation Debt'!F67</f>
        <v>-941.15501001586654</v>
      </c>
      <c r="I13" s="182">
        <f>'Calculation Debt'!G67</f>
        <v>-294.59527995868211</v>
      </c>
      <c r="J13" s="182">
        <f>'Calculation Debt'!H67</f>
        <v>38.702238028858119</v>
      </c>
      <c r="K13" s="182">
        <f>'Calculation Debt'!I67</f>
        <v>373.960555165816</v>
      </c>
      <c r="L13" s="182">
        <f>'Calculation Debt'!J67</f>
        <v>711.21581960977801</v>
      </c>
      <c r="M13" s="182">
        <f>'Calculation Debt'!K67</f>
        <v>1050.5048273948123</v>
      </c>
      <c r="N13" s="182">
        <f>'Calculation Debt'!L67</f>
        <v>1391.8650335438315</v>
      </c>
      <c r="O13" s="182">
        <f>'Calculation Debt'!M67</f>
        <v>1735.3345633576773</v>
      </c>
      <c r="P13" s="182">
        <f>'Calculation Debt'!N67</f>
        <v>2560.952223883377</v>
      </c>
      <c r="Q13" s="182">
        <f>'Calculation Debt'!O67</f>
        <v>2908.7575155640006</v>
      </c>
      <c r="R13" s="182">
        <f>'Calculation Debt'!P67</f>
        <v>3258.7906440725465</v>
      </c>
      <c r="S13" s="182">
        <f>'Calculation Debt'!Q67</f>
        <v>3611.09253233237</v>
      </c>
      <c r="T13" s="182">
        <f>'Calculation Debt'!R67</f>
        <v>3965.7048327265779</v>
      </c>
      <c r="U13" s="182">
        <f>'Calculation Debt'!S67</f>
        <v>6866.6699394989755</v>
      </c>
      <c r="V13" s="182">
        <f>'Calculation Debt'!T67</f>
        <v>6997.0710013490261</v>
      </c>
      <c r="W13" s="182">
        <f>'Calculation Debt'!U67</f>
        <v>7129.9119342234035</v>
      </c>
      <c r="X13" s="182">
        <f>'Calculation Debt'!V67</f>
        <v>7265.2374343067277</v>
      </c>
      <c r="Y13" s="182">
        <f>'Calculation Debt'!W67</f>
        <v>7403.0929912139718</v>
      </c>
      <c r="Z13" s="182">
        <f>'Calculation Debt'!X67</f>
        <v>7543.5249013872563</v>
      </c>
      <c r="AA13" s="182">
        <f>'Calculation Debt'!Y67</f>
        <v>7686.5802816995574</v>
      </c>
      <c r="AB13" s="182">
        <f>'Calculation Debt'!Z67</f>
        <v>7832.3070832679969</v>
      </c>
      <c r="AC13" s="182">
        <f>'Calculation Debt'!AA67</f>
        <v>7980.754105479351</v>
      </c>
      <c r="AD13" s="183">
        <f>'Calculation Debt'!AB67</f>
        <v>8131.9710102304416</v>
      </c>
    </row>
    <row r="15" spans="1:30" ht="15" thickBot="1" x14ac:dyDescent="0.35"/>
    <row r="16" spans="1:30" ht="15" thickBot="1" x14ac:dyDescent="0.35">
      <c r="A16" s="165" t="s">
        <v>180</v>
      </c>
      <c r="B16" s="166">
        <f>IRR(E16:AD16)</f>
        <v>0.11002745393177582</v>
      </c>
      <c r="C16" s="167"/>
      <c r="D16" s="167" t="str">
        <f>'Without Debt'!B155</f>
        <v>Project Cash Flow (post tax)</v>
      </c>
      <c r="E16" s="168">
        <f>'Without Debt'!C155</f>
        <v>-38160</v>
      </c>
      <c r="F16" s="168">
        <f>'Without Debt'!D155</f>
        <v>3678.0937267881627</v>
      </c>
      <c r="G16" s="168">
        <f>'Without Debt'!E155</f>
        <v>3746.4679971080768</v>
      </c>
      <c r="H16" s="168">
        <f>'Without Debt'!F155</f>
        <v>3816.0937424880999</v>
      </c>
      <c r="I16" s="168">
        <f>'Without Debt'!G155</f>
        <v>4129.2935400309898</v>
      </c>
      <c r="J16" s="168">
        <f>'Without Debt'!H155</f>
        <v>4207.5466785216431</v>
      </c>
      <c r="K16" s="168">
        <f>'Without Debt'!I155</f>
        <v>4287.270416374362</v>
      </c>
      <c r="L16" s="168">
        <f>'Without Debt'!J155</f>
        <v>4368.4918647073328</v>
      </c>
      <c r="M16" s="168">
        <f>'Without Debt'!K155</f>
        <v>4451.2386205461107</v>
      </c>
      <c r="N16" s="168">
        <f>'Without Debt'!L155</f>
        <v>4535.5387751578728</v>
      </c>
      <c r="O16" s="168">
        <f>'Without Debt'!M155</f>
        <v>4621.4209225182585</v>
      </c>
      <c r="P16" s="168">
        <f>'Without Debt'!N155</f>
        <v>5068.9141679125332</v>
      </c>
      <c r="Q16" s="168">
        <f>'Without Debt'!O155</f>
        <v>5158.048136673</v>
      </c>
      <c r="R16" s="168">
        <f>'Without Debt'!P155</f>
        <v>5248.8529830544103</v>
      </c>
      <c r="S16" s="168">
        <f>'Without Debt'!Q155</f>
        <v>5341.3593992492788</v>
      </c>
      <c r="T16" s="168">
        <f>'Without Debt'!R155</f>
        <v>5435.598624544933</v>
      </c>
      <c r="U16" s="168">
        <f>'Without Debt'!S155</f>
        <v>5531.6024546242315</v>
      </c>
      <c r="V16" s="168">
        <f>'Without Debt'!T155</f>
        <v>5629.4032510117695</v>
      </c>
      <c r="W16" s="168">
        <f>'Without Debt'!U155</f>
        <v>5729.0339506675518</v>
      </c>
      <c r="X16" s="168">
        <f>'Without Debt'!V155</f>
        <v>5830.5280757300461</v>
      </c>
      <c r="Y16" s="168">
        <f>'Without Debt'!W155</f>
        <v>5933.919743410479</v>
      </c>
      <c r="Z16" s="168">
        <f>'Without Debt'!X155</f>
        <v>6039.2436760404435</v>
      </c>
      <c r="AA16" s="168">
        <f>'Without Debt'!Y155</f>
        <v>6146.5352112746677</v>
      </c>
      <c r="AB16" s="168">
        <f>'Without Debt'!Z155</f>
        <v>6255.8303124509976</v>
      </c>
      <c r="AC16" s="168">
        <f>'Without Debt'!AA155</f>
        <v>6367.1655791095145</v>
      </c>
      <c r="AD16" s="169">
        <f>'Without Debt'!AB155</f>
        <v>6480.578257672827</v>
      </c>
    </row>
    <row r="18" spans="4:6" ht="15" thickBot="1" x14ac:dyDescent="0.35">
      <c r="D18" s="4" t="s">
        <v>42</v>
      </c>
    </row>
    <row r="19" spans="4:6" x14ac:dyDescent="0.3">
      <c r="D19" s="126" t="s">
        <v>133</v>
      </c>
      <c r="E19" s="127">
        <v>1</v>
      </c>
      <c r="F19" s="128" t="s">
        <v>190</v>
      </c>
    </row>
    <row r="20" spans="4:6" x14ac:dyDescent="0.3">
      <c r="D20" s="129" t="s">
        <v>182</v>
      </c>
      <c r="E20" s="125">
        <v>15</v>
      </c>
      <c r="F20" s="130"/>
    </row>
    <row r="21" spans="4:6" ht="15" thickBot="1" x14ac:dyDescent="0.35">
      <c r="D21" s="131" t="s">
        <v>185</v>
      </c>
      <c r="E21" s="132">
        <v>0.09</v>
      </c>
      <c r="F21" s="133"/>
    </row>
    <row r="22" spans="4:6" x14ac:dyDescent="0.3">
      <c r="D22" s="15" t="s">
        <v>180</v>
      </c>
      <c r="E22" s="119">
        <f>1-E19</f>
        <v>0</v>
      </c>
      <c r="F22" s="123">
        <f>'Calculation Debt'!C142</f>
        <v>0</v>
      </c>
    </row>
    <row r="23" spans="4:6" x14ac:dyDescent="0.3">
      <c r="D23" s="15" t="s">
        <v>186</v>
      </c>
      <c r="E23" s="122">
        <f>IF(E22=0,0,'Calculation Debt'!N6)</f>
        <v>0</v>
      </c>
    </row>
    <row r="24" spans="4:6" x14ac:dyDescent="0.3">
      <c r="D24" s="15" t="s">
        <v>187</v>
      </c>
      <c r="E24" s="122">
        <f>IF(E22=0,0,'Calculation Debt'!N7)</f>
        <v>0</v>
      </c>
    </row>
    <row r="25" spans="4:6" x14ac:dyDescent="0.3">
      <c r="D25" s="89"/>
      <c r="E25" s="89"/>
    </row>
    <row r="26" spans="4:6" x14ac:dyDescent="0.3">
      <c r="D26" s="15" t="s">
        <v>184</v>
      </c>
      <c r="E26" s="122">
        <f>E19/E20</f>
        <v>6.6666666666666666E-2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2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Intro</vt:lpstr>
      <vt:lpstr>Summary</vt:lpstr>
      <vt:lpstr>Auto Calculate</vt:lpstr>
      <vt:lpstr>Sheet1</vt:lpstr>
      <vt:lpstr>Calculation Debt</vt:lpstr>
      <vt:lpstr>Without Debt</vt:lpstr>
      <vt:lpstr>Finance</vt:lpstr>
    </vt:vector>
  </TitlesOfParts>
  <Company>Saber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PPA model</dc:title>
  <dc:subject>Debt Funding</dc:subject>
  <dc:creator>Martin Kenzie</dc:creator>
  <cp:lastModifiedBy>Martin Kenzie</cp:lastModifiedBy>
  <cp:lastPrinted>2024-03-18T16:55:54Z</cp:lastPrinted>
  <dcterms:created xsi:type="dcterms:W3CDTF">2024-03-18T11:16:33Z</dcterms:created>
  <dcterms:modified xsi:type="dcterms:W3CDTF">2025-06-13T12:59:51Z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a60d57e-af5b-4752-ac57-3e4f28ca11dc_Enabled">
    <vt:lpwstr>true</vt:lpwstr>
  </property>
  <property fmtid="{D5CDD505-2E9C-101B-9397-08002B2CF9AE}" pid="3" name="MSIP_Label_ea60d57e-af5b-4752-ac57-3e4f28ca11dc_SetDate">
    <vt:lpwstr>2024-03-18T11:16:34Z</vt:lpwstr>
  </property>
  <property fmtid="{D5CDD505-2E9C-101B-9397-08002B2CF9AE}" pid="4" name="MSIP_Label_ea60d57e-af5b-4752-ac57-3e4f28ca11dc_Method">
    <vt:lpwstr>Standard</vt:lpwstr>
  </property>
  <property fmtid="{D5CDD505-2E9C-101B-9397-08002B2CF9AE}" pid="5" name="MSIP_Label_ea60d57e-af5b-4752-ac57-3e4f28ca11dc_Name">
    <vt:lpwstr>ea60d57e-af5b-4752-ac57-3e4f28ca11dc</vt:lpwstr>
  </property>
  <property fmtid="{D5CDD505-2E9C-101B-9397-08002B2CF9AE}" pid="6" name="MSIP_Label_ea60d57e-af5b-4752-ac57-3e4f28ca11dc_SiteId">
    <vt:lpwstr>36da45f1-dd2c-4d1f-af13-5abe46b99921</vt:lpwstr>
  </property>
  <property fmtid="{D5CDD505-2E9C-101B-9397-08002B2CF9AE}" pid="7" name="MSIP_Label_ea60d57e-af5b-4752-ac57-3e4f28ca11dc_ActionId">
    <vt:lpwstr>7e873962-d956-44d0-a47e-dc016a2b0d49</vt:lpwstr>
  </property>
  <property fmtid="{D5CDD505-2E9C-101B-9397-08002B2CF9AE}" pid="8" name="MSIP_Label_ea60d57e-af5b-4752-ac57-3e4f28ca11dc_ContentBits">
    <vt:lpwstr>0</vt:lpwstr>
  </property>
</Properties>
</file>