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Desktop\Saber Renewables\data\"/>
    </mc:Choice>
  </mc:AlternateContent>
  <xr:revisionPtr revIDLastSave="0" documentId="8_{CF882A4F-36BE-472A-B5FD-DE24DAC9776A}" xr6:coauthVersionLast="47" xr6:coauthVersionMax="47" xr10:uidLastSave="{00000000-0000-0000-0000-000000000000}"/>
  <workbookProtection workbookAlgorithmName="SHA-512" workbookHashValue="atp1GAZAZTPj7+YzW42L7q4AP5+imR/dZWYKy2e/UNkGpmfhYLc67+oIzObPF8yQza1FQIT9ph5f+pn3ve5qYQ==" workbookSaltValue="fkPJD8ge8O9Vnaqzlr88EQ==" workbookSpinCount="100000" lockStructure="1"/>
  <bookViews>
    <workbookView xWindow="5724" yWindow="1248" windowWidth="28188" windowHeight="17760" firstSheet="2" activeTab="2" xr2:uid="{00000000-000D-0000-FFFF-FFFF00000000}"/>
  </bookViews>
  <sheets>
    <sheet name="Intro" sheetId="1" state="hidden" r:id="rId1"/>
    <sheet name="Summary" sheetId="2" state="hidden" r:id="rId2"/>
    <sheet name="Auto Calculate" sheetId="3" r:id="rId3"/>
    <sheet name="Sheet1" sheetId="4" state="hidden" r:id="rId4"/>
    <sheet name="Calculation Debt" sheetId="5" state="hidden" r:id="rId5"/>
    <sheet name="Without Debt" sheetId="6" state="hidden" r:id="rId6"/>
    <sheet name="Finance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7" l="1"/>
  <c r="E22" i="7"/>
  <c r="E24" i="7" s="1"/>
  <c r="D16" i="7"/>
  <c r="D13" i="7"/>
  <c r="D6" i="7"/>
  <c r="D5" i="7"/>
  <c r="D4" i="7"/>
  <c r="D3" i="7"/>
  <c r="C150" i="6"/>
  <c r="A148" i="6"/>
  <c r="AB134" i="6"/>
  <c r="AB128" i="6" s="1"/>
  <c r="AA134" i="6"/>
  <c r="AA128" i="6" s="1"/>
  <c r="Z134" i="6"/>
  <c r="Z128" i="6" s="1"/>
  <c r="Y134" i="6"/>
  <c r="Y128" i="6" s="1"/>
  <c r="X134" i="6"/>
  <c r="W134" i="6"/>
  <c r="V134" i="6"/>
  <c r="U134" i="6"/>
  <c r="T134" i="6"/>
  <c r="S134" i="6"/>
  <c r="R134" i="6"/>
  <c r="R128" i="6" s="1"/>
  <c r="Q134" i="6"/>
  <c r="Q128" i="6" s="1"/>
  <c r="P134" i="6"/>
  <c r="P128" i="6" s="1"/>
  <c r="O134" i="6"/>
  <c r="N134" i="6"/>
  <c r="M134" i="6"/>
  <c r="L134" i="6"/>
  <c r="K134" i="6"/>
  <c r="K128" i="6" s="1"/>
  <c r="J134" i="6"/>
  <c r="J128" i="6" s="1"/>
  <c r="I134" i="6"/>
  <c r="H134" i="6"/>
  <c r="H128" i="6" s="1"/>
  <c r="G134" i="6"/>
  <c r="G128" i="6" s="1"/>
  <c r="F134" i="6"/>
  <c r="E134" i="6"/>
  <c r="E128" i="6" s="1"/>
  <c r="D134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AB132" i="6"/>
  <c r="AB127" i="6" s="1"/>
  <c r="AA132" i="6"/>
  <c r="AA127" i="6" s="1"/>
  <c r="Z132" i="6"/>
  <c r="Z127" i="6" s="1"/>
  <c r="Y132" i="6"/>
  <c r="X132" i="6"/>
  <c r="W132" i="6"/>
  <c r="V132" i="6"/>
  <c r="U132" i="6"/>
  <c r="U127" i="6" s="1"/>
  <c r="T132" i="6"/>
  <c r="S132" i="6"/>
  <c r="R132" i="6"/>
  <c r="R127" i="6" s="1"/>
  <c r="Q132" i="6"/>
  <c r="Q127" i="6" s="1"/>
  <c r="P132" i="6"/>
  <c r="N132" i="6"/>
  <c r="M132" i="6"/>
  <c r="L132" i="6"/>
  <c r="K132" i="6"/>
  <c r="K127" i="6" s="1"/>
  <c r="J132" i="6"/>
  <c r="J127" i="6" s="1"/>
  <c r="I132" i="6"/>
  <c r="H132" i="6"/>
  <c r="H127" i="6" s="1"/>
  <c r="G132" i="6"/>
  <c r="G127" i="6" s="1"/>
  <c r="F132" i="6"/>
  <c r="F127" i="6" s="1"/>
  <c r="E132" i="6"/>
  <c r="E75" i="6" s="1"/>
  <c r="D132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X128" i="6"/>
  <c r="W128" i="6"/>
  <c r="V128" i="6"/>
  <c r="U128" i="6"/>
  <c r="T128" i="6"/>
  <c r="S128" i="6"/>
  <c r="O128" i="6"/>
  <c r="N128" i="6"/>
  <c r="M128" i="6"/>
  <c r="L128" i="6"/>
  <c r="I128" i="6"/>
  <c r="D128" i="6"/>
  <c r="Y127" i="6"/>
  <c r="X127" i="6"/>
  <c r="W127" i="6"/>
  <c r="V127" i="6"/>
  <c r="T127" i="6"/>
  <c r="S127" i="6"/>
  <c r="N127" i="6"/>
  <c r="M127" i="6"/>
  <c r="L127" i="6"/>
  <c r="I127" i="6"/>
  <c r="D127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D91" i="6" s="1"/>
  <c r="D87" i="6"/>
  <c r="D80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E79" i="6" s="1"/>
  <c r="D78" i="6"/>
  <c r="D79" i="6" s="1"/>
  <c r="D77" i="6" s="1"/>
  <c r="D75" i="6"/>
  <c r="D73" i="6"/>
  <c r="D76" i="6" s="1"/>
  <c r="D57" i="6"/>
  <c r="L47" i="6"/>
  <c r="K47" i="6"/>
  <c r="H32" i="6"/>
  <c r="I31" i="6"/>
  <c r="H31" i="6"/>
  <c r="I30" i="6"/>
  <c r="H30" i="6"/>
  <c r="I29" i="6"/>
  <c r="H29" i="6"/>
  <c r="H28" i="6"/>
  <c r="H22" i="6"/>
  <c r="H21" i="6"/>
  <c r="I20" i="6"/>
  <c r="H20" i="6"/>
  <c r="C20" i="6"/>
  <c r="D19" i="6"/>
  <c r="C19" i="6"/>
  <c r="T47" i="6" s="1"/>
  <c r="C18" i="6"/>
  <c r="C17" i="6"/>
  <c r="H16" i="6"/>
  <c r="C16" i="6"/>
  <c r="I14" i="6"/>
  <c r="J14" i="6" s="1"/>
  <c r="C14" i="6"/>
  <c r="C13" i="6"/>
  <c r="C12" i="6"/>
  <c r="C11" i="6"/>
  <c r="C10" i="6"/>
  <c r="D9" i="6"/>
  <c r="I7" i="6"/>
  <c r="D6" i="6"/>
  <c r="C6" i="6"/>
  <c r="D2" i="6"/>
  <c r="C151" i="5"/>
  <c r="A149" i="5"/>
  <c r="AB135" i="5"/>
  <c r="AA135" i="5"/>
  <c r="Z135" i="5"/>
  <c r="Y135" i="5"/>
  <c r="Y129" i="5" s="1"/>
  <c r="X135" i="5"/>
  <c r="W135" i="5"/>
  <c r="V135" i="5"/>
  <c r="V129" i="5" s="1"/>
  <c r="U135" i="5"/>
  <c r="U129" i="5" s="1"/>
  <c r="T135" i="5"/>
  <c r="T129" i="5" s="1"/>
  <c r="S135" i="5"/>
  <c r="R135" i="5"/>
  <c r="Q135" i="5"/>
  <c r="P135" i="5"/>
  <c r="O135" i="5"/>
  <c r="N135" i="5"/>
  <c r="M135" i="5"/>
  <c r="L135" i="5"/>
  <c r="L129" i="5" s="1"/>
  <c r="K135" i="5"/>
  <c r="K129" i="5" s="1"/>
  <c r="J135" i="5"/>
  <c r="J129" i="5" s="1"/>
  <c r="I135" i="5"/>
  <c r="I129" i="5" s="1"/>
  <c r="H135" i="5"/>
  <c r="G135" i="5"/>
  <c r="F135" i="5"/>
  <c r="E135" i="5"/>
  <c r="D135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AB133" i="5"/>
  <c r="AB128" i="5" s="1"/>
  <c r="AA133" i="5"/>
  <c r="Z133" i="5"/>
  <c r="Y133" i="5"/>
  <c r="Y128" i="5" s="1"/>
  <c r="X133" i="5"/>
  <c r="W133" i="5"/>
  <c r="W128" i="5" s="1"/>
  <c r="V133" i="5"/>
  <c r="U133" i="5"/>
  <c r="T133" i="5"/>
  <c r="T128" i="5" s="1"/>
  <c r="S133" i="5"/>
  <c r="R133" i="5"/>
  <c r="R128" i="5" s="1"/>
  <c r="Q133" i="5"/>
  <c r="P133" i="5"/>
  <c r="N133" i="5"/>
  <c r="M133" i="5"/>
  <c r="L133" i="5"/>
  <c r="L128" i="5" s="1"/>
  <c r="K133" i="5"/>
  <c r="J133" i="5"/>
  <c r="I133" i="5"/>
  <c r="H133" i="5"/>
  <c r="H128" i="5" s="1"/>
  <c r="G133" i="5"/>
  <c r="F133" i="5"/>
  <c r="E133" i="5"/>
  <c r="D133" i="5"/>
  <c r="D128" i="5" s="1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AB129" i="5"/>
  <c r="AA129" i="5"/>
  <c r="Z129" i="5"/>
  <c r="S129" i="5"/>
  <c r="R129" i="5"/>
  <c r="Q129" i="5"/>
  <c r="P129" i="5"/>
  <c r="O129" i="5"/>
  <c r="H129" i="5"/>
  <c r="G129" i="5"/>
  <c r="F129" i="5"/>
  <c r="E129" i="5"/>
  <c r="AA128" i="5"/>
  <c r="Z128" i="5"/>
  <c r="V128" i="5"/>
  <c r="U128" i="5"/>
  <c r="S128" i="5"/>
  <c r="Q128" i="5"/>
  <c r="P128" i="5"/>
  <c r="K128" i="5"/>
  <c r="J128" i="5"/>
  <c r="I128" i="5"/>
  <c r="G128" i="5"/>
  <c r="F128" i="5"/>
  <c r="E128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D93" i="5"/>
  <c r="E92" i="5" s="1"/>
  <c r="E90" i="5" s="1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D92" i="5" s="1"/>
  <c r="D90" i="5" s="1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D80" i="5" s="1"/>
  <c r="D76" i="5"/>
  <c r="D74" i="5" s="1"/>
  <c r="AH67" i="5"/>
  <c r="G61" i="5"/>
  <c r="Z58" i="5"/>
  <c r="D57" i="5"/>
  <c r="O56" i="5"/>
  <c r="AA55" i="5"/>
  <c r="Z55" i="5"/>
  <c r="N55" i="5"/>
  <c r="H55" i="5"/>
  <c r="G55" i="5"/>
  <c r="F55" i="5"/>
  <c r="AB47" i="5"/>
  <c r="S47" i="5"/>
  <c r="R47" i="5"/>
  <c r="Q47" i="5"/>
  <c r="M47" i="5"/>
  <c r="T45" i="5"/>
  <c r="S45" i="5"/>
  <c r="G45" i="5"/>
  <c r="D44" i="5"/>
  <c r="I28" i="5"/>
  <c r="I28" i="6" s="1"/>
  <c r="H24" i="5"/>
  <c r="H24" i="6" s="1"/>
  <c r="H23" i="5"/>
  <c r="H23" i="6" s="1"/>
  <c r="H22" i="5"/>
  <c r="D19" i="5"/>
  <c r="C19" i="5"/>
  <c r="D65" i="5" s="1"/>
  <c r="J17" i="5"/>
  <c r="H16" i="5"/>
  <c r="I14" i="5"/>
  <c r="J14" i="5" s="1"/>
  <c r="D9" i="5"/>
  <c r="C9" i="5"/>
  <c r="I7" i="5"/>
  <c r="C7" i="5"/>
  <c r="R61" i="5" s="1"/>
  <c r="D6" i="5"/>
  <c r="C6" i="5"/>
  <c r="D2" i="5"/>
  <c r="F10" i="3"/>
  <c r="F8" i="3"/>
  <c r="F19" i="2"/>
  <c r="D18" i="2"/>
  <c r="C15" i="6" s="1"/>
  <c r="Q17" i="2"/>
  <c r="O12" i="2"/>
  <c r="D11" i="2"/>
  <c r="I6" i="6" s="1"/>
  <c r="H8" i="6" s="1"/>
  <c r="D10" i="2"/>
  <c r="D9" i="2"/>
  <c r="I13" i="6" s="1"/>
  <c r="J13" i="6" s="1"/>
  <c r="S47" i="6" l="1"/>
  <c r="L55" i="6"/>
  <c r="M55" i="6"/>
  <c r="AB47" i="6"/>
  <c r="L47" i="5"/>
  <c r="T55" i="5"/>
  <c r="C15" i="5"/>
  <c r="U48" i="5" s="1"/>
  <c r="K47" i="5"/>
  <c r="D55" i="5"/>
  <c r="D58" i="5"/>
  <c r="J47" i="6"/>
  <c r="E65" i="5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AB65" i="5" s="1"/>
  <c r="X129" i="5"/>
  <c r="P56" i="5"/>
  <c r="P61" i="5"/>
  <c r="E44" i="5"/>
  <c r="I45" i="5"/>
  <c r="V45" i="5"/>
  <c r="AB55" i="5"/>
  <c r="W56" i="5"/>
  <c r="L58" i="5"/>
  <c r="N128" i="5"/>
  <c r="D77" i="5"/>
  <c r="E76" i="5" s="1"/>
  <c r="C7" i="6"/>
  <c r="V61" i="5"/>
  <c r="L61" i="5"/>
  <c r="U61" i="5"/>
  <c r="T61" i="5"/>
  <c r="J61" i="5"/>
  <c r="Y58" i="5"/>
  <c r="O58" i="5"/>
  <c r="E58" i="5"/>
  <c r="T56" i="5"/>
  <c r="J56" i="5"/>
  <c r="AB61" i="5"/>
  <c r="O61" i="5"/>
  <c r="U58" i="5"/>
  <c r="J58" i="5"/>
  <c r="V56" i="5"/>
  <c r="K56" i="5"/>
  <c r="R58" i="5"/>
  <c r="AA61" i="5"/>
  <c r="N61" i="5"/>
  <c r="T58" i="5"/>
  <c r="I58" i="5"/>
  <c r="U56" i="5"/>
  <c r="I56" i="5"/>
  <c r="Z61" i="5"/>
  <c r="M61" i="5"/>
  <c r="E59" i="5"/>
  <c r="S58" i="5"/>
  <c r="H58" i="5"/>
  <c r="S56" i="5"/>
  <c r="H56" i="5"/>
  <c r="Y61" i="5"/>
  <c r="K61" i="5"/>
  <c r="D59" i="5"/>
  <c r="G58" i="5"/>
  <c r="R56" i="5"/>
  <c r="G56" i="5"/>
  <c r="X61" i="5"/>
  <c r="I61" i="5"/>
  <c r="AB58" i="5"/>
  <c r="W61" i="5"/>
  <c r="H61" i="5"/>
  <c r="AA58" i="5"/>
  <c r="P58" i="5"/>
  <c r="N129" i="5"/>
  <c r="D14" i="2"/>
  <c r="I2" i="5" s="1"/>
  <c r="D63" i="6"/>
  <c r="E63" i="6" s="1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D63" i="5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AB63" i="5" s="1"/>
  <c r="J45" i="5"/>
  <c r="W45" i="5"/>
  <c r="I55" i="5"/>
  <c r="D56" i="5"/>
  <c r="X56" i="5"/>
  <c r="M58" i="5"/>
  <c r="S61" i="5"/>
  <c r="Z45" i="5"/>
  <c r="P45" i="5"/>
  <c r="F45" i="5"/>
  <c r="E45" i="5"/>
  <c r="E46" i="5" s="1"/>
  <c r="Y45" i="5"/>
  <c r="O45" i="5"/>
  <c r="X45" i="5"/>
  <c r="N45" i="5"/>
  <c r="D45" i="5"/>
  <c r="K58" i="5"/>
  <c r="Q61" i="5"/>
  <c r="D88" i="5"/>
  <c r="D129" i="5"/>
  <c r="E56" i="5"/>
  <c r="Y56" i="5"/>
  <c r="N58" i="5"/>
  <c r="D62" i="5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AB62" i="5" s="1"/>
  <c r="Q56" i="5"/>
  <c r="S48" i="6"/>
  <c r="I48" i="6"/>
  <c r="AB48" i="6"/>
  <c r="R48" i="6"/>
  <c r="H48" i="6"/>
  <c r="Q48" i="6"/>
  <c r="E48" i="6"/>
  <c r="P48" i="6"/>
  <c r="D48" i="6"/>
  <c r="AA48" i="6"/>
  <c r="O48" i="6"/>
  <c r="Z48" i="6"/>
  <c r="N48" i="6"/>
  <c r="Y48" i="6"/>
  <c r="X48" i="6"/>
  <c r="F48" i="6"/>
  <c r="W48" i="6"/>
  <c r="V48" i="6"/>
  <c r="U48" i="6"/>
  <c r="T48" i="6"/>
  <c r="M48" i="6"/>
  <c r="L48" i="6"/>
  <c r="K48" i="6"/>
  <c r="J48" i="6"/>
  <c r="G48" i="6"/>
  <c r="G47" i="5"/>
  <c r="P55" i="5"/>
  <c r="F56" i="5"/>
  <c r="Z56" i="5"/>
  <c r="Q58" i="5"/>
  <c r="E93" i="5"/>
  <c r="F92" i="5" s="1"/>
  <c r="AA45" i="5"/>
  <c r="Y55" i="5"/>
  <c r="O55" i="5"/>
  <c r="E55" i="5"/>
  <c r="T47" i="5"/>
  <c r="X55" i="5"/>
  <c r="M55" i="5"/>
  <c r="AA47" i="5"/>
  <c r="P47" i="5"/>
  <c r="F47" i="5"/>
  <c r="W55" i="5"/>
  <c r="L55" i="5"/>
  <c r="Z47" i="5"/>
  <c r="O47" i="5"/>
  <c r="E47" i="5"/>
  <c r="V55" i="5"/>
  <c r="K55" i="5"/>
  <c r="Y47" i="5"/>
  <c r="N47" i="5"/>
  <c r="D47" i="5"/>
  <c r="J55" i="5"/>
  <c r="U55" i="5"/>
  <c r="D64" i="5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U47" i="5"/>
  <c r="M45" i="5"/>
  <c r="H47" i="5"/>
  <c r="V47" i="5"/>
  <c r="Q55" i="5"/>
  <c r="L56" i="5"/>
  <c r="AA56" i="5"/>
  <c r="V58" i="5"/>
  <c r="D61" i="5"/>
  <c r="F58" i="5"/>
  <c r="H45" i="5"/>
  <c r="D78" i="5"/>
  <c r="D81" i="5" s="1"/>
  <c r="E80" i="5" s="1"/>
  <c r="X128" i="5"/>
  <c r="L45" i="5"/>
  <c r="Q45" i="5"/>
  <c r="I47" i="5"/>
  <c r="W47" i="5"/>
  <c r="R55" i="5"/>
  <c r="M56" i="5"/>
  <c r="AB56" i="5"/>
  <c r="W58" i="5"/>
  <c r="E61" i="5"/>
  <c r="D60" i="6"/>
  <c r="E60" i="6" s="1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D60" i="5"/>
  <c r="E60" i="5" s="1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AB60" i="5" s="1"/>
  <c r="U45" i="5"/>
  <c r="M128" i="5"/>
  <c r="K45" i="5"/>
  <c r="AB45" i="5"/>
  <c r="I6" i="5"/>
  <c r="H8" i="5" s="1"/>
  <c r="R45" i="5"/>
  <c r="J47" i="5"/>
  <c r="X47" i="5"/>
  <c r="S55" i="5"/>
  <c r="N56" i="5"/>
  <c r="X58" i="5"/>
  <c r="F61" i="5"/>
  <c r="E57" i="5"/>
  <c r="F57" i="5" s="1"/>
  <c r="G57" i="5" s="1"/>
  <c r="H57" i="5" s="1"/>
  <c r="I57" i="5" s="1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I13" i="5"/>
  <c r="J13" i="5" s="1"/>
  <c r="D13" i="2" s="1"/>
  <c r="D44" i="6"/>
  <c r="C9" i="6"/>
  <c r="E55" i="6"/>
  <c r="D55" i="6"/>
  <c r="F55" i="6"/>
  <c r="Z55" i="6"/>
  <c r="Y55" i="6"/>
  <c r="W55" i="6"/>
  <c r="V55" i="6"/>
  <c r="J17" i="6"/>
  <c r="E57" i="6"/>
  <c r="F57" i="6" s="1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M129" i="5"/>
  <c r="W129" i="5"/>
  <c r="E76" i="6"/>
  <c r="F75" i="6" s="1"/>
  <c r="E73" i="6"/>
  <c r="P127" i="6"/>
  <c r="F128" i="6"/>
  <c r="D65" i="6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AB65" i="6" s="1"/>
  <c r="D62" i="6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A47" i="6"/>
  <c r="O47" i="6"/>
  <c r="D64" i="6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AB64" i="6" s="1"/>
  <c r="U47" i="6"/>
  <c r="V47" i="6"/>
  <c r="E77" i="6"/>
  <c r="E80" i="6"/>
  <c r="F79" i="6" s="1"/>
  <c r="G47" i="6"/>
  <c r="Y47" i="6"/>
  <c r="H47" i="6"/>
  <c r="Z47" i="6"/>
  <c r="S55" i="6"/>
  <c r="I55" i="6"/>
  <c r="AB55" i="6"/>
  <c r="R55" i="6"/>
  <c r="H55" i="6"/>
  <c r="AA55" i="6"/>
  <c r="Q55" i="6"/>
  <c r="G55" i="6"/>
  <c r="U55" i="6"/>
  <c r="T55" i="6"/>
  <c r="P55" i="6"/>
  <c r="O55" i="6"/>
  <c r="N55" i="6"/>
  <c r="X55" i="6"/>
  <c r="K55" i="6"/>
  <c r="I47" i="6"/>
  <c r="J55" i="6"/>
  <c r="P47" i="6"/>
  <c r="D86" i="6"/>
  <c r="D88" i="6" s="1"/>
  <c r="E87" i="6" s="1"/>
  <c r="D89" i="6"/>
  <c r="D92" i="6" s="1"/>
  <c r="E91" i="6" s="1"/>
  <c r="X47" i="6"/>
  <c r="N47" i="6"/>
  <c r="D47" i="6"/>
  <c r="W47" i="6"/>
  <c r="M47" i="6"/>
  <c r="E47" i="6"/>
  <c r="Q47" i="6"/>
  <c r="F47" i="6"/>
  <c r="R47" i="6"/>
  <c r="E127" i="6"/>
  <c r="E23" i="7"/>
  <c r="D48" i="5" l="1"/>
  <c r="J48" i="5"/>
  <c r="R48" i="5"/>
  <c r="N48" i="5"/>
  <c r="P48" i="5"/>
  <c r="I48" i="5"/>
  <c r="H48" i="5"/>
  <c r="M48" i="5"/>
  <c r="V48" i="5"/>
  <c r="AA48" i="5"/>
  <c r="AB48" i="5"/>
  <c r="T48" i="5"/>
  <c r="X48" i="5"/>
  <c r="L48" i="5"/>
  <c r="Z48" i="5"/>
  <c r="W48" i="5"/>
  <c r="Q48" i="5"/>
  <c r="E48" i="5"/>
  <c r="E51" i="5" s="1"/>
  <c r="O48" i="5"/>
  <c r="F48" i="5"/>
  <c r="Y48" i="5"/>
  <c r="G48" i="5"/>
  <c r="K48" i="5"/>
  <c r="S48" i="5"/>
  <c r="D46" i="5"/>
  <c r="E89" i="6"/>
  <c r="E92" i="6"/>
  <c r="F91" i="6" s="1"/>
  <c r="E78" i="5"/>
  <c r="E81" i="5"/>
  <c r="F80" i="5" s="1"/>
  <c r="E86" i="6"/>
  <c r="E88" i="6"/>
  <c r="F87" i="6" s="1"/>
  <c r="F77" i="6"/>
  <c r="F80" i="6" s="1"/>
  <c r="G79" i="6" s="1"/>
  <c r="F90" i="5"/>
  <c r="F93" i="5"/>
  <c r="G92" i="5" s="1"/>
  <c r="I2" i="6"/>
  <c r="AB26" i="2"/>
  <c r="R26" i="2"/>
  <c r="U27" i="2"/>
  <c r="F73" i="6"/>
  <c r="F76" i="6" s="1"/>
  <c r="G75" i="6" s="1"/>
  <c r="D50" i="5"/>
  <c r="X45" i="6"/>
  <c r="N45" i="6"/>
  <c r="D45" i="6"/>
  <c r="W45" i="6"/>
  <c r="M45" i="6"/>
  <c r="R45" i="6"/>
  <c r="F45" i="6"/>
  <c r="E44" i="6"/>
  <c r="Q45" i="6"/>
  <c r="E45" i="6"/>
  <c r="AB45" i="6"/>
  <c r="P45" i="6"/>
  <c r="AA45" i="6"/>
  <c r="O45" i="6"/>
  <c r="S45" i="6"/>
  <c r="L45" i="6"/>
  <c r="K45" i="6"/>
  <c r="J45" i="6"/>
  <c r="I45" i="6"/>
  <c r="Z45" i="6"/>
  <c r="H45" i="6"/>
  <c r="Y45" i="6"/>
  <c r="G45" i="6"/>
  <c r="V45" i="6"/>
  <c r="U45" i="6"/>
  <c r="T45" i="6"/>
  <c r="H11" i="6"/>
  <c r="H11" i="5"/>
  <c r="X61" i="6"/>
  <c r="N61" i="6"/>
  <c r="D61" i="6"/>
  <c r="D59" i="6"/>
  <c r="S58" i="6"/>
  <c r="I58" i="6"/>
  <c r="X56" i="6"/>
  <c r="N56" i="6"/>
  <c r="D56" i="6"/>
  <c r="W61" i="6"/>
  <c r="M61" i="6"/>
  <c r="AB58" i="6"/>
  <c r="R58" i="6"/>
  <c r="H58" i="6"/>
  <c r="W56" i="6"/>
  <c r="M56" i="6"/>
  <c r="V61" i="6"/>
  <c r="L61" i="6"/>
  <c r="AA58" i="6"/>
  <c r="Q58" i="6"/>
  <c r="G58" i="6"/>
  <c r="V56" i="6"/>
  <c r="L56" i="6"/>
  <c r="R61" i="6"/>
  <c r="E61" i="6"/>
  <c r="V58" i="6"/>
  <c r="F58" i="6"/>
  <c r="Y56" i="6"/>
  <c r="I56" i="6"/>
  <c r="Q61" i="6"/>
  <c r="U58" i="6"/>
  <c r="E58" i="6"/>
  <c r="U56" i="6"/>
  <c r="H56" i="6"/>
  <c r="P61" i="6"/>
  <c r="T58" i="6"/>
  <c r="D58" i="6"/>
  <c r="T56" i="6"/>
  <c r="G56" i="6"/>
  <c r="AB61" i="6"/>
  <c r="O61" i="6"/>
  <c r="P58" i="6"/>
  <c r="S56" i="6"/>
  <c r="F56" i="6"/>
  <c r="AA61" i="6"/>
  <c r="K61" i="6"/>
  <c r="O58" i="6"/>
  <c r="R56" i="6"/>
  <c r="E56" i="6"/>
  <c r="U61" i="6"/>
  <c r="H61" i="6"/>
  <c r="Y58" i="6"/>
  <c r="L58" i="6"/>
  <c r="AB56" i="6"/>
  <c r="O56" i="6"/>
  <c r="G61" i="6"/>
  <c r="K58" i="6"/>
  <c r="Q56" i="6"/>
  <c r="F61" i="6"/>
  <c r="J58" i="6"/>
  <c r="P56" i="6"/>
  <c r="K56" i="6"/>
  <c r="J56" i="6"/>
  <c r="Z61" i="6"/>
  <c r="Y61" i="6"/>
  <c r="Z58" i="6"/>
  <c r="T61" i="6"/>
  <c r="X58" i="6"/>
  <c r="S61" i="6"/>
  <c r="W58" i="6"/>
  <c r="I61" i="6"/>
  <c r="M58" i="6"/>
  <c r="AA56" i="6"/>
  <c r="Z56" i="6"/>
  <c r="J61" i="6"/>
  <c r="N58" i="6"/>
  <c r="T27" i="2"/>
  <c r="D87" i="5"/>
  <c r="D89" i="5" s="1"/>
  <c r="E88" i="5" s="1"/>
  <c r="E77" i="5"/>
  <c r="F76" i="5" s="1"/>
  <c r="E74" i="5"/>
  <c r="E50" i="5"/>
  <c r="F44" i="5"/>
  <c r="F46" i="5" s="1"/>
  <c r="D51" i="5" l="1"/>
  <c r="D52" i="5" s="1"/>
  <c r="G77" i="6"/>
  <c r="G80" i="6" s="1"/>
  <c r="H79" i="6" s="1"/>
  <c r="G73" i="6"/>
  <c r="G76" i="6"/>
  <c r="H75" i="6" s="1"/>
  <c r="E87" i="5"/>
  <c r="E89" i="5" s="1"/>
  <c r="F88" i="5" s="1"/>
  <c r="E51" i="6"/>
  <c r="F44" i="6"/>
  <c r="H7" i="6"/>
  <c r="H7" i="5"/>
  <c r="F46" i="6"/>
  <c r="F86" i="6"/>
  <c r="F88" i="6" s="1"/>
  <c r="G87" i="6" s="1"/>
  <c r="I4" i="6"/>
  <c r="E52" i="5"/>
  <c r="F51" i="5"/>
  <c r="F50" i="5"/>
  <c r="G44" i="5"/>
  <c r="F59" i="5"/>
  <c r="G90" i="5"/>
  <c r="G93" i="5"/>
  <c r="H92" i="5" s="1"/>
  <c r="F78" i="5"/>
  <c r="F81" i="5"/>
  <c r="G80" i="5" s="1"/>
  <c r="O132" i="6"/>
  <c r="I3" i="6"/>
  <c r="H15" i="6"/>
  <c r="D46" i="6"/>
  <c r="O133" i="5"/>
  <c r="I3" i="5"/>
  <c r="I4" i="5" s="1"/>
  <c r="H15" i="5"/>
  <c r="F74" i="5"/>
  <c r="F77" i="5" s="1"/>
  <c r="G76" i="5" s="1"/>
  <c r="F89" i="6"/>
  <c r="F92" i="6"/>
  <c r="G91" i="6" s="1"/>
  <c r="E59" i="6"/>
  <c r="E46" i="6"/>
  <c r="E50" i="6" s="1"/>
  <c r="C127" i="5" l="1"/>
  <c r="N9" i="5" s="1"/>
  <c r="F52" i="5"/>
  <c r="E52" i="6"/>
  <c r="E66" i="6" s="1"/>
  <c r="E67" i="6" s="1"/>
  <c r="G86" i="6"/>
  <c r="G88" i="6" s="1"/>
  <c r="H87" i="6" s="1"/>
  <c r="G74" i="5"/>
  <c r="G77" i="5" s="1"/>
  <c r="H76" i="5" s="1"/>
  <c r="F87" i="5"/>
  <c r="F89" i="5" s="1"/>
  <c r="G88" i="5" s="1"/>
  <c r="H80" i="6"/>
  <c r="I79" i="6" s="1"/>
  <c r="H77" i="6"/>
  <c r="D51" i="6"/>
  <c r="D50" i="6"/>
  <c r="H90" i="5"/>
  <c r="H93" i="5" s="1"/>
  <c r="I92" i="5" s="1"/>
  <c r="H131" i="6"/>
  <c r="N131" i="6"/>
  <c r="G131" i="6"/>
  <c r="F131" i="6"/>
  <c r="E131" i="6"/>
  <c r="O131" i="6"/>
  <c r="M131" i="6"/>
  <c r="L131" i="6"/>
  <c r="K131" i="6"/>
  <c r="J131" i="6"/>
  <c r="I131" i="6"/>
  <c r="D131" i="6"/>
  <c r="C126" i="6"/>
  <c r="G89" i="6"/>
  <c r="G92" i="6" s="1"/>
  <c r="H91" i="6" s="1"/>
  <c r="G46" i="5"/>
  <c r="G50" i="5" s="1"/>
  <c r="H44" i="5"/>
  <c r="G59" i="5"/>
  <c r="H76" i="6"/>
  <c r="I75" i="6" s="1"/>
  <c r="H73" i="6"/>
  <c r="O128" i="5"/>
  <c r="D127" i="5"/>
  <c r="D130" i="5" s="1"/>
  <c r="K127" i="5"/>
  <c r="K130" i="5" s="1"/>
  <c r="L127" i="5"/>
  <c r="L130" i="5" s="1"/>
  <c r="S127" i="5"/>
  <c r="S130" i="5" s="1"/>
  <c r="X127" i="5"/>
  <c r="X130" i="5" s="1"/>
  <c r="G127" i="5"/>
  <c r="G130" i="5" s="1"/>
  <c r="P127" i="5"/>
  <c r="P130" i="5" s="1"/>
  <c r="N127" i="5"/>
  <c r="N130" i="5" s="1"/>
  <c r="W127" i="5"/>
  <c r="W130" i="5" s="1"/>
  <c r="H127" i="5"/>
  <c r="H130" i="5" s="1"/>
  <c r="Z127" i="5"/>
  <c r="Z130" i="5" s="1"/>
  <c r="O127" i="5"/>
  <c r="O130" i="5" s="1"/>
  <c r="F127" i="5"/>
  <c r="F130" i="5" s="1"/>
  <c r="Q127" i="5"/>
  <c r="Q130" i="5" s="1"/>
  <c r="M127" i="5"/>
  <c r="M130" i="5" s="1"/>
  <c r="Y127" i="5"/>
  <c r="Y130" i="5" s="1"/>
  <c r="E127" i="5"/>
  <c r="E130" i="5" s="1"/>
  <c r="V127" i="5"/>
  <c r="V130" i="5" s="1"/>
  <c r="J127" i="5"/>
  <c r="J130" i="5" s="1"/>
  <c r="AB127" i="5"/>
  <c r="AB130" i="5" s="1"/>
  <c r="AA127" i="5"/>
  <c r="AA130" i="5" s="1"/>
  <c r="I127" i="5"/>
  <c r="I130" i="5" s="1"/>
  <c r="R127" i="5"/>
  <c r="R130" i="5" s="1"/>
  <c r="T127" i="5"/>
  <c r="T130" i="5" s="1"/>
  <c r="U127" i="5"/>
  <c r="U130" i="5" s="1"/>
  <c r="O127" i="6"/>
  <c r="F50" i="6"/>
  <c r="G44" i="6"/>
  <c r="F51" i="6"/>
  <c r="F59" i="6"/>
  <c r="AB126" i="6"/>
  <c r="AB129" i="6" s="1"/>
  <c r="J126" i="6"/>
  <c r="J129" i="6" s="1"/>
  <c r="Y126" i="6"/>
  <c r="Y129" i="6" s="1"/>
  <c r="R126" i="6"/>
  <c r="R129" i="6" s="1"/>
  <c r="V126" i="6"/>
  <c r="V129" i="6" s="1"/>
  <c r="T126" i="6"/>
  <c r="T129" i="6" s="1"/>
  <c r="S126" i="6"/>
  <c r="S129" i="6" s="1"/>
  <c r="P126" i="6"/>
  <c r="P129" i="6" s="1"/>
  <c r="M126" i="6"/>
  <c r="M129" i="6" s="1"/>
  <c r="L126" i="6"/>
  <c r="L129" i="6" s="1"/>
  <c r="K126" i="6"/>
  <c r="K129" i="6" s="1"/>
  <c r="H126" i="6"/>
  <c r="H129" i="6" s="1"/>
  <c r="I126" i="6"/>
  <c r="I129" i="6" s="1"/>
  <c r="X126" i="6"/>
  <c r="X129" i="6" s="1"/>
  <c r="AA126" i="6"/>
  <c r="AA129" i="6" s="1"/>
  <c r="U126" i="6"/>
  <c r="U129" i="6" s="1"/>
  <c r="N126" i="6"/>
  <c r="N129" i="6" s="1"/>
  <c r="F126" i="6"/>
  <c r="F129" i="6" s="1"/>
  <c r="Q126" i="6"/>
  <c r="Q129" i="6" s="1"/>
  <c r="E126" i="6"/>
  <c r="E129" i="6" s="1"/>
  <c r="G126" i="6"/>
  <c r="G129" i="6" s="1"/>
  <c r="O126" i="6"/>
  <c r="Z126" i="6"/>
  <c r="Z129" i="6" s="1"/>
  <c r="W126" i="6"/>
  <c r="W129" i="6" s="1"/>
  <c r="D126" i="6"/>
  <c r="D129" i="6" s="1"/>
  <c r="G78" i="5"/>
  <c r="G81" i="5" s="1"/>
  <c r="H80" i="5" s="1"/>
  <c r="L132" i="5"/>
  <c r="K132" i="5"/>
  <c r="J132" i="5"/>
  <c r="I132" i="5"/>
  <c r="H132" i="5"/>
  <c r="O132" i="5"/>
  <c r="M132" i="5"/>
  <c r="G132" i="5"/>
  <c r="F132" i="5"/>
  <c r="E132" i="5"/>
  <c r="N132" i="5"/>
  <c r="D132" i="5"/>
  <c r="N5" i="5" l="1"/>
  <c r="D72" i="5"/>
  <c r="D84" i="5" s="1"/>
  <c r="D83" i="5" s="1"/>
  <c r="D85" i="5"/>
  <c r="C130" i="5"/>
  <c r="C142" i="5" s="1"/>
  <c r="D52" i="6"/>
  <c r="D66" i="6" s="1"/>
  <c r="G51" i="5"/>
  <c r="G52" i="5" s="1"/>
  <c r="F52" i="6"/>
  <c r="F66" i="6" s="1"/>
  <c r="F67" i="6" s="1"/>
  <c r="H89" i="6"/>
  <c r="H92" i="6" s="1"/>
  <c r="I91" i="6" s="1"/>
  <c r="G87" i="5"/>
  <c r="G89" i="5"/>
  <c r="H88" i="5" s="1"/>
  <c r="I90" i="5"/>
  <c r="I93" i="5" s="1"/>
  <c r="J92" i="5" s="1"/>
  <c r="H74" i="5"/>
  <c r="H77" i="5"/>
  <c r="I76" i="5" s="1"/>
  <c r="H78" i="5"/>
  <c r="H81" i="5"/>
  <c r="I80" i="5" s="1"/>
  <c r="H86" i="6"/>
  <c r="H88" i="6" s="1"/>
  <c r="I87" i="6" s="1"/>
  <c r="I73" i="6"/>
  <c r="I76" i="6" s="1"/>
  <c r="J75" i="6" s="1"/>
  <c r="I77" i="6"/>
  <c r="I80" i="6" s="1"/>
  <c r="J79" i="6" s="1"/>
  <c r="C164" i="5"/>
  <c r="C143" i="5"/>
  <c r="C137" i="5"/>
  <c r="O129" i="6"/>
  <c r="H51" i="5"/>
  <c r="I44" i="5"/>
  <c r="H59" i="5"/>
  <c r="H46" i="5"/>
  <c r="H50" i="5" s="1"/>
  <c r="D84" i="6"/>
  <c r="D71" i="6"/>
  <c r="C129" i="6"/>
  <c r="N5" i="6"/>
  <c r="Z165" i="6"/>
  <c r="P165" i="6"/>
  <c r="F165" i="6"/>
  <c r="W165" i="6"/>
  <c r="M165" i="6"/>
  <c r="V165" i="6"/>
  <c r="L165" i="6"/>
  <c r="AB165" i="6"/>
  <c r="N165" i="6"/>
  <c r="AA165" i="6"/>
  <c r="K165" i="6"/>
  <c r="Y165" i="6"/>
  <c r="J165" i="6"/>
  <c r="S165" i="6"/>
  <c r="R165" i="6"/>
  <c r="Q165" i="6"/>
  <c r="O165" i="6"/>
  <c r="I165" i="6"/>
  <c r="H165" i="6"/>
  <c r="X165" i="6"/>
  <c r="U165" i="6"/>
  <c r="T165" i="6"/>
  <c r="E165" i="6"/>
  <c r="G165" i="6"/>
  <c r="D165" i="6"/>
  <c r="T166" i="5"/>
  <c r="J166" i="5"/>
  <c r="S166" i="5"/>
  <c r="I166" i="5"/>
  <c r="AB166" i="5"/>
  <c r="R166" i="5"/>
  <c r="H166" i="5"/>
  <c r="Y166" i="5"/>
  <c r="L166" i="5"/>
  <c r="X166" i="5"/>
  <c r="K166" i="5"/>
  <c r="W166" i="5"/>
  <c r="G166" i="5"/>
  <c r="U166" i="5"/>
  <c r="E166" i="5"/>
  <c r="Q166" i="5"/>
  <c r="D166" i="5"/>
  <c r="P166" i="5"/>
  <c r="AA166" i="5"/>
  <c r="Z166" i="5"/>
  <c r="V166" i="5"/>
  <c r="N166" i="5"/>
  <c r="M166" i="5"/>
  <c r="F166" i="5"/>
  <c r="O166" i="5"/>
  <c r="H44" i="6"/>
  <c r="G59" i="6"/>
  <c r="G46" i="6"/>
  <c r="G51" i="6" s="1"/>
  <c r="D71" i="5"/>
  <c r="D70" i="5" s="1"/>
  <c r="D125" i="5" s="1"/>
  <c r="N9" i="6" l="1"/>
  <c r="H52" i="5"/>
  <c r="J90" i="5"/>
  <c r="J93" i="5"/>
  <c r="K92" i="5" s="1"/>
  <c r="I86" i="6"/>
  <c r="I88" i="6"/>
  <c r="J87" i="6" s="1"/>
  <c r="J73" i="6"/>
  <c r="J76" i="6" s="1"/>
  <c r="K75" i="6" s="1"/>
  <c r="J77" i="6"/>
  <c r="J80" i="6" s="1"/>
  <c r="K79" i="6" s="1"/>
  <c r="I92" i="6"/>
  <c r="J91" i="6" s="1"/>
  <c r="I89" i="6"/>
  <c r="I78" i="5"/>
  <c r="I81" i="5" s="1"/>
  <c r="J80" i="5" s="1"/>
  <c r="D73" i="5"/>
  <c r="E72" i="5" s="1"/>
  <c r="G50" i="6"/>
  <c r="G52" i="6" s="1"/>
  <c r="G66" i="6" s="1"/>
  <c r="I74" i="5"/>
  <c r="I77" i="5"/>
  <c r="J76" i="5" s="1"/>
  <c r="N8" i="6"/>
  <c r="C136" i="6"/>
  <c r="C163" i="6"/>
  <c r="C141" i="6"/>
  <c r="C142" i="6"/>
  <c r="I44" i="6"/>
  <c r="H59" i="6"/>
  <c r="H46" i="6"/>
  <c r="H50" i="6" s="1"/>
  <c r="D164" i="5"/>
  <c r="D70" i="6"/>
  <c r="D69" i="6" s="1"/>
  <c r="D124" i="6" s="1"/>
  <c r="D83" i="6"/>
  <c r="D82" i="6" s="1"/>
  <c r="D101" i="6" s="1"/>
  <c r="C153" i="5"/>
  <c r="C139" i="5"/>
  <c r="C155" i="5"/>
  <c r="F22" i="7"/>
  <c r="C138" i="5"/>
  <c r="C174" i="5"/>
  <c r="E4" i="7"/>
  <c r="D145" i="5"/>
  <c r="D143" i="5"/>
  <c r="D144" i="5"/>
  <c r="D170" i="5"/>
  <c r="D171" i="5" s="1"/>
  <c r="C170" i="5"/>
  <c r="C171" i="5" s="1"/>
  <c r="H87" i="5"/>
  <c r="H89" i="5" s="1"/>
  <c r="I88" i="5" s="1"/>
  <c r="J44" i="5"/>
  <c r="I59" i="5"/>
  <c r="I46" i="5"/>
  <c r="I51" i="5" s="1"/>
  <c r="D86" i="5"/>
  <c r="E85" i="5" s="1"/>
  <c r="D72" i="6" l="1"/>
  <c r="E71" i="6" s="1"/>
  <c r="E70" i="6" s="1"/>
  <c r="E69" i="6" s="1"/>
  <c r="D93" i="6"/>
  <c r="D96" i="6" s="1"/>
  <c r="I87" i="5"/>
  <c r="I89" i="5" s="1"/>
  <c r="J88" i="5" s="1"/>
  <c r="D105" i="6"/>
  <c r="D102" i="6"/>
  <c r="D103" i="6" s="1"/>
  <c r="D104" i="6" s="1"/>
  <c r="K77" i="6"/>
  <c r="K80" i="6" s="1"/>
  <c r="L79" i="6" s="1"/>
  <c r="J78" i="5"/>
  <c r="J81" i="5" s="1"/>
  <c r="K80" i="5" s="1"/>
  <c r="K73" i="6"/>
  <c r="K76" i="6"/>
  <c r="L75" i="6" s="1"/>
  <c r="J92" i="6"/>
  <c r="K91" i="6" s="1"/>
  <c r="J89" i="6"/>
  <c r="C176" i="5"/>
  <c r="F5" i="7"/>
  <c r="D66" i="5"/>
  <c r="D67" i="5" s="1"/>
  <c r="D85" i="6"/>
  <c r="E84" i="6" s="1"/>
  <c r="H51" i="6"/>
  <c r="H52" i="6" s="1"/>
  <c r="H66" i="6" s="1"/>
  <c r="E84" i="5"/>
  <c r="E83" i="5" s="1"/>
  <c r="J44" i="6"/>
  <c r="I59" i="6"/>
  <c r="I46" i="6"/>
  <c r="I51" i="6" s="1"/>
  <c r="G67" i="6"/>
  <c r="J86" i="6"/>
  <c r="J88" i="6" s="1"/>
  <c r="K87" i="6" s="1"/>
  <c r="C158" i="5"/>
  <c r="D169" i="6"/>
  <c r="D170" i="6" s="1"/>
  <c r="C169" i="6"/>
  <c r="C170" i="6" s="1"/>
  <c r="D143" i="6"/>
  <c r="D144" i="6"/>
  <c r="E144" i="6" s="1"/>
  <c r="F144" i="6" s="1"/>
  <c r="G144" i="6" s="1"/>
  <c r="H144" i="6" s="1"/>
  <c r="I144" i="6" s="1"/>
  <c r="J144" i="6" s="1"/>
  <c r="K144" i="6" s="1"/>
  <c r="L144" i="6" s="1"/>
  <c r="M144" i="6" s="1"/>
  <c r="N144" i="6" s="1"/>
  <c r="O144" i="6" s="1"/>
  <c r="P144" i="6" s="1"/>
  <c r="Q144" i="6" s="1"/>
  <c r="R144" i="6" s="1"/>
  <c r="S144" i="6" s="1"/>
  <c r="T144" i="6" s="1"/>
  <c r="U144" i="6" s="1"/>
  <c r="V144" i="6" s="1"/>
  <c r="W144" i="6" s="1"/>
  <c r="X144" i="6" s="1"/>
  <c r="Y144" i="6" s="1"/>
  <c r="Z144" i="6" s="1"/>
  <c r="AA144" i="6" s="1"/>
  <c r="AB144" i="6" s="1"/>
  <c r="E71" i="5"/>
  <c r="E70" i="5" s="1"/>
  <c r="E125" i="5" s="1"/>
  <c r="K44" i="5"/>
  <c r="J59" i="5"/>
  <c r="J46" i="5"/>
  <c r="J50" i="5" s="1"/>
  <c r="C137" i="6"/>
  <c r="C173" i="6"/>
  <c r="K90" i="5"/>
  <c r="K93" i="5" s="1"/>
  <c r="L92" i="5" s="1"/>
  <c r="C156" i="5"/>
  <c r="I50" i="5"/>
  <c r="I52" i="5" s="1"/>
  <c r="D163" i="6"/>
  <c r="J74" i="5"/>
  <c r="J77" i="5" s="1"/>
  <c r="K76" i="5" s="1"/>
  <c r="F4" i="7"/>
  <c r="E144" i="5"/>
  <c r="E170" i="5"/>
  <c r="E171" i="5" s="1"/>
  <c r="D142" i="5"/>
  <c r="F6" i="7"/>
  <c r="E145" i="5"/>
  <c r="E143" i="5" s="1"/>
  <c r="C165" i="5"/>
  <c r="C154" i="5"/>
  <c r="C152" i="6"/>
  <c r="C138" i="6"/>
  <c r="C154" i="6"/>
  <c r="D142" i="6" l="1"/>
  <c r="E143" i="6" s="1"/>
  <c r="E72" i="6"/>
  <c r="F71" i="6" s="1"/>
  <c r="D95" i="6"/>
  <c r="D100" i="6"/>
  <c r="D110" i="6" s="1"/>
  <c r="F9" i="7"/>
  <c r="D94" i="6"/>
  <c r="K78" i="5"/>
  <c r="K81" i="5" s="1"/>
  <c r="L80" i="5" s="1"/>
  <c r="H67" i="6"/>
  <c r="L80" i="6"/>
  <c r="M79" i="6" s="1"/>
  <c r="L77" i="6"/>
  <c r="K74" i="5"/>
  <c r="K77" i="5" s="1"/>
  <c r="L76" i="5" s="1"/>
  <c r="L90" i="5"/>
  <c r="L93" i="5" s="1"/>
  <c r="M92" i="5" s="1"/>
  <c r="K86" i="6"/>
  <c r="K88" i="6"/>
  <c r="L87" i="6" s="1"/>
  <c r="J87" i="5"/>
  <c r="J89" i="5"/>
  <c r="K88" i="5" s="1"/>
  <c r="E86" i="5"/>
  <c r="F85" i="5" s="1"/>
  <c r="G4" i="7"/>
  <c r="F170" i="5"/>
  <c r="F171" i="5" s="1"/>
  <c r="F144" i="5"/>
  <c r="E142" i="5"/>
  <c r="C175" i="6"/>
  <c r="E83" i="6"/>
  <c r="E82" i="6" s="1"/>
  <c r="E101" i="6" s="1"/>
  <c r="F13" i="7"/>
  <c r="D94" i="5"/>
  <c r="D102" i="5"/>
  <c r="N8" i="5"/>
  <c r="C167" i="5"/>
  <c r="C178" i="5" s="1"/>
  <c r="E163" i="6"/>
  <c r="I50" i="6"/>
  <c r="I52" i="6" s="1"/>
  <c r="I66" i="6" s="1"/>
  <c r="K44" i="6"/>
  <c r="J59" i="6"/>
  <c r="J46" i="6"/>
  <c r="J50" i="6" s="1"/>
  <c r="D106" i="6"/>
  <c r="D109" i="6" s="1"/>
  <c r="D123" i="6" s="1"/>
  <c r="D150" i="6" s="1"/>
  <c r="C157" i="6"/>
  <c r="G5" i="7"/>
  <c r="E66" i="5"/>
  <c r="E67" i="5" s="1"/>
  <c r="E73" i="5"/>
  <c r="F72" i="5" s="1"/>
  <c r="C155" i="6"/>
  <c r="C153" i="6"/>
  <c r="C164" i="6"/>
  <c r="E169" i="6"/>
  <c r="E170" i="6" s="1"/>
  <c r="E142" i="6"/>
  <c r="D141" i="6"/>
  <c r="K92" i="6"/>
  <c r="L91" i="6" s="1"/>
  <c r="K89" i="6"/>
  <c r="E164" i="5"/>
  <c r="L44" i="5"/>
  <c r="K59" i="5"/>
  <c r="K46" i="5"/>
  <c r="K50" i="5" s="1"/>
  <c r="L73" i="6"/>
  <c r="L76" i="6" s="1"/>
  <c r="M75" i="6" s="1"/>
  <c r="F70" i="6"/>
  <c r="F69" i="6" s="1"/>
  <c r="G6" i="7"/>
  <c r="F145" i="5"/>
  <c r="J51" i="5"/>
  <c r="J52" i="5" s="1"/>
  <c r="E3" i="7"/>
  <c r="C159" i="5"/>
  <c r="E124" i="6"/>
  <c r="E93" i="6"/>
  <c r="G9" i="7" l="1"/>
  <c r="E94" i="6"/>
  <c r="M73" i="6"/>
  <c r="M76" i="6"/>
  <c r="N75" i="6" s="1"/>
  <c r="M90" i="5"/>
  <c r="M93" i="5"/>
  <c r="N92" i="5" s="1"/>
  <c r="L74" i="5"/>
  <c r="L77" i="5" s="1"/>
  <c r="M76" i="5" s="1"/>
  <c r="L81" i="5"/>
  <c r="M80" i="5" s="1"/>
  <c r="L78" i="5"/>
  <c r="F84" i="5"/>
  <c r="F83" i="5" s="1"/>
  <c r="I67" i="6"/>
  <c r="E105" i="6"/>
  <c r="D112" i="6"/>
  <c r="D111" i="6"/>
  <c r="D120" i="6"/>
  <c r="D125" i="6" s="1"/>
  <c r="D136" i="6" s="1"/>
  <c r="D114" i="6"/>
  <c r="D115" i="6" s="1"/>
  <c r="M77" i="6"/>
  <c r="M80" i="6" s="1"/>
  <c r="N79" i="6" s="1"/>
  <c r="G13" i="7"/>
  <c r="E68" i="5"/>
  <c r="E102" i="5"/>
  <c r="E94" i="5"/>
  <c r="H6" i="7"/>
  <c r="G145" i="5"/>
  <c r="F143" i="6"/>
  <c r="F142" i="6"/>
  <c r="F169" i="6"/>
  <c r="F170" i="6" s="1"/>
  <c r="E141" i="6"/>
  <c r="F163" i="6"/>
  <c r="E85" i="6"/>
  <c r="F84" i="6" s="1"/>
  <c r="E102" i="6"/>
  <c r="E103" i="6" s="1"/>
  <c r="E104" i="6" s="1"/>
  <c r="L44" i="6"/>
  <c r="K59" i="6"/>
  <c r="K46" i="6"/>
  <c r="K50" i="6" s="1"/>
  <c r="K87" i="5"/>
  <c r="K89" i="5"/>
  <c r="L88" i="5" s="1"/>
  <c r="F124" i="6"/>
  <c r="F93" i="6"/>
  <c r="M44" i="5"/>
  <c r="L59" i="5"/>
  <c r="L46" i="5"/>
  <c r="L50" i="5" s="1"/>
  <c r="E100" i="6"/>
  <c r="E96" i="6"/>
  <c r="F72" i="6"/>
  <c r="G71" i="6" s="1"/>
  <c r="K51" i="5"/>
  <c r="K52" i="5" s="1"/>
  <c r="C166" i="6"/>
  <c r="C177" i="6" s="1"/>
  <c r="D107" i="6"/>
  <c r="D108" i="6" s="1"/>
  <c r="F143" i="5"/>
  <c r="L86" i="6"/>
  <c r="L88" i="6"/>
  <c r="M87" i="6" s="1"/>
  <c r="H5" i="7"/>
  <c r="F66" i="5"/>
  <c r="F67" i="5" s="1"/>
  <c r="E95" i="6"/>
  <c r="C158" i="6"/>
  <c r="E16" i="7"/>
  <c r="J51" i="6"/>
  <c r="J52" i="6" s="1"/>
  <c r="J66" i="6" s="1"/>
  <c r="D103" i="5"/>
  <c r="D104" i="5" s="1"/>
  <c r="D105" i="5" s="1"/>
  <c r="D106" i="5"/>
  <c r="L89" i="6"/>
  <c r="L92" i="6" s="1"/>
  <c r="M91" i="6" s="1"/>
  <c r="F71" i="5"/>
  <c r="F70" i="5" s="1"/>
  <c r="F125" i="5" s="1"/>
  <c r="D101" i="5"/>
  <c r="D96" i="5"/>
  <c r="D95" i="5"/>
  <c r="D97" i="5"/>
  <c r="L51" i="5" l="1"/>
  <c r="L52" i="5" s="1"/>
  <c r="H9" i="7"/>
  <c r="D111" i="5"/>
  <c r="D115" i="5" s="1"/>
  <c r="D116" i="5" s="1"/>
  <c r="M89" i="6"/>
  <c r="M92" i="6" s="1"/>
  <c r="N91" i="6" s="1"/>
  <c r="J67" i="6"/>
  <c r="N77" i="6"/>
  <c r="N80" i="6" s="1"/>
  <c r="O79" i="6" s="1"/>
  <c r="M74" i="5"/>
  <c r="M77" i="5"/>
  <c r="N76" i="5" s="1"/>
  <c r="G70" i="6"/>
  <c r="G69" i="6" s="1"/>
  <c r="G163" i="6" s="1"/>
  <c r="M78" i="5"/>
  <c r="M81" i="5" s="1"/>
  <c r="N80" i="5" s="1"/>
  <c r="D174" i="6"/>
  <c r="D116" i="6"/>
  <c r="E97" i="5"/>
  <c r="E101" i="5"/>
  <c r="M86" i="6"/>
  <c r="M88" i="6" s="1"/>
  <c r="N87" i="6" s="1"/>
  <c r="F96" i="6"/>
  <c r="F100" i="6"/>
  <c r="F83" i="6"/>
  <c r="F82" i="6" s="1"/>
  <c r="F101" i="6" s="1"/>
  <c r="E106" i="5"/>
  <c r="F73" i="5"/>
  <c r="G72" i="5" s="1"/>
  <c r="E110" i="6"/>
  <c r="L87" i="5"/>
  <c r="L89" i="5"/>
  <c r="M88" i="5" s="1"/>
  <c r="E103" i="5"/>
  <c r="E104" i="5" s="1"/>
  <c r="E105" i="5" s="1"/>
  <c r="F164" i="5"/>
  <c r="N90" i="5"/>
  <c r="N93" i="5" s="1"/>
  <c r="O92" i="5" s="1"/>
  <c r="E106" i="6"/>
  <c r="E109" i="6" s="1"/>
  <c r="E123" i="6" s="1"/>
  <c r="E150" i="6" s="1"/>
  <c r="D107" i="5"/>
  <c r="D110" i="5" s="1"/>
  <c r="D124" i="5" s="1"/>
  <c r="D151" i="5" s="1"/>
  <c r="F94" i="6"/>
  <c r="K51" i="6"/>
  <c r="K52" i="6" s="1"/>
  <c r="K66" i="6" s="1"/>
  <c r="E95" i="5"/>
  <c r="E96" i="5"/>
  <c r="F95" i="6"/>
  <c r="I6" i="7"/>
  <c r="H145" i="5"/>
  <c r="D151" i="6"/>
  <c r="D152" i="6" s="1"/>
  <c r="D154" i="6"/>
  <c r="D138" i="6"/>
  <c r="F86" i="5"/>
  <c r="G85" i="5" s="1"/>
  <c r="N73" i="6"/>
  <c r="N76" i="6"/>
  <c r="O75" i="6" s="1"/>
  <c r="H13" i="7"/>
  <c r="F68" i="5"/>
  <c r="F102" i="5"/>
  <c r="F94" i="5"/>
  <c r="H4" i="7"/>
  <c r="G170" i="5"/>
  <c r="G171" i="5" s="1"/>
  <c r="G143" i="5"/>
  <c r="G144" i="5"/>
  <c r="F142" i="5"/>
  <c r="G142" i="6"/>
  <c r="G143" i="6"/>
  <c r="G169" i="6"/>
  <c r="G170" i="6" s="1"/>
  <c r="F141" i="6"/>
  <c r="N44" i="5"/>
  <c r="M59" i="5"/>
  <c r="M46" i="5"/>
  <c r="M51" i="5" s="1"/>
  <c r="M44" i="6"/>
  <c r="L59" i="6"/>
  <c r="L46" i="6"/>
  <c r="L51" i="6" s="1"/>
  <c r="L50" i="6" l="1"/>
  <c r="D121" i="5"/>
  <c r="D126" i="5" s="1"/>
  <c r="D137" i="5" s="1"/>
  <c r="D113" i="5"/>
  <c r="D112" i="5"/>
  <c r="E107" i="6"/>
  <c r="E108" i="6" s="1"/>
  <c r="G72" i="6"/>
  <c r="H71" i="6" s="1"/>
  <c r="H70" i="6" s="1"/>
  <c r="H69" i="6" s="1"/>
  <c r="H163" i="6" s="1"/>
  <c r="D108" i="5"/>
  <c r="D109" i="5" s="1"/>
  <c r="E107" i="5" s="1"/>
  <c r="E110" i="5" s="1"/>
  <c r="E124" i="5" s="1"/>
  <c r="E151" i="5" s="1"/>
  <c r="M50" i="5"/>
  <c r="M52" i="5" s="1"/>
  <c r="D175" i="5"/>
  <c r="D117" i="5"/>
  <c r="O77" i="6"/>
  <c r="O80" i="6"/>
  <c r="P79" i="6" s="1"/>
  <c r="O90" i="5"/>
  <c r="O93" i="5" s="1"/>
  <c r="P92" i="5" s="1"/>
  <c r="F103" i="5"/>
  <c r="F104" i="5" s="1"/>
  <c r="F105" i="5" s="1"/>
  <c r="N86" i="6"/>
  <c r="N88" i="6"/>
  <c r="O87" i="6" s="1"/>
  <c r="K67" i="6"/>
  <c r="N78" i="5"/>
  <c r="N81" i="5" s="1"/>
  <c r="O80" i="5" s="1"/>
  <c r="N92" i="6"/>
  <c r="O91" i="6" s="1"/>
  <c r="N89" i="6"/>
  <c r="L52" i="6"/>
  <c r="L66" i="6" s="1"/>
  <c r="G84" i="5"/>
  <c r="G83" i="5" s="1"/>
  <c r="O73" i="6"/>
  <c r="O76" i="6"/>
  <c r="P75" i="6" s="1"/>
  <c r="I5" i="7"/>
  <c r="I9" i="7" s="1"/>
  <c r="G66" i="5"/>
  <c r="G67" i="5" s="1"/>
  <c r="E111" i="5"/>
  <c r="I4" i="7"/>
  <c r="H170" i="5"/>
  <c r="H171" i="5" s="1"/>
  <c r="H144" i="5"/>
  <c r="H143" i="5"/>
  <c r="G142" i="5"/>
  <c r="G71" i="5"/>
  <c r="G70" i="5" s="1"/>
  <c r="G125" i="5" s="1"/>
  <c r="D155" i="6"/>
  <c r="D157" i="6"/>
  <c r="M87" i="5"/>
  <c r="M89" i="5"/>
  <c r="N88" i="5" s="1"/>
  <c r="F105" i="6"/>
  <c r="D117" i="6"/>
  <c r="E112" i="6"/>
  <c r="E120" i="6"/>
  <c r="E125" i="6" s="1"/>
  <c r="E136" i="6" s="1"/>
  <c r="E138" i="6" s="1"/>
  <c r="E114" i="6"/>
  <c r="E115" i="6" s="1"/>
  <c r="F96" i="5"/>
  <c r="F95" i="5"/>
  <c r="O44" i="5"/>
  <c r="N59" i="5"/>
  <c r="N46" i="5"/>
  <c r="N50" i="5" s="1"/>
  <c r="E111" i="6"/>
  <c r="F97" i="5"/>
  <c r="F101" i="5"/>
  <c r="F106" i="5"/>
  <c r="D137" i="6"/>
  <c r="D173" i="6"/>
  <c r="F85" i="6"/>
  <c r="G84" i="6" s="1"/>
  <c r="D153" i="6"/>
  <c r="D164" i="6"/>
  <c r="J6" i="7"/>
  <c r="I145" i="5"/>
  <c r="N74" i="5"/>
  <c r="N77" i="5"/>
  <c r="O76" i="5" s="1"/>
  <c r="F102" i="6"/>
  <c r="F103" i="6" s="1"/>
  <c r="F104" i="6" s="1"/>
  <c r="N44" i="6"/>
  <c r="M59" i="6"/>
  <c r="M46" i="6"/>
  <c r="M51" i="6" s="1"/>
  <c r="H142" i="6"/>
  <c r="H143" i="6"/>
  <c r="H169" i="6"/>
  <c r="H170" i="6" s="1"/>
  <c r="G141" i="6"/>
  <c r="G124" i="6"/>
  <c r="G93" i="6"/>
  <c r="G95" i="6" s="1"/>
  <c r="N51" i="5" l="1"/>
  <c r="N52" i="5" s="1"/>
  <c r="M50" i="6"/>
  <c r="D155" i="5"/>
  <c r="D156" i="5" s="1"/>
  <c r="D152" i="5"/>
  <c r="D153" i="5" s="1"/>
  <c r="D165" i="5" s="1"/>
  <c r="D139" i="5"/>
  <c r="E112" i="5"/>
  <c r="G94" i="6"/>
  <c r="G164" i="5"/>
  <c r="E108" i="5"/>
  <c r="E109" i="5" s="1"/>
  <c r="F107" i="5" s="1"/>
  <c r="O78" i="5"/>
  <c r="O81" i="5"/>
  <c r="P80" i="5" s="1"/>
  <c r="P93" i="5"/>
  <c r="Q92" i="5" s="1"/>
  <c r="P90" i="5"/>
  <c r="E116" i="6"/>
  <c r="E174" i="6"/>
  <c r="L67" i="6"/>
  <c r="M52" i="6"/>
  <c r="M66" i="6" s="1"/>
  <c r="I13" i="7"/>
  <c r="G68" i="5"/>
  <c r="G102" i="5"/>
  <c r="G103" i="5" s="1"/>
  <c r="G94" i="5"/>
  <c r="D175" i="6"/>
  <c r="O74" i="5"/>
  <c r="O77" i="5"/>
  <c r="P76" i="5" s="1"/>
  <c r="P44" i="5"/>
  <c r="O59" i="5"/>
  <c r="O46" i="5"/>
  <c r="O51" i="5" s="1"/>
  <c r="F16" i="7"/>
  <c r="D158" i="6"/>
  <c r="O89" i="6"/>
  <c r="O92" i="6" s="1"/>
  <c r="P91" i="6" s="1"/>
  <c r="P73" i="6"/>
  <c r="P76" i="6" s="1"/>
  <c r="Q75" i="6" s="1"/>
  <c r="P77" i="6"/>
  <c r="P80" i="6"/>
  <c r="Q79" i="6" s="1"/>
  <c r="F111" i="5"/>
  <c r="G73" i="5"/>
  <c r="H72" i="5" s="1"/>
  <c r="F110" i="6"/>
  <c r="F111" i="6" s="1"/>
  <c r="N87" i="5"/>
  <c r="N89" i="5" s="1"/>
  <c r="O88" i="5" s="1"/>
  <c r="K6" i="7"/>
  <c r="J145" i="5"/>
  <c r="I143" i="6"/>
  <c r="I142" i="6"/>
  <c r="I169" i="6"/>
  <c r="I170" i="6" s="1"/>
  <c r="H141" i="6"/>
  <c r="D166" i="6"/>
  <c r="J4" i="7"/>
  <c r="I144" i="5"/>
  <c r="I170" i="5"/>
  <c r="I171" i="5" s="1"/>
  <c r="I143" i="5"/>
  <c r="H142" i="5"/>
  <c r="G86" i="5"/>
  <c r="H85" i="5" s="1"/>
  <c r="F106" i="6"/>
  <c r="F109" i="6" s="1"/>
  <c r="F123" i="6" s="1"/>
  <c r="F150" i="6" s="1"/>
  <c r="G96" i="6"/>
  <c r="G100" i="6"/>
  <c r="J5" i="7"/>
  <c r="J9" i="7" s="1"/>
  <c r="H66" i="5"/>
  <c r="H67" i="5" s="1"/>
  <c r="H124" i="6"/>
  <c r="H93" i="6"/>
  <c r="O86" i="6"/>
  <c r="O88" i="6" s="1"/>
  <c r="P87" i="6" s="1"/>
  <c r="D118" i="5"/>
  <c r="E151" i="6"/>
  <c r="E137" i="6" s="1"/>
  <c r="E154" i="6"/>
  <c r="O44" i="6"/>
  <c r="N59" i="6"/>
  <c r="N46" i="6"/>
  <c r="N50" i="6" s="1"/>
  <c r="G83" i="6"/>
  <c r="G82" i="6" s="1"/>
  <c r="G101" i="6" s="1"/>
  <c r="E121" i="5"/>
  <c r="E126" i="5" s="1"/>
  <c r="E137" i="5" s="1"/>
  <c r="E113" i="5"/>
  <c r="E115" i="5"/>
  <c r="E116" i="5" s="1"/>
  <c r="H72" i="6"/>
  <c r="I71" i="6" s="1"/>
  <c r="D138" i="5" l="1"/>
  <c r="D174" i="5"/>
  <c r="D176" i="5" s="1"/>
  <c r="D154" i="5"/>
  <c r="D158" i="5"/>
  <c r="F112" i="5"/>
  <c r="E139" i="5"/>
  <c r="H94" i="6"/>
  <c r="F110" i="5"/>
  <c r="F124" i="5" s="1"/>
  <c r="F151" i="5" s="1"/>
  <c r="F108" i="5"/>
  <c r="F109" i="5" s="1"/>
  <c r="H95" i="6"/>
  <c r="O50" i="5"/>
  <c r="O52" i="5" s="1"/>
  <c r="F107" i="6"/>
  <c r="F108" i="6" s="1"/>
  <c r="Q73" i="6"/>
  <c r="Q76" i="6" s="1"/>
  <c r="R75" i="6" s="1"/>
  <c r="P86" i="6"/>
  <c r="P88" i="6" s="1"/>
  <c r="Q87" i="6" s="1"/>
  <c r="P89" i="6"/>
  <c r="P92" i="6" s="1"/>
  <c r="Q91" i="6" s="1"/>
  <c r="O87" i="5"/>
  <c r="O89" i="5" s="1"/>
  <c r="P88" i="5" s="1"/>
  <c r="J169" i="6"/>
  <c r="J170" i="6" s="1"/>
  <c r="J143" i="6"/>
  <c r="J142" i="6"/>
  <c r="I141" i="6"/>
  <c r="Q90" i="5"/>
  <c r="Q93" i="5"/>
  <c r="R92" i="5" s="1"/>
  <c r="K4" i="7"/>
  <c r="J144" i="5"/>
  <c r="J170" i="5"/>
  <c r="J171" i="5" s="1"/>
  <c r="J143" i="5"/>
  <c r="I142" i="5"/>
  <c r="Q44" i="5"/>
  <c r="P59" i="5"/>
  <c r="P46" i="5"/>
  <c r="P51" i="5" s="1"/>
  <c r="G105" i="6"/>
  <c r="E152" i="6"/>
  <c r="G85" i="6"/>
  <c r="H84" i="6" s="1"/>
  <c r="M67" i="6"/>
  <c r="K5" i="7"/>
  <c r="K9" i="7" s="1"/>
  <c r="I66" i="5"/>
  <c r="I67" i="5" s="1"/>
  <c r="F3" i="7"/>
  <c r="D159" i="5"/>
  <c r="G97" i="5"/>
  <c r="G101" i="5"/>
  <c r="G111" i="5" s="1"/>
  <c r="I70" i="6"/>
  <c r="I69" i="6" s="1"/>
  <c r="N51" i="6"/>
  <c r="N52" i="6" s="1"/>
  <c r="N66" i="6" s="1"/>
  <c r="D177" i="6"/>
  <c r="G106" i="5"/>
  <c r="G104" i="5"/>
  <c r="G105" i="5" s="1"/>
  <c r="P44" i="6"/>
  <c r="O59" i="6"/>
  <c r="O46" i="6"/>
  <c r="O51" i="6" s="1"/>
  <c r="G95" i="5"/>
  <c r="F121" i="5"/>
  <c r="F113" i="5"/>
  <c r="F115" i="5"/>
  <c r="F116" i="5" s="1"/>
  <c r="G102" i="6"/>
  <c r="G110" i="6" s="1"/>
  <c r="E175" i="5"/>
  <c r="E117" i="5"/>
  <c r="E155" i="6"/>
  <c r="E158" i="6" s="1"/>
  <c r="L6" i="7"/>
  <c r="K145" i="5"/>
  <c r="H71" i="5"/>
  <c r="H70" i="5" s="1"/>
  <c r="H96" i="6"/>
  <c r="H100" i="6"/>
  <c r="G96" i="5"/>
  <c r="F120" i="6"/>
  <c r="F125" i="6" s="1"/>
  <c r="F136" i="6" s="1"/>
  <c r="F112" i="6"/>
  <c r="F114" i="6"/>
  <c r="F115" i="6" s="1"/>
  <c r="Q77" i="6"/>
  <c r="Q80" i="6" s="1"/>
  <c r="R79" i="6" s="1"/>
  <c r="D167" i="5"/>
  <c r="E117" i="6"/>
  <c r="P78" i="5"/>
  <c r="P81" i="5" s="1"/>
  <c r="Q80" i="5" s="1"/>
  <c r="P77" i="5"/>
  <c r="Q76" i="5" s="1"/>
  <c r="P74" i="5"/>
  <c r="E155" i="5"/>
  <c r="E152" i="5"/>
  <c r="E138" i="5" s="1"/>
  <c r="J13" i="7"/>
  <c r="H68" i="5"/>
  <c r="H84" i="5"/>
  <c r="H83" i="5" s="1"/>
  <c r="H102" i="5" s="1"/>
  <c r="E173" i="6"/>
  <c r="E157" i="6"/>
  <c r="E158" i="5" l="1"/>
  <c r="G106" i="6"/>
  <c r="G107" i="6" s="1"/>
  <c r="G108" i="6" s="1"/>
  <c r="G107" i="5"/>
  <c r="G110" i="5" s="1"/>
  <c r="G124" i="5" s="1"/>
  <c r="G151" i="5" s="1"/>
  <c r="F126" i="5"/>
  <c r="F137" i="5" s="1"/>
  <c r="F155" i="5" s="1"/>
  <c r="F156" i="5" s="1"/>
  <c r="H3" i="7" s="1"/>
  <c r="I72" i="6"/>
  <c r="J71" i="6" s="1"/>
  <c r="G103" i="6"/>
  <c r="G104" i="6" s="1"/>
  <c r="E153" i="5"/>
  <c r="E154" i="5" s="1"/>
  <c r="N67" i="6"/>
  <c r="Q89" i="6"/>
  <c r="Q92" i="6" s="1"/>
  <c r="R91" i="6" s="1"/>
  <c r="P89" i="5"/>
  <c r="Q88" i="5" s="1"/>
  <c r="P87" i="5"/>
  <c r="G120" i="6"/>
  <c r="G114" i="6"/>
  <c r="G115" i="6" s="1"/>
  <c r="G112" i="6"/>
  <c r="G111" i="6"/>
  <c r="Q78" i="5"/>
  <c r="Q81" i="5"/>
  <c r="R80" i="5" s="1"/>
  <c r="R77" i="6"/>
  <c r="R80" i="6" s="1"/>
  <c r="S79" i="6" s="1"/>
  <c r="Q86" i="6"/>
  <c r="Q88" i="6" s="1"/>
  <c r="R87" i="6" s="1"/>
  <c r="R73" i="6"/>
  <c r="R76" i="6" s="1"/>
  <c r="S75" i="6" s="1"/>
  <c r="K142" i="6"/>
  <c r="K169" i="6"/>
  <c r="K170" i="6" s="1"/>
  <c r="K143" i="6"/>
  <c r="J141" i="6"/>
  <c r="E118" i="5"/>
  <c r="L4" i="7"/>
  <c r="K170" i="5"/>
  <c r="K171" i="5" s="1"/>
  <c r="K143" i="5"/>
  <c r="K144" i="5"/>
  <c r="J142" i="5"/>
  <c r="E175" i="6"/>
  <c r="D178" i="5"/>
  <c r="I124" i="6"/>
  <c r="I93" i="6"/>
  <c r="I163" i="6"/>
  <c r="E156" i="5"/>
  <c r="E159" i="5" s="1"/>
  <c r="O50" i="6"/>
  <c r="O52" i="6" s="1"/>
  <c r="O66" i="6" s="1"/>
  <c r="J70" i="6"/>
  <c r="J69" i="6" s="1"/>
  <c r="L5" i="7"/>
  <c r="L9" i="7" s="1"/>
  <c r="J66" i="5"/>
  <c r="J67" i="5" s="1"/>
  <c r="H106" i="5"/>
  <c r="F174" i="6"/>
  <c r="F116" i="6"/>
  <c r="F154" i="6"/>
  <c r="F138" i="6"/>
  <c r="R44" i="5"/>
  <c r="Q59" i="5"/>
  <c r="Q46" i="5"/>
  <c r="Q51" i="5" s="1"/>
  <c r="G121" i="5"/>
  <c r="G115" i="5"/>
  <c r="G116" i="5" s="1"/>
  <c r="G113" i="5"/>
  <c r="H86" i="5"/>
  <c r="I85" i="5" s="1"/>
  <c r="H73" i="5"/>
  <c r="I72" i="5" s="1"/>
  <c r="Q44" i="6"/>
  <c r="P59" i="6"/>
  <c r="P46" i="6"/>
  <c r="P51" i="6" s="1"/>
  <c r="P50" i="5"/>
  <c r="P52" i="5" s="1"/>
  <c r="R90" i="5"/>
  <c r="R93" i="5" s="1"/>
  <c r="S92" i="5" s="1"/>
  <c r="F117" i="5"/>
  <c r="F118" i="5" s="1"/>
  <c r="F175" i="5"/>
  <c r="G16" i="7"/>
  <c r="K13" i="7"/>
  <c r="I68" i="5"/>
  <c r="H125" i="5"/>
  <c r="H164" i="5"/>
  <c r="H94" i="5"/>
  <c r="H95" i="5" s="1"/>
  <c r="Q74" i="5"/>
  <c r="Q77" i="5" s="1"/>
  <c r="R76" i="5" s="1"/>
  <c r="H103" i="5"/>
  <c r="H104" i="5" s="1"/>
  <c r="H105" i="5" s="1"/>
  <c r="H83" i="6"/>
  <c r="H82" i="6" s="1"/>
  <c r="H101" i="6" s="1"/>
  <c r="M6" i="7"/>
  <c r="L145" i="5"/>
  <c r="E153" i="6"/>
  <c r="E164" i="6"/>
  <c r="F151" i="6" s="1"/>
  <c r="G112" i="5"/>
  <c r="E174" i="5"/>
  <c r="F139" i="5" l="1"/>
  <c r="G126" i="5"/>
  <c r="G137" i="5" s="1"/>
  <c r="G108" i="5"/>
  <c r="G109" i="5" s="1"/>
  <c r="H107" i="5" s="1"/>
  <c r="H110" i="5" s="1"/>
  <c r="H124" i="5" s="1"/>
  <c r="H151" i="5" s="1"/>
  <c r="G109" i="6"/>
  <c r="G123" i="6" s="1"/>
  <c r="G150" i="6" s="1"/>
  <c r="H102" i="6"/>
  <c r="H110" i="6" s="1"/>
  <c r="H114" i="6" s="1"/>
  <c r="H115" i="6" s="1"/>
  <c r="F158" i="5"/>
  <c r="E165" i="5"/>
  <c r="E167" i="5" s="1"/>
  <c r="G174" i="6"/>
  <c r="G175" i="5"/>
  <c r="G118" i="5"/>
  <c r="S73" i="6"/>
  <c r="S76" i="6" s="1"/>
  <c r="T75" i="6" s="1"/>
  <c r="R86" i="6"/>
  <c r="R88" i="6" s="1"/>
  <c r="S87" i="6" s="1"/>
  <c r="F159" i="5"/>
  <c r="R74" i="5"/>
  <c r="R77" i="5" s="1"/>
  <c r="S76" i="5" s="1"/>
  <c r="F137" i="6"/>
  <c r="F173" i="6"/>
  <c r="F152" i="6"/>
  <c r="F153" i="6" s="1"/>
  <c r="S90" i="5"/>
  <c r="S93" i="5" s="1"/>
  <c r="T92" i="5" s="1"/>
  <c r="R92" i="6"/>
  <c r="S91" i="6" s="1"/>
  <c r="R89" i="6"/>
  <c r="S80" i="6"/>
  <c r="T79" i="6" s="1"/>
  <c r="S77" i="6"/>
  <c r="J124" i="6"/>
  <c r="J93" i="6"/>
  <c r="F155" i="6"/>
  <c r="J72" i="6"/>
  <c r="K71" i="6" s="1"/>
  <c r="F157" i="6"/>
  <c r="O67" i="6"/>
  <c r="Q89" i="5"/>
  <c r="R88" i="5" s="1"/>
  <c r="Q87" i="5"/>
  <c r="E176" i="5"/>
  <c r="P50" i="6"/>
  <c r="P52" i="6" s="1"/>
  <c r="P66" i="6" s="1"/>
  <c r="F117" i="6"/>
  <c r="G117" i="6" s="1"/>
  <c r="G116" i="6"/>
  <c r="M5" i="7"/>
  <c r="M9" i="7" s="1"/>
  <c r="K66" i="5"/>
  <c r="K67" i="5" s="1"/>
  <c r="R78" i="5"/>
  <c r="R81" i="5" s="1"/>
  <c r="S80" i="5" s="1"/>
  <c r="H105" i="6"/>
  <c r="H106" i="6" s="1"/>
  <c r="H85" i="6"/>
  <c r="I84" i="6" s="1"/>
  <c r="E166" i="6"/>
  <c r="E177" i="6" s="1"/>
  <c r="G3" i="7"/>
  <c r="S44" i="5"/>
  <c r="R59" i="5"/>
  <c r="R46" i="5"/>
  <c r="R50" i="5" s="1"/>
  <c r="H97" i="5"/>
  <c r="H101" i="5"/>
  <c r="H111" i="5" s="1"/>
  <c r="I71" i="5"/>
  <c r="I70" i="5" s="1"/>
  <c r="Q50" i="5"/>
  <c r="Q52" i="5" s="1"/>
  <c r="I100" i="6"/>
  <c r="I96" i="6"/>
  <c r="I94" i="6"/>
  <c r="I95" i="6"/>
  <c r="M4" i="7"/>
  <c r="L143" i="5"/>
  <c r="L170" i="5"/>
  <c r="L171" i="5" s="1"/>
  <c r="L144" i="5"/>
  <c r="K142" i="5"/>
  <c r="L143" i="6"/>
  <c r="L142" i="6"/>
  <c r="L169" i="6"/>
  <c r="L170" i="6" s="1"/>
  <c r="K141" i="6"/>
  <c r="N6" i="7"/>
  <c r="M145" i="5"/>
  <c r="R44" i="6"/>
  <c r="Q59" i="6"/>
  <c r="Q46" i="6"/>
  <c r="Q51" i="6" s="1"/>
  <c r="J163" i="6"/>
  <c r="H96" i="5"/>
  <c r="I84" i="5"/>
  <c r="I83" i="5" s="1"/>
  <c r="I102" i="5" s="1"/>
  <c r="L13" i="7"/>
  <c r="J68" i="5"/>
  <c r="G117" i="5"/>
  <c r="R51" i="5" l="1"/>
  <c r="R52" i="5" s="1"/>
  <c r="G139" i="5"/>
  <c r="G155" i="5"/>
  <c r="G156" i="5" s="1"/>
  <c r="G159" i="5" s="1"/>
  <c r="H109" i="6"/>
  <c r="H123" i="6" s="1"/>
  <c r="H150" i="6" s="1"/>
  <c r="H112" i="6"/>
  <c r="H120" i="6"/>
  <c r="G125" i="6"/>
  <c r="G136" i="6" s="1"/>
  <c r="G138" i="6" s="1"/>
  <c r="H103" i="6"/>
  <c r="H104" i="6" s="1"/>
  <c r="H111" i="6"/>
  <c r="I73" i="5"/>
  <c r="J72" i="5" s="1"/>
  <c r="J71" i="5" s="1"/>
  <c r="J70" i="5" s="1"/>
  <c r="I86" i="5"/>
  <c r="J85" i="5" s="1"/>
  <c r="J84" i="5" s="1"/>
  <c r="J83" i="5" s="1"/>
  <c r="J102" i="5" s="1"/>
  <c r="F164" i="6"/>
  <c r="F152" i="5"/>
  <c r="F174" i="5" s="1"/>
  <c r="F176" i="5" s="1"/>
  <c r="H174" i="6"/>
  <c r="Q50" i="6"/>
  <c r="Q52" i="6" s="1"/>
  <c r="Q66" i="6" s="1"/>
  <c r="Q67" i="6" s="1"/>
  <c r="S78" i="5"/>
  <c r="S81" i="5" s="1"/>
  <c r="T80" i="5" s="1"/>
  <c r="S86" i="6"/>
  <c r="S88" i="6" s="1"/>
  <c r="T87" i="6" s="1"/>
  <c r="S74" i="5"/>
  <c r="S77" i="5" s="1"/>
  <c r="T76" i="5" s="1"/>
  <c r="T93" i="5"/>
  <c r="U92" i="5" s="1"/>
  <c r="T90" i="5"/>
  <c r="T73" i="6"/>
  <c r="T76" i="6" s="1"/>
  <c r="U75" i="6" s="1"/>
  <c r="R87" i="5"/>
  <c r="R89" i="5" s="1"/>
  <c r="S88" i="5" s="1"/>
  <c r="S89" i="6"/>
  <c r="S92" i="6" s="1"/>
  <c r="T91" i="6" s="1"/>
  <c r="H121" i="5"/>
  <c r="H126" i="5" s="1"/>
  <c r="H137" i="5" s="1"/>
  <c r="H115" i="5"/>
  <c r="H116" i="5" s="1"/>
  <c r="H175" i="5" s="1"/>
  <c r="H113" i="5"/>
  <c r="H107" i="6"/>
  <c r="H108" i="6" s="1"/>
  <c r="H16" i="7"/>
  <c r="F158" i="6"/>
  <c r="J94" i="6"/>
  <c r="J95" i="6"/>
  <c r="E178" i="5"/>
  <c r="J100" i="6"/>
  <c r="J96" i="6"/>
  <c r="P67" i="6"/>
  <c r="M143" i="6"/>
  <c r="M169" i="6"/>
  <c r="M170" i="6" s="1"/>
  <c r="M142" i="6"/>
  <c r="L141" i="6"/>
  <c r="I106" i="5"/>
  <c r="H112" i="5"/>
  <c r="F175" i="6"/>
  <c r="H108" i="5"/>
  <c r="H109" i="5" s="1"/>
  <c r="N5" i="7"/>
  <c r="N9" i="7" s="1"/>
  <c r="L66" i="5"/>
  <c r="L67" i="5" s="1"/>
  <c r="T44" i="5"/>
  <c r="S46" i="5"/>
  <c r="S50" i="5" s="1"/>
  <c r="S59" i="5"/>
  <c r="M13" i="7"/>
  <c r="K68" i="5"/>
  <c r="I125" i="5"/>
  <c r="I94" i="5"/>
  <c r="S44" i="6"/>
  <c r="R59" i="6"/>
  <c r="R46" i="6"/>
  <c r="R51" i="6" s="1"/>
  <c r="N4" i="7"/>
  <c r="M170" i="5"/>
  <c r="M171" i="5" s="1"/>
  <c r="M143" i="5"/>
  <c r="M144" i="5"/>
  <c r="L142" i="5"/>
  <c r="I83" i="6"/>
  <c r="I82" i="6" s="1"/>
  <c r="I101" i="6" s="1"/>
  <c r="T77" i="6"/>
  <c r="T80" i="6" s="1"/>
  <c r="U79" i="6" s="1"/>
  <c r="I164" i="5"/>
  <c r="O6" i="7"/>
  <c r="N145" i="5"/>
  <c r="K70" i="6"/>
  <c r="K69" i="6" s="1"/>
  <c r="I103" i="5"/>
  <c r="I104" i="5" s="1"/>
  <c r="I105" i="5" s="1"/>
  <c r="G158" i="5" l="1"/>
  <c r="H139" i="5"/>
  <c r="H125" i="6"/>
  <c r="H136" i="6" s="1"/>
  <c r="H138" i="6" s="1"/>
  <c r="G154" i="6"/>
  <c r="G155" i="6" s="1"/>
  <c r="I16" i="7" s="1"/>
  <c r="G151" i="6"/>
  <c r="G137" i="6" s="1"/>
  <c r="I102" i="6"/>
  <c r="I110" i="6" s="1"/>
  <c r="I111" i="6" s="1"/>
  <c r="F153" i="5"/>
  <c r="F165" i="5" s="1"/>
  <c r="F138" i="5"/>
  <c r="J86" i="5"/>
  <c r="K85" i="5" s="1"/>
  <c r="K84" i="5" s="1"/>
  <c r="K83" i="5" s="1"/>
  <c r="K102" i="5" s="1"/>
  <c r="K72" i="6"/>
  <c r="L71" i="6" s="1"/>
  <c r="L70" i="6" s="1"/>
  <c r="L69" i="6" s="1"/>
  <c r="F166" i="6"/>
  <c r="F177" i="6" s="1"/>
  <c r="R50" i="6"/>
  <c r="R52" i="6" s="1"/>
  <c r="R66" i="6" s="1"/>
  <c r="S51" i="5"/>
  <c r="S52" i="5" s="1"/>
  <c r="S87" i="5"/>
  <c r="S89" i="5" s="1"/>
  <c r="T88" i="5" s="1"/>
  <c r="U73" i="6"/>
  <c r="U76" i="6" s="1"/>
  <c r="V75" i="6" s="1"/>
  <c r="T86" i="6"/>
  <c r="T88" i="6"/>
  <c r="U87" i="6" s="1"/>
  <c r="T89" i="6"/>
  <c r="T92" i="6" s="1"/>
  <c r="U91" i="6" s="1"/>
  <c r="U77" i="6"/>
  <c r="U80" i="6"/>
  <c r="V79" i="6" s="1"/>
  <c r="J103" i="5"/>
  <c r="J104" i="5" s="1"/>
  <c r="J105" i="5" s="1"/>
  <c r="T74" i="5"/>
  <c r="T77" i="5" s="1"/>
  <c r="U76" i="5" s="1"/>
  <c r="T78" i="5"/>
  <c r="T81" i="5" s="1"/>
  <c r="U80" i="5" s="1"/>
  <c r="U90" i="5"/>
  <c r="U93" i="5"/>
  <c r="V92" i="5" s="1"/>
  <c r="J164" i="5"/>
  <c r="O5" i="7"/>
  <c r="O9" i="7" s="1"/>
  <c r="M66" i="5"/>
  <c r="M67" i="5" s="1"/>
  <c r="I3" i="7"/>
  <c r="H155" i="5"/>
  <c r="N13" i="7"/>
  <c r="L68" i="5"/>
  <c r="J106" i="5"/>
  <c r="U44" i="5"/>
  <c r="T59" i="5"/>
  <c r="T46" i="5"/>
  <c r="T51" i="5" s="1"/>
  <c r="N169" i="6"/>
  <c r="N170" i="6" s="1"/>
  <c r="N143" i="6"/>
  <c r="N142" i="6"/>
  <c r="M141" i="6"/>
  <c r="K124" i="6"/>
  <c r="K93" i="6"/>
  <c r="K94" i="6" s="1"/>
  <c r="O4" i="7"/>
  <c r="N143" i="5"/>
  <c r="N170" i="5"/>
  <c r="N171" i="5" s="1"/>
  <c r="N144" i="5"/>
  <c r="M142" i="5"/>
  <c r="I107" i="5"/>
  <c r="I110" i="5" s="1"/>
  <c r="I124" i="5" s="1"/>
  <c r="I151" i="5" s="1"/>
  <c r="I105" i="6"/>
  <c r="I85" i="6"/>
  <c r="J84" i="6" s="1"/>
  <c r="K163" i="6"/>
  <c r="J125" i="5"/>
  <c r="J94" i="5"/>
  <c r="I97" i="5"/>
  <c r="I101" i="5"/>
  <c r="I111" i="5" s="1"/>
  <c r="I112" i="5" s="1"/>
  <c r="I95" i="5"/>
  <c r="I96" i="5"/>
  <c r="P6" i="7"/>
  <c r="O145" i="5"/>
  <c r="J73" i="5"/>
  <c r="K72" i="5" s="1"/>
  <c r="T44" i="6"/>
  <c r="S59" i="6"/>
  <c r="S46" i="6"/>
  <c r="S51" i="6" s="1"/>
  <c r="H158" i="5" l="1"/>
  <c r="H154" i="6"/>
  <c r="H155" i="6" s="1"/>
  <c r="G157" i="6"/>
  <c r="H157" i="6" s="1"/>
  <c r="G152" i="6"/>
  <c r="G153" i="6" s="1"/>
  <c r="I103" i="6"/>
  <c r="I104" i="6" s="1"/>
  <c r="G173" i="6"/>
  <c r="G175" i="6" s="1"/>
  <c r="G158" i="6"/>
  <c r="I112" i="6"/>
  <c r="I114" i="6"/>
  <c r="I115" i="6" s="1"/>
  <c r="I174" i="6" s="1"/>
  <c r="I120" i="6"/>
  <c r="F154" i="5"/>
  <c r="K86" i="5"/>
  <c r="L85" i="5" s="1"/>
  <c r="L72" i="6"/>
  <c r="M71" i="6" s="1"/>
  <c r="M70" i="6" s="1"/>
  <c r="M69" i="6" s="1"/>
  <c r="T50" i="5"/>
  <c r="K103" i="5"/>
  <c r="K104" i="5" s="1"/>
  <c r="K105" i="5" s="1"/>
  <c r="U74" i="5"/>
  <c r="U77" i="5" s="1"/>
  <c r="V76" i="5" s="1"/>
  <c r="V73" i="6"/>
  <c r="V76" i="6" s="1"/>
  <c r="W75" i="6" s="1"/>
  <c r="U81" i="5"/>
  <c r="V80" i="5" s="1"/>
  <c r="U78" i="5"/>
  <c r="U92" i="6"/>
  <c r="V91" i="6" s="1"/>
  <c r="U89" i="6"/>
  <c r="T87" i="5"/>
  <c r="T89" i="5" s="1"/>
  <c r="U88" i="5" s="1"/>
  <c r="V44" i="5"/>
  <c r="U59" i="5"/>
  <c r="U46" i="5"/>
  <c r="U51" i="5" s="1"/>
  <c r="I108" i="5"/>
  <c r="I109" i="5" s="1"/>
  <c r="J101" i="5"/>
  <c r="J111" i="5" s="1"/>
  <c r="J112" i="5" s="1"/>
  <c r="J97" i="5"/>
  <c r="T52" i="5"/>
  <c r="H156" i="5"/>
  <c r="U86" i="6"/>
  <c r="U88" i="6"/>
  <c r="V87" i="6" s="1"/>
  <c r="Q6" i="7"/>
  <c r="P145" i="5"/>
  <c r="F167" i="5"/>
  <c r="F178" i="5" s="1"/>
  <c r="G152" i="5"/>
  <c r="V90" i="5"/>
  <c r="V93" i="5"/>
  <c r="W92" i="5" s="1"/>
  <c r="K100" i="6"/>
  <c r="K96" i="6"/>
  <c r="K95" i="6"/>
  <c r="P5" i="7"/>
  <c r="P9" i="7" s="1"/>
  <c r="N66" i="5"/>
  <c r="N67" i="5" s="1"/>
  <c r="O143" i="6"/>
  <c r="O169" i="6"/>
  <c r="O170" i="6" s="1"/>
  <c r="O142" i="6"/>
  <c r="N141" i="6"/>
  <c r="S50" i="6"/>
  <c r="S52" i="6" s="1"/>
  <c r="S66" i="6" s="1"/>
  <c r="R67" i="6"/>
  <c r="L124" i="6"/>
  <c r="L93" i="6"/>
  <c r="L94" i="6" s="1"/>
  <c r="P4" i="7"/>
  <c r="O143" i="5"/>
  <c r="O170" i="5"/>
  <c r="O171" i="5" s="1"/>
  <c r="O144" i="5"/>
  <c r="N142" i="5"/>
  <c r="O13" i="7"/>
  <c r="M68" i="5"/>
  <c r="L163" i="6"/>
  <c r="U44" i="6"/>
  <c r="T59" i="6"/>
  <c r="T46" i="6"/>
  <c r="T50" i="6" s="1"/>
  <c r="I106" i="6"/>
  <c r="I109" i="6" s="1"/>
  <c r="I123" i="6" s="1"/>
  <c r="I150" i="6" s="1"/>
  <c r="K106" i="5"/>
  <c r="V77" i="6"/>
  <c r="V80" i="6"/>
  <c r="W79" i="6" s="1"/>
  <c r="J96" i="5"/>
  <c r="J95" i="5"/>
  <c r="L84" i="5"/>
  <c r="L83" i="5" s="1"/>
  <c r="L102" i="5" s="1"/>
  <c r="K71" i="5"/>
  <c r="K70" i="5" s="1"/>
  <c r="K164" i="5" s="1"/>
  <c r="I121" i="5"/>
  <c r="I126" i="5" s="1"/>
  <c r="I137" i="5" s="1"/>
  <c r="I115" i="5"/>
  <c r="I116" i="5" s="1"/>
  <c r="I175" i="5" s="1"/>
  <c r="I113" i="5"/>
  <c r="J83" i="6"/>
  <c r="J82" i="6" s="1"/>
  <c r="J101" i="6" s="1"/>
  <c r="G164" i="6" l="1"/>
  <c r="G166" i="6" s="1"/>
  <c r="G177" i="6" s="1"/>
  <c r="J102" i="6"/>
  <c r="J110" i="6" s="1"/>
  <c r="J120" i="6" s="1"/>
  <c r="H158" i="6"/>
  <c r="J85" i="6"/>
  <c r="K84" i="6" s="1"/>
  <c r="K83" i="6" s="1"/>
  <c r="K82" i="6" s="1"/>
  <c r="K101" i="6" s="1"/>
  <c r="L95" i="6"/>
  <c r="I125" i="6"/>
  <c r="I136" i="6" s="1"/>
  <c r="I138" i="6" s="1"/>
  <c r="U50" i="5"/>
  <c r="I107" i="6"/>
  <c r="I108" i="6" s="1"/>
  <c r="U87" i="5"/>
  <c r="U89" i="5"/>
  <c r="V88" i="5" s="1"/>
  <c r="W73" i="6"/>
  <c r="W76" i="6" s="1"/>
  <c r="X75" i="6" s="1"/>
  <c r="V74" i="5"/>
  <c r="V77" i="5" s="1"/>
  <c r="W76" i="5" s="1"/>
  <c r="L103" i="5"/>
  <c r="L104" i="5" s="1"/>
  <c r="L105" i="5" s="1"/>
  <c r="P13" i="7"/>
  <c r="N68" i="5"/>
  <c r="V92" i="6"/>
  <c r="W91" i="6" s="1"/>
  <c r="V89" i="6"/>
  <c r="U52" i="5"/>
  <c r="I155" i="5"/>
  <c r="I139" i="5"/>
  <c r="T51" i="6"/>
  <c r="T52" i="6" s="1"/>
  <c r="T66" i="6" s="1"/>
  <c r="R6" i="7"/>
  <c r="Q145" i="5"/>
  <c r="V78" i="5"/>
  <c r="V81" i="5" s="1"/>
  <c r="W80" i="5" s="1"/>
  <c r="W77" i="6"/>
  <c r="W80" i="6"/>
  <c r="X79" i="6" s="1"/>
  <c r="Q5" i="7"/>
  <c r="Q9" i="7" s="1"/>
  <c r="O66" i="5"/>
  <c r="O67" i="5" s="1"/>
  <c r="V44" i="6"/>
  <c r="U59" i="6"/>
  <c r="U46" i="6"/>
  <c r="U50" i="6" s="1"/>
  <c r="V86" i="6"/>
  <c r="V88" i="6" s="1"/>
  <c r="W87" i="6" s="1"/>
  <c r="M163" i="6"/>
  <c r="Q4" i="7"/>
  <c r="P170" i="5"/>
  <c r="P171" i="5" s="1"/>
  <c r="P144" i="5"/>
  <c r="P143" i="5"/>
  <c r="O142" i="5"/>
  <c r="J113" i="5"/>
  <c r="J115" i="5"/>
  <c r="J116" i="5" s="1"/>
  <c r="J175" i="5" s="1"/>
  <c r="J121" i="5"/>
  <c r="J107" i="5"/>
  <c r="K125" i="5"/>
  <c r="K94" i="5"/>
  <c r="K96" i="5" s="1"/>
  <c r="S67" i="6"/>
  <c r="K73" i="5"/>
  <c r="L72" i="5" s="1"/>
  <c r="J105" i="6"/>
  <c r="L106" i="5"/>
  <c r="L100" i="6"/>
  <c r="L96" i="6"/>
  <c r="P143" i="6"/>
  <c r="P169" i="6"/>
  <c r="P170" i="6" s="1"/>
  <c r="P142" i="6"/>
  <c r="O141" i="6"/>
  <c r="W90" i="5"/>
  <c r="W93" i="5"/>
  <c r="X92" i="5" s="1"/>
  <c r="J3" i="7"/>
  <c r="H159" i="5"/>
  <c r="L86" i="5"/>
  <c r="M85" i="5" s="1"/>
  <c r="M72" i="6"/>
  <c r="N71" i="6" s="1"/>
  <c r="M124" i="6"/>
  <c r="M93" i="6"/>
  <c r="M95" i="6" s="1"/>
  <c r="G138" i="5"/>
  <c r="G153" i="5"/>
  <c r="G174" i="5"/>
  <c r="J16" i="7"/>
  <c r="W44" i="5"/>
  <c r="V59" i="5"/>
  <c r="V46" i="5"/>
  <c r="V50" i="5" s="1"/>
  <c r="J103" i="6" l="1"/>
  <c r="J104" i="6" s="1"/>
  <c r="K102" i="6" s="1"/>
  <c r="K110" i="6" s="1"/>
  <c r="J114" i="6"/>
  <c r="J115" i="6" s="1"/>
  <c r="J174" i="6" s="1"/>
  <c r="J111" i="6"/>
  <c r="J112" i="6"/>
  <c r="H151" i="6"/>
  <c r="H173" i="6" s="1"/>
  <c r="H175" i="6" s="1"/>
  <c r="I154" i="6"/>
  <c r="I157" i="6" s="1"/>
  <c r="J106" i="6"/>
  <c r="J109" i="6" s="1"/>
  <c r="J123" i="6" s="1"/>
  <c r="J150" i="6" s="1"/>
  <c r="U51" i="6"/>
  <c r="U52" i="6" s="1"/>
  <c r="U66" i="6" s="1"/>
  <c r="U67" i="6" s="1"/>
  <c r="T67" i="6"/>
  <c r="X73" i="6"/>
  <c r="X76" i="6"/>
  <c r="Y75" i="6" s="1"/>
  <c r="W74" i="5"/>
  <c r="W77" i="5" s="1"/>
  <c r="X76" i="5" s="1"/>
  <c r="W86" i="6"/>
  <c r="W88" i="6"/>
  <c r="X87" i="6" s="1"/>
  <c r="W78" i="5"/>
  <c r="W81" i="5"/>
  <c r="X80" i="5" s="1"/>
  <c r="W89" i="6"/>
  <c r="W92" i="6"/>
  <c r="X91" i="6" s="1"/>
  <c r="G176" i="5"/>
  <c r="K85" i="6"/>
  <c r="L84" i="6" s="1"/>
  <c r="W44" i="6"/>
  <c r="V59" i="6"/>
  <c r="V46" i="6"/>
  <c r="V50" i="6" s="1"/>
  <c r="G154" i="5"/>
  <c r="G165" i="5"/>
  <c r="M94" i="6"/>
  <c r="Q13" i="7"/>
  <c r="O68" i="5"/>
  <c r="S6" i="7"/>
  <c r="R145" i="5"/>
  <c r="I156" i="5"/>
  <c r="K3" i="7" s="1"/>
  <c r="I158" i="5"/>
  <c r="M84" i="5"/>
  <c r="M83" i="5" s="1"/>
  <c r="M102" i="5" s="1"/>
  <c r="L71" i="5"/>
  <c r="L70" i="5" s="1"/>
  <c r="K105" i="6"/>
  <c r="M100" i="6"/>
  <c r="M96" i="6"/>
  <c r="J110" i="5"/>
  <c r="J124" i="5" s="1"/>
  <c r="J151" i="5" s="1"/>
  <c r="J108" i="5"/>
  <c r="J109" i="5" s="1"/>
  <c r="X77" i="6"/>
  <c r="X80" i="6" s="1"/>
  <c r="Y79" i="6" s="1"/>
  <c r="V87" i="5"/>
  <c r="V89" i="5" s="1"/>
  <c r="W88" i="5" s="1"/>
  <c r="K101" i="5"/>
  <c r="K111" i="5" s="1"/>
  <c r="K97" i="5"/>
  <c r="V51" i="5"/>
  <c r="V52" i="5" s="1"/>
  <c r="X44" i="5"/>
  <c r="W59" i="5"/>
  <c r="W46" i="5"/>
  <c r="W50" i="5" s="1"/>
  <c r="Q142" i="6"/>
  <c r="Q169" i="6"/>
  <c r="Q170" i="6" s="1"/>
  <c r="Q143" i="6"/>
  <c r="P141" i="6"/>
  <c r="X90" i="5"/>
  <c r="X93" i="5"/>
  <c r="Y92" i="5" s="1"/>
  <c r="R4" i="7"/>
  <c r="Q170" i="5"/>
  <c r="Q171" i="5" s="1"/>
  <c r="Q144" i="5"/>
  <c r="Q143" i="5"/>
  <c r="P142" i="5"/>
  <c r="N70" i="6"/>
  <c r="N69" i="6" s="1"/>
  <c r="R5" i="7"/>
  <c r="R9" i="7" s="1"/>
  <c r="P66" i="5"/>
  <c r="P67" i="5" s="1"/>
  <c r="K95" i="5"/>
  <c r="H137" i="6" l="1"/>
  <c r="H152" i="6"/>
  <c r="H164" i="6" s="1"/>
  <c r="K111" i="6"/>
  <c r="I155" i="6"/>
  <c r="K16" i="7" s="1"/>
  <c r="N72" i="6"/>
  <c r="O71" i="6" s="1"/>
  <c r="J125" i="6"/>
  <c r="J136" i="6" s="1"/>
  <c r="J154" i="6" s="1"/>
  <c r="J155" i="6" s="1"/>
  <c r="L16" i="7" s="1"/>
  <c r="J107" i="6"/>
  <c r="J108" i="6" s="1"/>
  <c r="K106" i="6" s="1"/>
  <c r="K109" i="6" s="1"/>
  <c r="K123" i="6" s="1"/>
  <c r="K150" i="6" s="1"/>
  <c r="I159" i="5"/>
  <c r="W87" i="5"/>
  <c r="W89" i="5"/>
  <c r="X88" i="5" s="1"/>
  <c r="Y77" i="6"/>
  <c r="Y80" i="6"/>
  <c r="Z79" i="6" s="1"/>
  <c r="X74" i="5"/>
  <c r="X77" i="5"/>
  <c r="Y76" i="5" s="1"/>
  <c r="L83" i="6"/>
  <c r="L82" i="6" s="1"/>
  <c r="L101" i="6" s="1"/>
  <c r="M106" i="5"/>
  <c r="S5" i="7"/>
  <c r="S9" i="7" s="1"/>
  <c r="Q66" i="5"/>
  <c r="Q67" i="5" s="1"/>
  <c r="K107" i="5"/>
  <c r="Y73" i="6"/>
  <c r="Y76" i="6"/>
  <c r="Z75" i="6" s="1"/>
  <c r="X89" i="6"/>
  <c r="X92" i="6" s="1"/>
  <c r="Y91" i="6" s="1"/>
  <c r="K113" i="5"/>
  <c r="K121" i="5"/>
  <c r="K115" i="5"/>
  <c r="K116" i="5" s="1"/>
  <c r="K175" i="5" s="1"/>
  <c r="K112" i="5"/>
  <c r="Y44" i="5"/>
  <c r="X59" i="5"/>
  <c r="X46" i="5"/>
  <c r="X50" i="5" s="1"/>
  <c r="K103" i="6"/>
  <c r="K104" i="6" s="1"/>
  <c r="J126" i="5"/>
  <c r="J137" i="5" s="1"/>
  <c r="X44" i="6"/>
  <c r="W59" i="6"/>
  <c r="W46" i="6"/>
  <c r="W50" i="6" s="1"/>
  <c r="X78" i="5"/>
  <c r="X81" i="5" s="1"/>
  <c r="Y80" i="5" s="1"/>
  <c r="R13" i="7"/>
  <c r="P68" i="5"/>
  <c r="K120" i="6"/>
  <c r="K114" i="6"/>
  <c r="K115" i="6" s="1"/>
  <c r="K174" i="6" s="1"/>
  <c r="K112" i="6"/>
  <c r="W51" i="5"/>
  <c r="W52" i="5" s="1"/>
  <c r="Y90" i="5"/>
  <c r="Y93" i="5" s="1"/>
  <c r="Z92" i="5" s="1"/>
  <c r="T6" i="7"/>
  <c r="S145" i="5"/>
  <c r="G167" i="5"/>
  <c r="G178" i="5" s="1"/>
  <c r="H152" i="5"/>
  <c r="V51" i="6"/>
  <c r="V52" i="6" s="1"/>
  <c r="V66" i="6" s="1"/>
  <c r="N124" i="6"/>
  <c r="N93" i="6"/>
  <c r="N95" i="6" s="1"/>
  <c r="L125" i="5"/>
  <c r="L94" i="5"/>
  <c r="L96" i="5" s="1"/>
  <c r="L164" i="5"/>
  <c r="X86" i="6"/>
  <c r="X88" i="6"/>
  <c r="Y87" i="6" s="1"/>
  <c r="M103" i="5"/>
  <c r="M104" i="5" s="1"/>
  <c r="M105" i="5" s="1"/>
  <c r="S4" i="7"/>
  <c r="R170" i="5"/>
  <c r="R171" i="5" s="1"/>
  <c r="R144" i="5"/>
  <c r="R143" i="5"/>
  <c r="Q142" i="5"/>
  <c r="R142" i="6"/>
  <c r="R169" i="6"/>
  <c r="R170" i="6" s="1"/>
  <c r="R143" i="6"/>
  <c r="Q141" i="6"/>
  <c r="M86" i="5"/>
  <c r="N85" i="5" s="1"/>
  <c r="O70" i="6"/>
  <c r="O69" i="6" s="1"/>
  <c r="L73" i="5"/>
  <c r="M72" i="5" s="1"/>
  <c r="N163" i="6"/>
  <c r="H153" i="6" l="1"/>
  <c r="I158" i="6"/>
  <c r="J158" i="6" s="1"/>
  <c r="J138" i="6"/>
  <c r="H166" i="6"/>
  <c r="H177" i="6" s="1"/>
  <c r="I151" i="6"/>
  <c r="O72" i="6"/>
  <c r="P71" i="6" s="1"/>
  <c r="K107" i="6"/>
  <c r="K108" i="6" s="1"/>
  <c r="L95" i="5"/>
  <c r="Z90" i="5"/>
  <c r="Z93" i="5"/>
  <c r="AA92" i="5" s="1"/>
  <c r="Y78" i="5"/>
  <c r="Y81" i="5"/>
  <c r="Z80" i="5" s="1"/>
  <c r="Y92" i="6"/>
  <c r="Z91" i="6" s="1"/>
  <c r="Y89" i="6"/>
  <c r="L105" i="6"/>
  <c r="L85" i="6"/>
  <c r="M84" i="6" s="1"/>
  <c r="T4" i="7"/>
  <c r="S144" i="5"/>
  <c r="S143" i="5"/>
  <c r="S170" i="5"/>
  <c r="S171" i="5" s="1"/>
  <c r="R142" i="5"/>
  <c r="N96" i="6"/>
  <c r="N100" i="6"/>
  <c r="Y74" i="5"/>
  <c r="Y77" i="5"/>
  <c r="Z76" i="5" s="1"/>
  <c r="L102" i="6"/>
  <c r="L110" i="6" s="1"/>
  <c r="O124" i="6"/>
  <c r="O93" i="6"/>
  <c r="K110" i="5"/>
  <c r="K124" i="5" s="1"/>
  <c r="K151" i="5" s="1"/>
  <c r="K108" i="5"/>
  <c r="K109" i="5" s="1"/>
  <c r="V67" i="6"/>
  <c r="N84" i="5"/>
  <c r="N83" i="5" s="1"/>
  <c r="N102" i="5" s="1"/>
  <c r="Z44" i="5"/>
  <c r="Y59" i="5"/>
  <c r="Y46" i="5"/>
  <c r="Y50" i="5" s="1"/>
  <c r="X51" i="5"/>
  <c r="X52" i="5" s="1"/>
  <c r="Z73" i="6"/>
  <c r="Z76" i="6"/>
  <c r="AA75" i="6" s="1"/>
  <c r="T5" i="7"/>
  <c r="T9" i="7" s="1"/>
  <c r="R66" i="5"/>
  <c r="R67" i="5" s="1"/>
  <c r="U6" i="7"/>
  <c r="T145" i="5"/>
  <c r="S142" i="6"/>
  <c r="S143" i="6"/>
  <c r="S169" i="6"/>
  <c r="S170" i="6" s="1"/>
  <c r="R141" i="6"/>
  <c r="J157" i="6"/>
  <c r="Y86" i="6"/>
  <c r="Y88" i="6"/>
  <c r="Z87" i="6" s="1"/>
  <c r="S13" i="7"/>
  <c r="Q68" i="5"/>
  <c r="W51" i="6"/>
  <c r="W52" i="6" s="1"/>
  <c r="W66" i="6" s="1"/>
  <c r="O163" i="6"/>
  <c r="L101" i="5"/>
  <c r="L111" i="5" s="1"/>
  <c r="L112" i="5" s="1"/>
  <c r="L97" i="5"/>
  <c r="X87" i="5"/>
  <c r="X89" i="5"/>
  <c r="Y88" i="5" s="1"/>
  <c r="P70" i="6"/>
  <c r="P69" i="6" s="1"/>
  <c r="Y44" i="6"/>
  <c r="X59" i="6"/>
  <c r="X46" i="6"/>
  <c r="X50" i="6" s="1"/>
  <c r="Z77" i="6"/>
  <c r="Z80" i="6"/>
  <c r="AA79" i="6" s="1"/>
  <c r="K125" i="6"/>
  <c r="K136" i="6" s="1"/>
  <c r="H138" i="5"/>
  <c r="H153" i="5"/>
  <c r="H174" i="5"/>
  <c r="M71" i="5"/>
  <c r="M70" i="5" s="1"/>
  <c r="M164" i="5" s="1"/>
  <c r="N94" i="6"/>
  <c r="J155" i="5"/>
  <c r="J139" i="5"/>
  <c r="I137" i="6" l="1"/>
  <c r="I152" i="6"/>
  <c r="I173" i="6"/>
  <c r="I175" i="6" s="1"/>
  <c r="P72" i="6"/>
  <c r="Q71" i="6" s="1"/>
  <c r="Q70" i="6" s="1"/>
  <c r="Q69" i="6" s="1"/>
  <c r="K126" i="5"/>
  <c r="K137" i="5" s="1"/>
  <c r="K155" i="5" s="1"/>
  <c r="K156" i="5" s="1"/>
  <c r="M3" i="7" s="1"/>
  <c r="Y51" i="5"/>
  <c r="Y52" i="5" s="1"/>
  <c r="W67" i="6"/>
  <c r="O96" i="6"/>
  <c r="O100" i="6"/>
  <c r="U4" i="7"/>
  <c r="T144" i="5"/>
  <c r="T143" i="5"/>
  <c r="T170" i="5"/>
  <c r="T171" i="5" s="1"/>
  <c r="S142" i="5"/>
  <c r="J156" i="5"/>
  <c r="J158" i="5"/>
  <c r="T13" i="7"/>
  <c r="R68" i="5"/>
  <c r="W27" i="2"/>
  <c r="AA44" i="5"/>
  <c r="Z59" i="5"/>
  <c r="Z46" i="5"/>
  <c r="Z51" i="5" s="1"/>
  <c r="U5" i="7"/>
  <c r="U9" i="7" s="1"/>
  <c r="S66" i="5"/>
  <c r="S67" i="5" s="1"/>
  <c r="Z92" i="6"/>
  <c r="AA91" i="6" s="1"/>
  <c r="Z89" i="6"/>
  <c r="Z78" i="5"/>
  <c r="Z81" i="5" s="1"/>
  <c r="AA80" i="5" s="1"/>
  <c r="Y87" i="5"/>
  <c r="Y89" i="5"/>
  <c r="Z88" i="5" s="1"/>
  <c r="L112" i="6"/>
  <c r="L114" i="6"/>
  <c r="L115" i="6" s="1"/>
  <c r="L174" i="6" s="1"/>
  <c r="L120" i="6"/>
  <c r="L111" i="6"/>
  <c r="O95" i="6"/>
  <c r="O94" i="6"/>
  <c r="N106" i="5"/>
  <c r="M83" i="6"/>
  <c r="M82" i="6" s="1"/>
  <c r="M101" i="6" s="1"/>
  <c r="AA80" i="6"/>
  <c r="AB79" i="6" s="1"/>
  <c r="AA77" i="6"/>
  <c r="N86" i="5"/>
  <c r="O85" i="5" s="1"/>
  <c r="Z74" i="5"/>
  <c r="Z77" i="5"/>
  <c r="AA76" i="5" s="1"/>
  <c r="AA90" i="5"/>
  <c r="AA93" i="5"/>
  <c r="AB92" i="5" s="1"/>
  <c r="P124" i="6"/>
  <c r="P93" i="6"/>
  <c r="T169" i="6"/>
  <c r="T170" i="6" s="1"/>
  <c r="T142" i="6"/>
  <c r="T143" i="6"/>
  <c r="S141" i="6"/>
  <c r="L103" i="6"/>
  <c r="L104" i="6" s="1"/>
  <c r="AA73" i="6"/>
  <c r="AA76" i="6" s="1"/>
  <c r="AB75" i="6" s="1"/>
  <c r="Z86" i="6"/>
  <c r="Z88" i="6" s="1"/>
  <c r="AA87" i="6" s="1"/>
  <c r="K154" i="6"/>
  <c r="K155" i="6" s="1"/>
  <c r="M125" i="5"/>
  <c r="M94" i="5"/>
  <c r="K138" i="6"/>
  <c r="M73" i="5"/>
  <c r="N72" i="5" s="1"/>
  <c r="V6" i="7"/>
  <c r="U145" i="5"/>
  <c r="L107" i="5"/>
  <c r="N103" i="5"/>
  <c r="N104" i="5" s="1"/>
  <c r="N105" i="5" s="1"/>
  <c r="L106" i="6"/>
  <c r="L109" i="6" s="1"/>
  <c r="L123" i="6" s="1"/>
  <c r="L150" i="6" s="1"/>
  <c r="H176" i="5"/>
  <c r="Z44" i="6"/>
  <c r="Y59" i="6"/>
  <c r="Y46" i="6"/>
  <c r="Y51" i="6" s="1"/>
  <c r="H154" i="5"/>
  <c r="H165" i="5"/>
  <c r="X51" i="6"/>
  <c r="X52" i="6" s="1"/>
  <c r="X66" i="6" s="1"/>
  <c r="L113" i="5"/>
  <c r="L121" i="5"/>
  <c r="L115" i="5"/>
  <c r="L116" i="5" s="1"/>
  <c r="L175" i="5" s="1"/>
  <c r="P163" i="6"/>
  <c r="K139" i="5" l="1"/>
  <c r="I153" i="6"/>
  <c r="I164" i="6"/>
  <c r="L125" i="6"/>
  <c r="L136" i="6" s="1"/>
  <c r="L154" i="6" s="1"/>
  <c r="L155" i="6" s="1"/>
  <c r="N16" i="7" s="1"/>
  <c r="L107" i="6"/>
  <c r="L108" i="6" s="1"/>
  <c r="AB73" i="6"/>
  <c r="AB76" i="6" s="1"/>
  <c r="X67" i="6"/>
  <c r="AA88" i="6"/>
  <c r="AB87" i="6" s="1"/>
  <c r="AA86" i="6"/>
  <c r="AA78" i="5"/>
  <c r="AA81" i="5" s="1"/>
  <c r="AB80" i="5" s="1"/>
  <c r="AB77" i="6"/>
  <c r="AB80" i="6" s="1"/>
  <c r="V5" i="7"/>
  <c r="V9" i="7" s="1"/>
  <c r="T66" i="5"/>
  <c r="T67" i="5" s="1"/>
  <c r="M101" i="5"/>
  <c r="M111" i="5" s="1"/>
  <c r="M97" i="5"/>
  <c r="M95" i="5"/>
  <c r="M96" i="5"/>
  <c r="M102" i="6"/>
  <c r="M110" i="6" s="1"/>
  <c r="M111" i="6" s="1"/>
  <c r="U13" i="7"/>
  <c r="S68" i="5"/>
  <c r="M16" i="7"/>
  <c r="K158" i="6"/>
  <c r="U142" i="6"/>
  <c r="U169" i="6"/>
  <c r="U170" i="6" s="1"/>
  <c r="U143" i="6"/>
  <c r="T141" i="6"/>
  <c r="M105" i="6"/>
  <c r="O84" i="5"/>
  <c r="O83" i="5" s="1"/>
  <c r="O102" i="5" s="1"/>
  <c r="O103" i="5" s="1"/>
  <c r="M85" i="6"/>
  <c r="N84" i="6" s="1"/>
  <c r="Z87" i="5"/>
  <c r="Z89" i="5"/>
  <c r="AA88" i="5" s="1"/>
  <c r="K158" i="5"/>
  <c r="Y50" i="6"/>
  <c r="Y52" i="6" s="1"/>
  <c r="Y66" i="6" s="1"/>
  <c r="AA44" i="6"/>
  <c r="Z59" i="6"/>
  <c r="Z46" i="6"/>
  <c r="Z51" i="6" s="1"/>
  <c r="L3" i="7"/>
  <c r="J159" i="5"/>
  <c r="K159" i="5" s="1"/>
  <c r="K157" i="6"/>
  <c r="Q124" i="6"/>
  <c r="Q93" i="6"/>
  <c r="Z50" i="5"/>
  <c r="Z52" i="5" s="1"/>
  <c r="H167" i="5"/>
  <c r="H178" i="5" s="1"/>
  <c r="I152" i="5"/>
  <c r="Q163" i="6"/>
  <c r="AA89" i="6"/>
  <c r="AA92" i="6"/>
  <c r="AB91" i="6" s="1"/>
  <c r="P96" i="6"/>
  <c r="P100" i="6"/>
  <c r="N71" i="5"/>
  <c r="N70" i="5" s="1"/>
  <c r="AB90" i="5"/>
  <c r="AB93" i="5" s="1"/>
  <c r="P95" i="6"/>
  <c r="P94" i="6"/>
  <c r="Q72" i="6"/>
  <c r="R71" i="6" s="1"/>
  <c r="L110" i="5"/>
  <c r="L124" i="5" s="1"/>
  <c r="L151" i="5" s="1"/>
  <c r="L108" i="5"/>
  <c r="L109" i="5" s="1"/>
  <c r="AA74" i="5"/>
  <c r="AA77" i="5" s="1"/>
  <c r="AB76" i="5" s="1"/>
  <c r="W6" i="7"/>
  <c r="V145" i="5"/>
  <c r="AB44" i="5"/>
  <c r="AA59" i="5"/>
  <c r="AA46" i="5"/>
  <c r="AA50" i="5" s="1"/>
  <c r="V4" i="7"/>
  <c r="U170" i="5"/>
  <c r="U171" i="5" s="1"/>
  <c r="U143" i="5"/>
  <c r="U144" i="5"/>
  <c r="T142" i="5"/>
  <c r="M106" i="6" l="1"/>
  <c r="M109" i="6" s="1"/>
  <c r="M123" i="6" s="1"/>
  <c r="M150" i="6" s="1"/>
  <c r="L138" i="6"/>
  <c r="I166" i="6"/>
  <c r="I177" i="6" s="1"/>
  <c r="J151" i="6"/>
  <c r="M103" i="6"/>
  <c r="M104" i="6" s="1"/>
  <c r="L126" i="5"/>
  <c r="L137" i="5" s="1"/>
  <c r="L139" i="5" s="1"/>
  <c r="L157" i="6"/>
  <c r="AA51" i="5"/>
  <c r="AA52" i="5" s="1"/>
  <c r="L158" i="6"/>
  <c r="AB78" i="5"/>
  <c r="AB81" i="5"/>
  <c r="AB74" i="5"/>
  <c r="AB77" i="5"/>
  <c r="AB44" i="6"/>
  <c r="AA59" i="6"/>
  <c r="AA46" i="6"/>
  <c r="AA50" i="6" s="1"/>
  <c r="W5" i="7"/>
  <c r="W9" i="7" s="1"/>
  <c r="U66" i="5"/>
  <c r="U67" i="5" s="1"/>
  <c r="X6" i="7"/>
  <c r="W145" i="5"/>
  <c r="I138" i="5"/>
  <c r="I153" i="5"/>
  <c r="I174" i="5"/>
  <c r="Y67" i="6"/>
  <c r="AB86" i="6"/>
  <c r="AB88" i="6" s="1"/>
  <c r="N125" i="5"/>
  <c r="N94" i="5"/>
  <c r="N95" i="5" s="1"/>
  <c r="N164" i="5"/>
  <c r="M113" i="5"/>
  <c r="M121" i="5"/>
  <c r="M115" i="5"/>
  <c r="M116" i="5" s="1"/>
  <c r="M175" i="5" s="1"/>
  <c r="M112" i="5"/>
  <c r="N73" i="5"/>
  <c r="O72" i="5" s="1"/>
  <c r="V13" i="7"/>
  <c r="T68" i="5"/>
  <c r="V143" i="6"/>
  <c r="V169" i="6"/>
  <c r="V170" i="6" s="1"/>
  <c r="V142" i="6"/>
  <c r="U141" i="6"/>
  <c r="AB89" i="6"/>
  <c r="AB92" i="6" s="1"/>
  <c r="N83" i="6"/>
  <c r="N82" i="6" s="1"/>
  <c r="N101" i="6" s="1"/>
  <c r="W4" i="7"/>
  <c r="V170" i="5"/>
  <c r="V171" i="5" s="1"/>
  <c r="V143" i="5"/>
  <c r="V144" i="5"/>
  <c r="U142" i="5"/>
  <c r="O106" i="5"/>
  <c r="O104" i="5"/>
  <c r="O105" i="5" s="1"/>
  <c r="M112" i="6"/>
  <c r="M114" i="6"/>
  <c r="M115" i="6" s="1"/>
  <c r="M174" i="6" s="1"/>
  <c r="M120" i="6"/>
  <c r="AA87" i="5"/>
  <c r="AA89" i="5"/>
  <c r="AB88" i="5" s="1"/>
  <c r="M107" i="5"/>
  <c r="Q96" i="6"/>
  <c r="Q100" i="6"/>
  <c r="R70" i="6"/>
  <c r="R69" i="6" s="1"/>
  <c r="R163" i="6" s="1"/>
  <c r="Z50" i="6"/>
  <c r="Z52" i="6" s="1"/>
  <c r="Z66" i="6" s="1"/>
  <c r="AB59" i="5"/>
  <c r="AB46" i="5"/>
  <c r="AB50" i="5" s="1"/>
  <c r="Q95" i="6"/>
  <c r="Q94" i="6"/>
  <c r="O86" i="5"/>
  <c r="P85" i="5" s="1"/>
  <c r="M107" i="6" l="1"/>
  <c r="M108" i="6" s="1"/>
  <c r="M125" i="6"/>
  <c r="M136" i="6" s="1"/>
  <c r="M138" i="6" s="1"/>
  <c r="L155" i="5"/>
  <c r="L156" i="5" s="1"/>
  <c r="N3" i="7" s="1"/>
  <c r="N102" i="6"/>
  <c r="N110" i="6" s="1"/>
  <c r="N111" i="6" s="1"/>
  <c r="J173" i="6"/>
  <c r="J175" i="6" s="1"/>
  <c r="J137" i="6"/>
  <c r="J152" i="6"/>
  <c r="AA51" i="6"/>
  <c r="AA52" i="6" s="1"/>
  <c r="AA66" i="6" s="1"/>
  <c r="AA67" i="6" s="1"/>
  <c r="I176" i="5"/>
  <c r="AB51" i="5"/>
  <c r="AB52" i="5" s="1"/>
  <c r="X4" i="7"/>
  <c r="W170" i="5"/>
  <c r="W171" i="5" s="1"/>
  <c r="W144" i="5"/>
  <c r="W143" i="5"/>
  <c r="V142" i="5"/>
  <c r="I154" i="5"/>
  <c r="I165" i="5"/>
  <c r="N101" i="5"/>
  <c r="N111" i="5" s="1"/>
  <c r="N112" i="5" s="1"/>
  <c r="N97" i="5"/>
  <c r="N96" i="5"/>
  <c r="M110" i="5"/>
  <c r="M124" i="5" s="1"/>
  <c r="M151" i="5" s="1"/>
  <c r="M108" i="5"/>
  <c r="M109" i="5" s="1"/>
  <c r="X5" i="7"/>
  <c r="X9" i="7" s="1"/>
  <c r="V66" i="5"/>
  <c r="V67" i="5" s="1"/>
  <c r="R124" i="6"/>
  <c r="R93" i="6"/>
  <c r="R95" i="6" s="1"/>
  <c r="R72" i="6"/>
  <c r="S71" i="6" s="1"/>
  <c r="Y6" i="7"/>
  <c r="X145" i="5"/>
  <c r="AB87" i="5"/>
  <c r="AB89" i="5" s="1"/>
  <c r="Z67" i="6"/>
  <c r="W143" i="6"/>
  <c r="W169" i="6"/>
  <c r="W170" i="6" s="1"/>
  <c r="W142" i="6"/>
  <c r="V141" i="6"/>
  <c r="O71" i="5"/>
  <c r="O70" i="5" s="1"/>
  <c r="W13" i="7"/>
  <c r="U68" i="5"/>
  <c r="P84" i="5"/>
  <c r="P83" i="5" s="1"/>
  <c r="P102" i="5" s="1"/>
  <c r="N105" i="6"/>
  <c r="N85" i="6"/>
  <c r="O84" i="6" s="1"/>
  <c r="AB59" i="6"/>
  <c r="AB46" i="6"/>
  <c r="AB50" i="6" s="1"/>
  <c r="AB51" i="6" l="1"/>
  <c r="AB52" i="6" s="1"/>
  <c r="AB66" i="6" s="1"/>
  <c r="AB67" i="6" s="1"/>
  <c r="M154" i="6"/>
  <c r="M155" i="6" s="1"/>
  <c r="N120" i="6"/>
  <c r="N114" i="6"/>
  <c r="N115" i="6" s="1"/>
  <c r="N174" i="6" s="1"/>
  <c r="N112" i="6"/>
  <c r="L159" i="5"/>
  <c r="L158" i="5"/>
  <c r="N103" i="6"/>
  <c r="N104" i="6" s="1"/>
  <c r="J153" i="6"/>
  <c r="J164" i="6"/>
  <c r="R94" i="6"/>
  <c r="M126" i="5"/>
  <c r="M137" i="5" s="1"/>
  <c r="M155" i="5" s="1"/>
  <c r="I167" i="5"/>
  <c r="I178" i="5" s="1"/>
  <c r="J152" i="5"/>
  <c r="N107" i="5"/>
  <c r="N106" i="6"/>
  <c r="N109" i="6" s="1"/>
  <c r="N123" i="6" s="1"/>
  <c r="N150" i="6" s="1"/>
  <c r="Y4" i="7"/>
  <c r="X143" i="5"/>
  <c r="X170" i="5"/>
  <c r="X171" i="5" s="1"/>
  <c r="X144" i="5"/>
  <c r="W142" i="5"/>
  <c r="P106" i="5"/>
  <c r="P86" i="5"/>
  <c r="Q85" i="5" s="1"/>
  <c r="O125" i="5"/>
  <c r="O94" i="5"/>
  <c r="X169" i="6"/>
  <c r="X170" i="6" s="1"/>
  <c r="X143" i="6"/>
  <c r="X142" i="6"/>
  <c r="W141" i="6"/>
  <c r="O83" i="6"/>
  <c r="O82" i="6" s="1"/>
  <c r="O101" i="6" s="1"/>
  <c r="O73" i="5"/>
  <c r="P72" i="5" s="1"/>
  <c r="S70" i="6"/>
  <c r="S69" i="6" s="1"/>
  <c r="N113" i="5"/>
  <c r="N115" i="5"/>
  <c r="N116" i="5" s="1"/>
  <c r="N175" i="5" s="1"/>
  <c r="N121" i="5"/>
  <c r="R96" i="6"/>
  <c r="R100" i="6"/>
  <c r="Z6" i="7"/>
  <c r="Y145" i="5"/>
  <c r="Y5" i="7"/>
  <c r="Y9" i="7" s="1"/>
  <c r="W66" i="5"/>
  <c r="W67" i="5" s="1"/>
  <c r="P103" i="5"/>
  <c r="P104" i="5" s="1"/>
  <c r="P105" i="5" s="1"/>
  <c r="O164" i="5"/>
  <c r="X13" i="7"/>
  <c r="V68" i="5"/>
  <c r="M157" i="6" l="1"/>
  <c r="M139" i="5"/>
  <c r="O102" i="6"/>
  <c r="O110" i="6" s="1"/>
  <c r="O114" i="6" s="1"/>
  <c r="J166" i="6"/>
  <c r="J177" i="6" s="1"/>
  <c r="K151" i="6"/>
  <c r="S72" i="6"/>
  <c r="T71" i="6" s="1"/>
  <c r="T70" i="6" s="1"/>
  <c r="T69" i="6" s="1"/>
  <c r="N125" i="6"/>
  <c r="N136" i="6" s="1"/>
  <c r="N154" i="6" s="1"/>
  <c r="N155" i="6" s="1"/>
  <c r="P16" i="7" s="1"/>
  <c r="Z5" i="7"/>
  <c r="Z9" i="7" s="1"/>
  <c r="X66" i="5"/>
  <c r="X67" i="5" s="1"/>
  <c r="Z4" i="7"/>
  <c r="Y143" i="5"/>
  <c r="Y144" i="5"/>
  <c r="Y170" i="5"/>
  <c r="Y171" i="5" s="1"/>
  <c r="X142" i="5"/>
  <c r="P71" i="5"/>
  <c r="P70" i="5" s="1"/>
  <c r="O101" i="5"/>
  <c r="O111" i="5" s="1"/>
  <c r="O97" i="5"/>
  <c r="O96" i="5"/>
  <c r="O95" i="5"/>
  <c r="O16" i="7"/>
  <c r="M158" i="6"/>
  <c r="Q84" i="5"/>
  <c r="Q83" i="5" s="1"/>
  <c r="Q102" i="5" s="1"/>
  <c r="O105" i="6"/>
  <c r="Y13" i="7"/>
  <c r="W68" i="5"/>
  <c r="O85" i="6"/>
  <c r="P84" i="6" s="1"/>
  <c r="J138" i="5"/>
  <c r="J153" i="5"/>
  <c r="J174" i="5"/>
  <c r="AA6" i="7"/>
  <c r="Z145" i="5"/>
  <c r="Y143" i="6"/>
  <c r="Y142" i="6"/>
  <c r="Y169" i="6"/>
  <c r="Y170" i="6" s="1"/>
  <c r="X141" i="6"/>
  <c r="N110" i="5"/>
  <c r="N124" i="5" s="1"/>
  <c r="N151" i="5" s="1"/>
  <c r="N108" i="5"/>
  <c r="N109" i="5" s="1"/>
  <c r="M156" i="5"/>
  <c r="M158" i="5"/>
  <c r="S124" i="6"/>
  <c r="S93" i="6"/>
  <c r="S163" i="6"/>
  <c r="N107" i="6"/>
  <c r="N108" i="6" s="1"/>
  <c r="O120" i="6" l="1"/>
  <c r="O111" i="6"/>
  <c r="O103" i="6"/>
  <c r="O104" i="6" s="1"/>
  <c r="O112" i="6"/>
  <c r="O115" i="6"/>
  <c r="O174" i="6" s="1"/>
  <c r="K137" i="6"/>
  <c r="K152" i="6"/>
  <c r="K173" i="6"/>
  <c r="K175" i="6" s="1"/>
  <c r="Q86" i="5"/>
  <c r="R85" i="5" s="1"/>
  <c r="R84" i="5" s="1"/>
  <c r="R83" i="5" s="1"/>
  <c r="R102" i="5" s="1"/>
  <c r="N138" i="6"/>
  <c r="J154" i="5"/>
  <c r="J165" i="5"/>
  <c r="O3" i="7"/>
  <c r="M159" i="5"/>
  <c r="N126" i="5"/>
  <c r="N137" i="5" s="1"/>
  <c r="O107" i="5"/>
  <c r="AA5" i="7"/>
  <c r="AA9" i="7" s="1"/>
  <c r="Y66" i="5"/>
  <c r="Y67" i="5" s="1"/>
  <c r="O115" i="5"/>
  <c r="O116" i="5" s="1"/>
  <c r="O175" i="5" s="1"/>
  <c r="O113" i="5"/>
  <c r="O121" i="5"/>
  <c r="O112" i="5"/>
  <c r="P125" i="5"/>
  <c r="P94" i="5"/>
  <c r="P96" i="5" s="1"/>
  <c r="T72" i="6"/>
  <c r="U71" i="6" s="1"/>
  <c r="P83" i="6"/>
  <c r="P82" i="6" s="1"/>
  <c r="P101" i="6" s="1"/>
  <c r="O106" i="6"/>
  <c r="O109" i="6" s="1"/>
  <c r="O123" i="6" s="1"/>
  <c r="O150" i="6" s="1"/>
  <c r="T163" i="6"/>
  <c r="P73" i="5"/>
  <c r="Q72" i="5" s="1"/>
  <c r="S100" i="6"/>
  <c r="S96" i="6"/>
  <c r="S94" i="6"/>
  <c r="S95" i="6"/>
  <c r="P164" i="5"/>
  <c r="AB6" i="7"/>
  <c r="AA145" i="5"/>
  <c r="N158" i="6"/>
  <c r="N157" i="6"/>
  <c r="AA4" i="7"/>
  <c r="Z170" i="5"/>
  <c r="Z171" i="5" s="1"/>
  <c r="Z144" i="5"/>
  <c r="Z143" i="5"/>
  <c r="Y142" i="5"/>
  <c r="Z13" i="7"/>
  <c r="X68" i="5"/>
  <c r="Z143" i="6"/>
  <c r="Z142" i="6"/>
  <c r="Z169" i="6"/>
  <c r="Z170" i="6" s="1"/>
  <c r="Y141" i="6"/>
  <c r="T124" i="6"/>
  <c r="T93" i="6"/>
  <c r="J176" i="5"/>
  <c r="Q106" i="5"/>
  <c r="Q103" i="5"/>
  <c r="Q104" i="5" s="1"/>
  <c r="Q105" i="5" s="1"/>
  <c r="K153" i="6" l="1"/>
  <c r="K164" i="6"/>
  <c r="P95" i="5"/>
  <c r="R103" i="5"/>
  <c r="R104" i="5" s="1"/>
  <c r="R105" i="5" s="1"/>
  <c r="P105" i="6"/>
  <c r="T94" i="6"/>
  <c r="T95" i="6"/>
  <c r="P85" i="6"/>
  <c r="Q84" i="6" s="1"/>
  <c r="AA142" i="6"/>
  <c r="AA169" i="6"/>
  <c r="AA170" i="6" s="1"/>
  <c r="AA143" i="6"/>
  <c r="Z141" i="6"/>
  <c r="AB4" i="7"/>
  <c r="AA170" i="5"/>
  <c r="AA171" i="5" s="1"/>
  <c r="AA143" i="5"/>
  <c r="AA144" i="5"/>
  <c r="Z142" i="5"/>
  <c r="U70" i="6"/>
  <c r="U69" i="6" s="1"/>
  <c r="U163" i="6" s="1"/>
  <c r="R106" i="5"/>
  <c r="Q71" i="5"/>
  <c r="Q70" i="5" s="1"/>
  <c r="Q164" i="5" s="1"/>
  <c r="AB5" i="7"/>
  <c r="AB9" i="7" s="1"/>
  <c r="Z66" i="5"/>
  <c r="Z67" i="5" s="1"/>
  <c r="N155" i="5"/>
  <c r="N139" i="5"/>
  <c r="O125" i="6"/>
  <c r="O136" i="6" s="1"/>
  <c r="R86" i="5"/>
  <c r="S85" i="5" s="1"/>
  <c r="P102" i="6"/>
  <c r="P110" i="6" s="1"/>
  <c r="P101" i="5"/>
  <c r="P111" i="5" s="1"/>
  <c r="P97" i="5"/>
  <c r="J167" i="5"/>
  <c r="J178" i="5" s="1"/>
  <c r="K152" i="5"/>
  <c r="AA13" i="7"/>
  <c r="Y68" i="5"/>
  <c r="T100" i="6"/>
  <c r="T96" i="6"/>
  <c r="O107" i="6"/>
  <c r="O108" i="6" s="1"/>
  <c r="AC6" i="7"/>
  <c r="AB145" i="5"/>
  <c r="AD6" i="7" s="1"/>
  <c r="O110" i="5"/>
  <c r="O124" i="5" s="1"/>
  <c r="O151" i="5" s="1"/>
  <c r="O108" i="5"/>
  <c r="O109" i="5" s="1"/>
  <c r="P103" i="6" l="1"/>
  <c r="P104" i="6" s="1"/>
  <c r="K166" i="6"/>
  <c r="K177" i="6" s="1"/>
  <c r="L151" i="6"/>
  <c r="Q73" i="5"/>
  <c r="R72" i="5" s="1"/>
  <c r="R71" i="5" s="1"/>
  <c r="R70" i="5" s="1"/>
  <c r="R164" i="5" s="1"/>
  <c r="O126" i="5"/>
  <c r="O137" i="5" s="1"/>
  <c r="O139" i="5" s="1"/>
  <c r="K138" i="5"/>
  <c r="K153" i="5"/>
  <c r="K174" i="5"/>
  <c r="AB13" i="7"/>
  <c r="Z68" i="5"/>
  <c r="U124" i="6"/>
  <c r="U93" i="6"/>
  <c r="U94" i="6" s="1"/>
  <c r="P121" i="5"/>
  <c r="P113" i="5"/>
  <c r="P115" i="5"/>
  <c r="P116" i="5" s="1"/>
  <c r="P175" i="5" s="1"/>
  <c r="P114" i="6"/>
  <c r="P115" i="6" s="1"/>
  <c r="P174" i="6" s="1"/>
  <c r="P112" i="6"/>
  <c r="P120" i="6"/>
  <c r="P111" i="6"/>
  <c r="U72" i="6"/>
  <c r="V71" i="6" s="1"/>
  <c r="N156" i="5"/>
  <c r="N158" i="5"/>
  <c r="AB142" i="6"/>
  <c r="AB141" i="6" s="1"/>
  <c r="AB169" i="6"/>
  <c r="AB170" i="6" s="1"/>
  <c r="AB143" i="6"/>
  <c r="AA141" i="6"/>
  <c r="S84" i="5"/>
  <c r="S83" i="5" s="1"/>
  <c r="S102" i="5" s="1"/>
  <c r="P107" i="5"/>
  <c r="AC5" i="7"/>
  <c r="AC9" i="7" s="1"/>
  <c r="AA66" i="5"/>
  <c r="AA67" i="5" s="1"/>
  <c r="AC4" i="7"/>
  <c r="AB170" i="5"/>
  <c r="AB171" i="5" s="1"/>
  <c r="AB144" i="5"/>
  <c r="AB143" i="5"/>
  <c r="AA142" i="5"/>
  <c r="Q83" i="6"/>
  <c r="Q82" i="6" s="1"/>
  <c r="Q101" i="6" s="1"/>
  <c r="P112" i="5"/>
  <c r="O154" i="6"/>
  <c r="O138" i="6"/>
  <c r="P106" i="6"/>
  <c r="P109" i="6" s="1"/>
  <c r="P123" i="6" s="1"/>
  <c r="P150" i="6" s="1"/>
  <c r="Q125" i="5"/>
  <c r="Q94" i="5"/>
  <c r="O155" i="5" l="1"/>
  <c r="O156" i="5" s="1"/>
  <c r="Q3" i="7" s="1"/>
  <c r="L137" i="6"/>
  <c r="L152" i="6"/>
  <c r="L173" i="6"/>
  <c r="L175" i="6" s="1"/>
  <c r="K154" i="5"/>
  <c r="K165" i="5"/>
  <c r="S86" i="5"/>
  <c r="T85" i="5" s="1"/>
  <c r="Q101" i="5"/>
  <c r="Q111" i="5" s="1"/>
  <c r="Q97" i="5"/>
  <c r="Q96" i="5"/>
  <c r="Q95" i="5"/>
  <c r="Q105" i="6"/>
  <c r="Q85" i="6"/>
  <c r="R84" i="6" s="1"/>
  <c r="K176" i="5"/>
  <c r="P110" i="5"/>
  <c r="P124" i="5" s="1"/>
  <c r="P151" i="5" s="1"/>
  <c r="P108" i="5"/>
  <c r="P109" i="5" s="1"/>
  <c r="AD4" i="7"/>
  <c r="AB142" i="5"/>
  <c r="Q102" i="6"/>
  <c r="Q110" i="6" s="1"/>
  <c r="Q111" i="6" s="1"/>
  <c r="P3" i="7"/>
  <c r="N159" i="5"/>
  <c r="U100" i="6"/>
  <c r="U96" i="6"/>
  <c r="S106" i="5"/>
  <c r="AD5" i="7"/>
  <c r="AD9" i="7" s="1"/>
  <c r="AB66" i="5"/>
  <c r="AB67" i="5" s="1"/>
  <c r="R125" i="5"/>
  <c r="R94" i="5"/>
  <c r="V70" i="6"/>
  <c r="V69" i="6" s="1"/>
  <c r="R73" i="5"/>
  <c r="S72" i="5" s="1"/>
  <c r="O155" i="6"/>
  <c r="O157" i="6"/>
  <c r="AC13" i="7"/>
  <c r="AA68" i="5"/>
  <c r="P125" i="6"/>
  <c r="P136" i="6" s="1"/>
  <c r="U95" i="6"/>
  <c r="P107" i="6"/>
  <c r="P108" i="6" s="1"/>
  <c r="S103" i="5"/>
  <c r="S104" i="5" s="1"/>
  <c r="S105" i="5" s="1"/>
  <c r="O159" i="5" l="1"/>
  <c r="O158" i="5"/>
  <c r="L164" i="6"/>
  <c r="L153" i="6"/>
  <c r="Q103" i="6"/>
  <c r="Q104" i="6" s="1"/>
  <c r="P126" i="5"/>
  <c r="P137" i="5" s="1"/>
  <c r="S71" i="5"/>
  <c r="S70" i="5" s="1"/>
  <c r="V124" i="6"/>
  <c r="V93" i="6"/>
  <c r="V163" i="6"/>
  <c r="Q107" i="5"/>
  <c r="Q121" i="5"/>
  <c r="Q115" i="5"/>
  <c r="Q116" i="5" s="1"/>
  <c r="Q175" i="5" s="1"/>
  <c r="Q113" i="5"/>
  <c r="P154" i="6"/>
  <c r="P155" i="6" s="1"/>
  <c r="R16" i="7" s="1"/>
  <c r="V72" i="6"/>
  <c r="W71" i="6" s="1"/>
  <c r="P138" i="6"/>
  <c r="T84" i="5"/>
  <c r="T83" i="5" s="1"/>
  <c r="T102" i="5" s="1"/>
  <c r="R97" i="5"/>
  <c r="R101" i="5"/>
  <c r="R111" i="5" s="1"/>
  <c r="K167" i="5"/>
  <c r="K178" i="5" s="1"/>
  <c r="L152" i="5"/>
  <c r="Q106" i="6"/>
  <c r="Q109" i="6" s="1"/>
  <c r="Q123" i="6" s="1"/>
  <c r="Q150" i="6" s="1"/>
  <c r="AD13" i="7"/>
  <c r="AB68" i="5"/>
  <c r="R83" i="6"/>
  <c r="R82" i="6" s="1"/>
  <c r="R101" i="6" s="1"/>
  <c r="Q112" i="5"/>
  <c r="Q120" i="6"/>
  <c r="Q114" i="6"/>
  <c r="Q115" i="6" s="1"/>
  <c r="Q174" i="6" s="1"/>
  <c r="Q112" i="6"/>
  <c r="R95" i="5"/>
  <c r="R96" i="5"/>
  <c r="Q16" i="7"/>
  <c r="O158" i="6"/>
  <c r="Q125" i="6" l="1"/>
  <c r="Q136" i="6" s="1"/>
  <c r="Q154" i="6" s="1"/>
  <c r="Q155" i="6" s="1"/>
  <c r="S16" i="7" s="1"/>
  <c r="Q107" i="6"/>
  <c r="Q108" i="6" s="1"/>
  <c r="P157" i="6"/>
  <c r="L166" i="6"/>
  <c r="L177" i="6" s="1"/>
  <c r="M151" i="6"/>
  <c r="P158" i="6"/>
  <c r="R105" i="6"/>
  <c r="R85" i="6"/>
  <c r="S84" i="6" s="1"/>
  <c r="R121" i="5"/>
  <c r="R115" i="5"/>
  <c r="R116" i="5" s="1"/>
  <c r="R175" i="5" s="1"/>
  <c r="R113" i="5"/>
  <c r="X27" i="2"/>
  <c r="V100" i="6"/>
  <c r="V96" i="6"/>
  <c r="V95" i="6"/>
  <c r="V94" i="6"/>
  <c r="T106" i="5"/>
  <c r="R112" i="5"/>
  <c r="S73" i="5"/>
  <c r="T72" i="5" s="1"/>
  <c r="Q110" i="5"/>
  <c r="Q124" i="5" s="1"/>
  <c r="Q151" i="5" s="1"/>
  <c r="Q108" i="5"/>
  <c r="Q109" i="5" s="1"/>
  <c r="P155" i="5"/>
  <c r="P139" i="5"/>
  <c r="T86" i="5"/>
  <c r="U85" i="5" s="1"/>
  <c r="S125" i="5"/>
  <c r="S94" i="5"/>
  <c r="S164" i="5"/>
  <c r="R102" i="6"/>
  <c r="R110" i="6" s="1"/>
  <c r="L138" i="5"/>
  <c r="L153" i="5"/>
  <c r="L174" i="5"/>
  <c r="W70" i="6"/>
  <c r="W69" i="6" s="1"/>
  <c r="W163" i="6" s="1"/>
  <c r="T103" i="5"/>
  <c r="T104" i="5" s="1"/>
  <c r="T105" i="5" s="1"/>
  <c r="Q138" i="6" l="1"/>
  <c r="M173" i="6"/>
  <c r="M175" i="6" s="1"/>
  <c r="M137" i="6"/>
  <c r="M152" i="6"/>
  <c r="Q158" i="6"/>
  <c r="R120" i="6"/>
  <c r="R114" i="6"/>
  <c r="R115" i="6" s="1"/>
  <c r="R174" i="6" s="1"/>
  <c r="R112" i="6"/>
  <c r="R111" i="6"/>
  <c r="P156" i="5"/>
  <c r="P158" i="5"/>
  <c r="R107" i="5"/>
  <c r="S97" i="5"/>
  <c r="S101" i="5"/>
  <c r="S111" i="5" s="1"/>
  <c r="S96" i="5"/>
  <c r="W124" i="6"/>
  <c r="W93" i="6"/>
  <c r="U84" i="5"/>
  <c r="U83" i="5" s="1"/>
  <c r="U102" i="5" s="1"/>
  <c r="S95" i="5"/>
  <c r="W72" i="6"/>
  <c r="X71" i="6" s="1"/>
  <c r="Q126" i="5"/>
  <c r="Q137" i="5" s="1"/>
  <c r="Q139" i="5" s="1"/>
  <c r="L176" i="5"/>
  <c r="T71" i="5"/>
  <c r="T70" i="5" s="1"/>
  <c r="T164" i="5" s="1"/>
  <c r="S83" i="6"/>
  <c r="S82" i="6" s="1"/>
  <c r="S101" i="6" s="1"/>
  <c r="R103" i="6"/>
  <c r="R104" i="6" s="1"/>
  <c r="L154" i="5"/>
  <c r="L165" i="5"/>
  <c r="Q157" i="6"/>
  <c r="R106" i="6"/>
  <c r="R109" i="6" s="1"/>
  <c r="R123" i="6" s="1"/>
  <c r="R150" i="6" s="1"/>
  <c r="M153" i="6" l="1"/>
  <c r="M164" i="6"/>
  <c r="U106" i="5"/>
  <c r="S121" i="5"/>
  <c r="S115" i="5"/>
  <c r="S116" i="5" s="1"/>
  <c r="S175" i="5" s="1"/>
  <c r="S113" i="5"/>
  <c r="R3" i="7"/>
  <c r="P159" i="5"/>
  <c r="R107" i="6"/>
  <c r="R108" i="6" s="1"/>
  <c r="T125" i="5"/>
  <c r="T94" i="5"/>
  <c r="T96" i="5" s="1"/>
  <c r="T73" i="5"/>
  <c r="U72" i="5" s="1"/>
  <c r="R125" i="6"/>
  <c r="R136" i="6" s="1"/>
  <c r="L167" i="5"/>
  <c r="L178" i="5" s="1"/>
  <c r="M152" i="5"/>
  <c r="U86" i="5"/>
  <c r="V85" i="5" s="1"/>
  <c r="S102" i="6"/>
  <c r="S110" i="6" s="1"/>
  <c r="R110" i="5"/>
  <c r="R124" i="5" s="1"/>
  <c r="R108" i="5"/>
  <c r="R109" i="5" s="1"/>
  <c r="Q155" i="5"/>
  <c r="Q156" i="5" s="1"/>
  <c r="S3" i="7" s="1"/>
  <c r="W100" i="6"/>
  <c r="W96" i="6"/>
  <c r="S112" i="5"/>
  <c r="S105" i="6"/>
  <c r="W94" i="6"/>
  <c r="S85" i="6"/>
  <c r="T84" i="6" s="1"/>
  <c r="X70" i="6"/>
  <c r="X69" i="6" s="1"/>
  <c r="W95" i="6"/>
  <c r="U103" i="5"/>
  <c r="U104" i="5" s="1"/>
  <c r="U105" i="5" s="1"/>
  <c r="M166" i="6" l="1"/>
  <c r="M177" i="6" s="1"/>
  <c r="N151" i="6"/>
  <c r="U71" i="5"/>
  <c r="U70" i="5" s="1"/>
  <c r="S120" i="6"/>
  <c r="S114" i="6"/>
  <c r="S115" i="6" s="1"/>
  <c r="S174" i="6" s="1"/>
  <c r="S112" i="6"/>
  <c r="X124" i="6"/>
  <c r="X93" i="6"/>
  <c r="X95" i="6" s="1"/>
  <c r="X163" i="6"/>
  <c r="S111" i="6"/>
  <c r="X72" i="6"/>
  <c r="Y71" i="6" s="1"/>
  <c r="Q159" i="5"/>
  <c r="T95" i="5"/>
  <c r="Q158" i="5"/>
  <c r="T83" i="6"/>
  <c r="T82" i="6" s="1"/>
  <c r="T101" i="6" s="1"/>
  <c r="S107" i="5"/>
  <c r="S103" i="6"/>
  <c r="S104" i="6" s="1"/>
  <c r="V84" i="5"/>
  <c r="V83" i="5" s="1"/>
  <c r="V102" i="5" s="1"/>
  <c r="M138" i="5"/>
  <c r="M153" i="5"/>
  <c r="M174" i="5"/>
  <c r="T97" i="5"/>
  <c r="T101" i="5"/>
  <c r="T111" i="5" s="1"/>
  <c r="T112" i="5" s="1"/>
  <c r="S106" i="6"/>
  <c r="S109" i="6" s="1"/>
  <c r="S123" i="6" s="1"/>
  <c r="S150" i="6" s="1"/>
  <c r="R151" i="5"/>
  <c r="R126" i="5"/>
  <c r="R137" i="5" s="1"/>
  <c r="R154" i="6"/>
  <c r="R138" i="6"/>
  <c r="N137" i="6" l="1"/>
  <c r="N152" i="6"/>
  <c r="N173" i="6"/>
  <c r="N175" i="6" s="1"/>
  <c r="X94" i="6"/>
  <c r="S107" i="6"/>
  <c r="S108" i="6" s="1"/>
  <c r="T113" i="5"/>
  <c r="T121" i="5"/>
  <c r="T115" i="5"/>
  <c r="T116" i="5" s="1"/>
  <c r="T175" i="5" s="1"/>
  <c r="S110" i="5"/>
  <c r="S124" i="5" s="1"/>
  <c r="S108" i="5"/>
  <c r="S109" i="5" s="1"/>
  <c r="T102" i="6"/>
  <c r="T110" i="6" s="1"/>
  <c r="M176" i="5"/>
  <c r="S125" i="6"/>
  <c r="S136" i="6" s="1"/>
  <c r="R155" i="6"/>
  <c r="R157" i="6"/>
  <c r="V106" i="5"/>
  <c r="V103" i="5"/>
  <c r="V104" i="5" s="1"/>
  <c r="V105" i="5" s="1"/>
  <c r="U125" i="5"/>
  <c r="U94" i="5"/>
  <c r="U95" i="5" s="1"/>
  <c r="U164" i="5"/>
  <c r="T105" i="6"/>
  <c r="M154" i="5"/>
  <c r="M165" i="5"/>
  <c r="T85" i="6"/>
  <c r="U84" i="6" s="1"/>
  <c r="Y70" i="6"/>
  <c r="Y69" i="6" s="1"/>
  <c r="R155" i="5"/>
  <c r="R156" i="5" s="1"/>
  <c r="T3" i="7" s="1"/>
  <c r="R139" i="5"/>
  <c r="V86" i="5"/>
  <c r="W85" i="5" s="1"/>
  <c r="X96" i="6"/>
  <c r="X100" i="6"/>
  <c r="U73" i="5"/>
  <c r="V72" i="5" s="1"/>
  <c r="N153" i="6" l="1"/>
  <c r="N164" i="6"/>
  <c r="T107" i="5"/>
  <c r="S151" i="5"/>
  <c r="S126" i="5"/>
  <c r="S137" i="5" s="1"/>
  <c r="V71" i="5"/>
  <c r="V70" i="5" s="1"/>
  <c r="V164" i="5" s="1"/>
  <c r="R158" i="5"/>
  <c r="U97" i="5"/>
  <c r="U101" i="5"/>
  <c r="U111" i="5" s="1"/>
  <c r="Y124" i="6"/>
  <c r="Y93" i="6"/>
  <c r="Y72" i="6"/>
  <c r="Z71" i="6" s="1"/>
  <c r="U83" i="6"/>
  <c r="U82" i="6" s="1"/>
  <c r="U101" i="6" s="1"/>
  <c r="Y163" i="6"/>
  <c r="T16" i="7"/>
  <c r="R158" i="6"/>
  <c r="T106" i="6"/>
  <c r="T109" i="6" s="1"/>
  <c r="T123" i="6" s="1"/>
  <c r="T150" i="6" s="1"/>
  <c r="S154" i="6"/>
  <c r="S155" i="6" s="1"/>
  <c r="U16" i="7" s="1"/>
  <c r="W84" i="5"/>
  <c r="W83" i="5" s="1"/>
  <c r="W102" i="5" s="1"/>
  <c r="T114" i="6"/>
  <c r="T115" i="6" s="1"/>
  <c r="T174" i="6" s="1"/>
  <c r="T112" i="6"/>
  <c r="T120" i="6"/>
  <c r="M167" i="5"/>
  <c r="M178" i="5" s="1"/>
  <c r="N152" i="5"/>
  <c r="S138" i="6"/>
  <c r="T111" i="6"/>
  <c r="T103" i="6"/>
  <c r="T104" i="6" s="1"/>
  <c r="R159" i="5"/>
  <c r="U96" i="5"/>
  <c r="N166" i="6" l="1"/>
  <c r="N177" i="6" s="1"/>
  <c r="O151" i="6"/>
  <c r="S158" i="6"/>
  <c r="S157" i="6"/>
  <c r="Y96" i="6"/>
  <c r="Y100" i="6"/>
  <c r="Y95" i="6"/>
  <c r="Y94" i="6"/>
  <c r="S155" i="5"/>
  <c r="S156" i="5" s="1"/>
  <c r="U3" i="7" s="1"/>
  <c r="U121" i="5"/>
  <c r="U115" i="5"/>
  <c r="U116" i="5" s="1"/>
  <c r="U175" i="5" s="1"/>
  <c r="U113" i="5"/>
  <c r="U112" i="5"/>
  <c r="W86" i="5"/>
  <c r="X85" i="5" s="1"/>
  <c r="T110" i="5"/>
  <c r="T124" i="5" s="1"/>
  <c r="T108" i="5"/>
  <c r="T109" i="5" s="1"/>
  <c r="V125" i="5"/>
  <c r="V94" i="5"/>
  <c r="S139" i="5"/>
  <c r="T125" i="6"/>
  <c r="T136" i="6" s="1"/>
  <c r="T138" i="6" s="1"/>
  <c r="U102" i="6"/>
  <c r="U110" i="6" s="1"/>
  <c r="Z70" i="6"/>
  <c r="Z69" i="6" s="1"/>
  <c r="N138" i="5"/>
  <c r="N153" i="5"/>
  <c r="N174" i="5"/>
  <c r="W106" i="5"/>
  <c r="U105" i="6"/>
  <c r="V73" i="5"/>
  <c r="W72" i="5" s="1"/>
  <c r="W103" i="5"/>
  <c r="W104" i="5" s="1"/>
  <c r="W105" i="5" s="1"/>
  <c r="U85" i="6"/>
  <c r="V84" i="6" s="1"/>
  <c r="T107" i="6"/>
  <c r="T108" i="6" s="1"/>
  <c r="O152" i="6" l="1"/>
  <c r="O173" i="6"/>
  <c r="O175" i="6" s="1"/>
  <c r="O137" i="6"/>
  <c r="U103" i="6"/>
  <c r="U104" i="6" s="1"/>
  <c r="S158" i="5"/>
  <c r="S159" i="5"/>
  <c r="N154" i="5"/>
  <c r="N165" i="5"/>
  <c r="W71" i="5"/>
  <c r="W70" i="5" s="1"/>
  <c r="V83" i="6"/>
  <c r="V82" i="6" s="1"/>
  <c r="V101" i="6" s="1"/>
  <c r="U106" i="6"/>
  <c r="U109" i="6" s="1"/>
  <c r="U123" i="6" s="1"/>
  <c r="U150" i="6" s="1"/>
  <c r="Z124" i="6"/>
  <c r="Z93" i="6"/>
  <c r="Z94" i="6" s="1"/>
  <c r="Z72" i="6"/>
  <c r="AA71" i="6" s="1"/>
  <c r="U107" i="5"/>
  <c r="Z163" i="6"/>
  <c r="U112" i="6"/>
  <c r="U120" i="6"/>
  <c r="U114" i="6"/>
  <c r="U115" i="6" s="1"/>
  <c r="U174" i="6" s="1"/>
  <c r="T151" i="5"/>
  <c r="T126" i="5"/>
  <c r="T137" i="5" s="1"/>
  <c r="T139" i="5" s="1"/>
  <c r="X84" i="5"/>
  <c r="X83" i="5" s="1"/>
  <c r="X102" i="5" s="1"/>
  <c r="T154" i="6"/>
  <c r="U111" i="6"/>
  <c r="N176" i="5"/>
  <c r="V101" i="5"/>
  <c r="V111" i="5" s="1"/>
  <c r="V112" i="5" s="1"/>
  <c r="V97" i="5"/>
  <c r="V95" i="5"/>
  <c r="V96" i="5"/>
  <c r="O153" i="6" l="1"/>
  <c r="O164" i="6"/>
  <c r="Z95" i="6"/>
  <c r="U125" i="6"/>
  <c r="U136" i="6" s="1"/>
  <c r="U154" i="6" s="1"/>
  <c r="U155" i="6" s="1"/>
  <c r="W16" i="7" s="1"/>
  <c r="V113" i="5"/>
  <c r="V121" i="5"/>
  <c r="V115" i="5"/>
  <c r="V116" i="5" s="1"/>
  <c r="V175" i="5" s="1"/>
  <c r="N167" i="5"/>
  <c r="N178" i="5" s="1"/>
  <c r="O152" i="5"/>
  <c r="W125" i="5"/>
  <c r="W94" i="5"/>
  <c r="W96" i="5" s="1"/>
  <c r="W164" i="5"/>
  <c r="Z96" i="6"/>
  <c r="Z100" i="6"/>
  <c r="W73" i="5"/>
  <c r="X72" i="5" s="1"/>
  <c r="AA70" i="6"/>
  <c r="AA69" i="6" s="1"/>
  <c r="V105" i="6"/>
  <c r="V102" i="6"/>
  <c r="V110" i="6" s="1"/>
  <c r="V111" i="6" s="1"/>
  <c r="U110" i="5"/>
  <c r="U124" i="5" s="1"/>
  <c r="U108" i="5"/>
  <c r="U109" i="5" s="1"/>
  <c r="U107" i="6"/>
  <c r="U108" i="6" s="1"/>
  <c r="X106" i="5"/>
  <c r="X86" i="5"/>
  <c r="Y85" i="5" s="1"/>
  <c r="X103" i="5"/>
  <c r="X104" i="5" s="1"/>
  <c r="X105" i="5" s="1"/>
  <c r="T155" i="5"/>
  <c r="T155" i="6"/>
  <c r="T157" i="6"/>
  <c r="V85" i="6"/>
  <c r="W84" i="6" s="1"/>
  <c r="O166" i="6" l="1"/>
  <c r="O177" i="6" s="1"/>
  <c r="P151" i="6"/>
  <c r="U138" i="6"/>
  <c r="U157" i="6"/>
  <c r="W95" i="5"/>
  <c r="Y84" i="5"/>
  <c r="Y83" i="5" s="1"/>
  <c r="Y102" i="5" s="1"/>
  <c r="Y103" i="5" s="1"/>
  <c r="AA124" i="6"/>
  <c r="AA93" i="6"/>
  <c r="AA163" i="6"/>
  <c r="AA72" i="6"/>
  <c r="AB71" i="6" s="1"/>
  <c r="W83" i="6"/>
  <c r="W82" i="6" s="1"/>
  <c r="W101" i="6" s="1"/>
  <c r="V106" i="6"/>
  <c r="V109" i="6" s="1"/>
  <c r="V123" i="6" s="1"/>
  <c r="V150" i="6" s="1"/>
  <c r="W101" i="5"/>
  <c r="W111" i="5" s="1"/>
  <c r="W97" i="5"/>
  <c r="V107" i="5"/>
  <c r="U151" i="5"/>
  <c r="U126" i="5"/>
  <c r="U137" i="5" s="1"/>
  <c r="V103" i="6"/>
  <c r="V104" i="6" s="1"/>
  <c r="X71" i="5"/>
  <c r="X70" i="5" s="1"/>
  <c r="O138" i="5"/>
  <c r="O153" i="5"/>
  <c r="O174" i="5"/>
  <c r="V16" i="7"/>
  <c r="T158" i="6"/>
  <c r="U158" i="6" s="1"/>
  <c r="V112" i="6"/>
  <c r="V120" i="6"/>
  <c r="V114" i="6"/>
  <c r="V115" i="6" s="1"/>
  <c r="V174" i="6" s="1"/>
  <c r="T156" i="5"/>
  <c r="T158" i="5"/>
  <c r="P173" i="6" l="1"/>
  <c r="P175" i="6" s="1"/>
  <c r="P137" i="6"/>
  <c r="P152" i="6"/>
  <c r="X73" i="5"/>
  <c r="Y72" i="5" s="1"/>
  <c r="W102" i="6"/>
  <c r="W110" i="6" s="1"/>
  <c r="U155" i="5"/>
  <c r="U156" i="5" s="1"/>
  <c r="W3" i="7" s="1"/>
  <c r="U139" i="5"/>
  <c r="X125" i="5"/>
  <c r="X94" i="5"/>
  <c r="W85" i="6"/>
  <c r="X84" i="6" s="1"/>
  <c r="O176" i="5"/>
  <c r="AA96" i="6"/>
  <c r="AA100" i="6"/>
  <c r="AA94" i="6"/>
  <c r="AA95" i="6"/>
  <c r="X164" i="5"/>
  <c r="W105" i="6"/>
  <c r="V107" i="6"/>
  <c r="V108" i="6" s="1"/>
  <c r="AB70" i="6"/>
  <c r="AB69" i="6" s="1"/>
  <c r="AB163" i="6" s="1"/>
  <c r="V110" i="5"/>
  <c r="V124" i="5" s="1"/>
  <c r="V108" i="5"/>
  <c r="V109" i="5" s="1"/>
  <c r="V125" i="6"/>
  <c r="V136" i="6" s="1"/>
  <c r="Y86" i="5"/>
  <c r="Z85" i="5" s="1"/>
  <c r="V3" i="7"/>
  <c r="T159" i="5"/>
  <c r="O154" i="5"/>
  <c r="O165" i="5"/>
  <c r="Y104" i="5"/>
  <c r="Y105" i="5" s="1"/>
  <c r="Y106" i="5"/>
  <c r="W113" i="5"/>
  <c r="W115" i="5"/>
  <c r="W116" i="5" s="1"/>
  <c r="W175" i="5" s="1"/>
  <c r="W121" i="5"/>
  <c r="W112" i="5"/>
  <c r="P164" i="6" l="1"/>
  <c r="P153" i="6"/>
  <c r="W103" i="6"/>
  <c r="W104" i="6" s="1"/>
  <c r="Z84" i="5"/>
  <c r="Z83" i="5" s="1"/>
  <c r="Z102" i="5" s="1"/>
  <c r="Z103" i="5" s="1"/>
  <c r="O167" i="5"/>
  <c r="O178" i="5" s="1"/>
  <c r="P152" i="5"/>
  <c r="AB124" i="6"/>
  <c r="AB93" i="6"/>
  <c r="AB95" i="6" s="1"/>
  <c r="X101" i="5"/>
  <c r="X111" i="5" s="1"/>
  <c r="X112" i="5" s="1"/>
  <c r="X97" i="5"/>
  <c r="X95" i="5"/>
  <c r="X96" i="5"/>
  <c r="V151" i="5"/>
  <c r="V126" i="5"/>
  <c r="V137" i="5" s="1"/>
  <c r="U158" i="5"/>
  <c r="U159" i="5"/>
  <c r="AB72" i="6"/>
  <c r="Y71" i="5"/>
  <c r="Y70" i="5" s="1"/>
  <c r="V154" i="6"/>
  <c r="V138" i="6"/>
  <c r="W107" i="5"/>
  <c r="W112" i="6"/>
  <c r="W120" i="6"/>
  <c r="W114" i="6"/>
  <c r="W115" i="6" s="1"/>
  <c r="W174" i="6" s="1"/>
  <c r="W111" i="6"/>
  <c r="W106" i="6"/>
  <c r="W109" i="6" s="1"/>
  <c r="W123" i="6" s="1"/>
  <c r="W150" i="6" s="1"/>
  <c r="X83" i="6"/>
  <c r="X82" i="6" s="1"/>
  <c r="X101" i="6" s="1"/>
  <c r="X102" i="6" l="1"/>
  <c r="X110" i="6" s="1"/>
  <c r="X111" i="6" s="1"/>
  <c r="P166" i="6"/>
  <c r="P177" i="6" s="1"/>
  <c r="Q151" i="6"/>
  <c r="X85" i="6"/>
  <c r="Y84" i="6" s="1"/>
  <c r="Y83" i="6" s="1"/>
  <c r="Y82" i="6" s="1"/>
  <c r="Y101" i="6" s="1"/>
  <c r="Z86" i="5"/>
  <c r="AA85" i="5" s="1"/>
  <c r="AA84" i="5" s="1"/>
  <c r="AA83" i="5" s="1"/>
  <c r="AA102" i="5" s="1"/>
  <c r="AB94" i="6"/>
  <c r="W110" i="5"/>
  <c r="W124" i="5" s="1"/>
  <c r="W108" i="5"/>
  <c r="W109" i="5" s="1"/>
  <c r="W125" i="6"/>
  <c r="W136" i="6" s="1"/>
  <c r="W138" i="6" s="1"/>
  <c r="V155" i="6"/>
  <c r="V157" i="6"/>
  <c r="W107" i="6"/>
  <c r="W108" i="6" s="1"/>
  <c r="X113" i="5"/>
  <c r="X121" i="5"/>
  <c r="X115" i="5"/>
  <c r="X116" i="5" s="1"/>
  <c r="X175" i="5" s="1"/>
  <c r="AB96" i="6"/>
  <c r="AB100" i="6"/>
  <c r="Y125" i="5"/>
  <c r="Y94" i="5"/>
  <c r="Y96" i="5" s="1"/>
  <c r="Z106" i="5"/>
  <c r="Z104" i="5"/>
  <c r="Z105" i="5" s="1"/>
  <c r="Y73" i="5"/>
  <c r="Z72" i="5" s="1"/>
  <c r="V155" i="5"/>
  <c r="V156" i="5" s="1"/>
  <c r="X3" i="7" s="1"/>
  <c r="P138" i="5"/>
  <c r="P153" i="5"/>
  <c r="P174" i="5"/>
  <c r="X105" i="6"/>
  <c r="V139" i="5"/>
  <c r="Y164" i="5"/>
  <c r="X103" i="6" l="1"/>
  <c r="X104" i="6" s="1"/>
  <c r="Y102" i="6" s="1"/>
  <c r="Y110" i="6" s="1"/>
  <c r="X114" i="6"/>
  <c r="X115" i="6" s="1"/>
  <c r="X174" i="6" s="1"/>
  <c r="X120" i="6"/>
  <c r="X112" i="6"/>
  <c r="Q137" i="6"/>
  <c r="Q152" i="6"/>
  <c r="Q173" i="6"/>
  <c r="Q175" i="6" s="1"/>
  <c r="Y95" i="5"/>
  <c r="X107" i="5"/>
  <c r="X16" i="7"/>
  <c r="V158" i="6"/>
  <c r="W151" i="5"/>
  <c r="W126" i="5"/>
  <c r="W137" i="5" s="1"/>
  <c r="W139" i="5" s="1"/>
  <c r="P154" i="5"/>
  <c r="P165" i="5"/>
  <c r="Y105" i="6"/>
  <c r="V159" i="5"/>
  <c r="Z71" i="5"/>
  <c r="Z70" i="5" s="1"/>
  <c r="Y85" i="6"/>
  <c r="Z84" i="6" s="1"/>
  <c r="V158" i="5"/>
  <c r="W154" i="6"/>
  <c r="W155" i="6" s="1"/>
  <c r="Y16" i="7" s="1"/>
  <c r="AA103" i="5"/>
  <c r="AA104" i="5" s="1"/>
  <c r="AA105" i="5" s="1"/>
  <c r="AA106" i="5"/>
  <c r="Y97" i="5"/>
  <c r="Y101" i="5"/>
  <c r="Y111" i="5" s="1"/>
  <c r="AA86" i="5"/>
  <c r="AB85" i="5" s="1"/>
  <c r="P176" i="5"/>
  <c r="X106" i="6"/>
  <c r="X109" i="6" s="1"/>
  <c r="X123" i="6" s="1"/>
  <c r="X150" i="6" s="1"/>
  <c r="X125" i="6" l="1"/>
  <c r="X136" i="6" s="1"/>
  <c r="X154" i="6" s="1"/>
  <c r="X155" i="6" s="1"/>
  <c r="Z16" i="7" s="1"/>
  <c r="Q164" i="6"/>
  <c r="Q153" i="6"/>
  <c r="W158" i="6"/>
  <c r="Z125" i="5"/>
  <c r="Z94" i="5"/>
  <c r="P167" i="5"/>
  <c r="P178" i="5" s="1"/>
  <c r="Q152" i="5"/>
  <c r="AB84" i="5"/>
  <c r="AB83" i="5" s="1"/>
  <c r="AB102" i="5" s="1"/>
  <c r="Y121" i="5"/>
  <c r="Y113" i="5"/>
  <c r="Y115" i="5"/>
  <c r="Y116" i="5" s="1"/>
  <c r="Y175" i="5" s="1"/>
  <c r="Y112" i="5"/>
  <c r="Z164" i="5"/>
  <c r="Y112" i="6"/>
  <c r="Y114" i="6"/>
  <c r="Y115" i="6" s="1"/>
  <c r="Y174" i="6" s="1"/>
  <c r="Y120" i="6"/>
  <c r="Z73" i="5"/>
  <c r="AA72" i="5" s="1"/>
  <c r="W155" i="5"/>
  <c r="W156" i="5" s="1"/>
  <c r="Y3" i="7" s="1"/>
  <c r="Y111" i="6"/>
  <c r="Y103" i="6"/>
  <c r="Y104" i="6" s="1"/>
  <c r="X110" i="5"/>
  <c r="X124" i="5" s="1"/>
  <c r="X108" i="5"/>
  <c r="X109" i="5" s="1"/>
  <c r="X107" i="6"/>
  <c r="X108" i="6" s="1"/>
  <c r="Z83" i="6"/>
  <c r="Z82" i="6" s="1"/>
  <c r="Z101" i="6" s="1"/>
  <c r="W157" i="6"/>
  <c r="X138" i="6" l="1"/>
  <c r="Q166" i="6"/>
  <c r="Q177" i="6" s="1"/>
  <c r="R151" i="6"/>
  <c r="W159" i="5"/>
  <c r="X158" i="6"/>
  <c r="AB106" i="5"/>
  <c r="Q138" i="5"/>
  <c r="Q153" i="5"/>
  <c r="Q174" i="5"/>
  <c r="AB86" i="5"/>
  <c r="Z105" i="6"/>
  <c r="X151" i="5"/>
  <c r="X126" i="5"/>
  <c r="X137" i="5" s="1"/>
  <c r="AB103" i="5"/>
  <c r="AB104" i="5" s="1"/>
  <c r="AB105" i="5" s="1"/>
  <c r="Y106" i="6"/>
  <c r="W158" i="5"/>
  <c r="Z101" i="5"/>
  <c r="Z111" i="5" s="1"/>
  <c r="Z97" i="5"/>
  <c r="Z96" i="5"/>
  <c r="Z95" i="5"/>
  <c r="X157" i="6"/>
  <c r="Y107" i="5"/>
  <c r="Z85" i="6"/>
  <c r="AA84" i="6" s="1"/>
  <c r="Z102" i="6"/>
  <c r="Z110" i="6" s="1"/>
  <c r="Z111" i="6" s="1"/>
  <c r="AA71" i="5"/>
  <c r="AA70" i="5" s="1"/>
  <c r="R173" i="6" l="1"/>
  <c r="R175" i="6" s="1"/>
  <c r="R137" i="6"/>
  <c r="R152" i="6"/>
  <c r="Z103" i="6"/>
  <c r="Z104" i="6" s="1"/>
  <c r="AA125" i="5"/>
  <c r="AA94" i="5"/>
  <c r="X155" i="5"/>
  <c r="X156" i="5" s="1"/>
  <c r="X139" i="5"/>
  <c r="AA73" i="5"/>
  <c r="AB72" i="5" s="1"/>
  <c r="Z121" i="5"/>
  <c r="Z113" i="5"/>
  <c r="Z115" i="5"/>
  <c r="Z116" i="5" s="1"/>
  <c r="Z175" i="5" s="1"/>
  <c r="Z114" i="6"/>
  <c r="Z115" i="6" s="1"/>
  <c r="Z174" i="6" s="1"/>
  <c r="Z112" i="6"/>
  <c r="Z120" i="6"/>
  <c r="AA83" i="6"/>
  <c r="AA82" i="6" s="1"/>
  <c r="AA101" i="6" s="1"/>
  <c r="Y110" i="5"/>
  <c r="Y124" i="5" s="1"/>
  <c r="Y108" i="5"/>
  <c r="Y109" i="5" s="1"/>
  <c r="Y109" i="6"/>
  <c r="Y123" i="6" s="1"/>
  <c r="Y107" i="6"/>
  <c r="Y108" i="6" s="1"/>
  <c r="AA164" i="5"/>
  <c r="Q176" i="5"/>
  <c r="Q154" i="5"/>
  <c r="Q165" i="5"/>
  <c r="Z112" i="5"/>
  <c r="R164" i="6" l="1"/>
  <c r="R153" i="6"/>
  <c r="AA102" i="6"/>
  <c r="AA110" i="6" s="1"/>
  <c r="AA120" i="6" s="1"/>
  <c r="Z106" i="6"/>
  <c r="Q167" i="5"/>
  <c r="Q178" i="5" s="1"/>
  <c r="R152" i="5"/>
  <c r="AA97" i="5"/>
  <c r="AA101" i="5"/>
  <c r="AA111" i="5" s="1"/>
  <c r="AA112" i="5" s="1"/>
  <c r="Z3" i="7"/>
  <c r="X159" i="5"/>
  <c r="X158" i="5"/>
  <c r="AA95" i="5"/>
  <c r="AA96" i="5"/>
  <c r="AA85" i="6"/>
  <c r="AB84" i="6" s="1"/>
  <c r="Y150" i="6"/>
  <c r="Y125" i="6"/>
  <c r="Y136" i="6" s="1"/>
  <c r="Z107" i="5"/>
  <c r="Y151" i="5"/>
  <c r="Y126" i="5"/>
  <c r="Y137" i="5" s="1"/>
  <c r="AA105" i="6"/>
  <c r="AB71" i="5"/>
  <c r="AB70" i="5" s="1"/>
  <c r="AA103" i="6" l="1"/>
  <c r="AA104" i="6" s="1"/>
  <c r="R166" i="6"/>
  <c r="R177" i="6" s="1"/>
  <c r="S151" i="6"/>
  <c r="AA111" i="6"/>
  <c r="AA112" i="6"/>
  <c r="AA114" i="6"/>
  <c r="AA115" i="6" s="1"/>
  <c r="AA174" i="6" s="1"/>
  <c r="Y155" i="5"/>
  <c r="Y156" i="5" s="1"/>
  <c r="AA3" i="7" s="1"/>
  <c r="R138" i="5"/>
  <c r="R153" i="5"/>
  <c r="R174" i="5"/>
  <c r="Z110" i="5"/>
  <c r="Z124" i="5" s="1"/>
  <c r="Z108" i="5"/>
  <c r="Z109" i="5" s="1"/>
  <c r="AB125" i="5"/>
  <c r="AB94" i="5"/>
  <c r="AB95" i="5" s="1"/>
  <c r="AB73" i="5"/>
  <c r="Y139" i="5"/>
  <c r="AB83" i="6"/>
  <c r="AB82" i="6" s="1"/>
  <c r="AB101" i="6" s="1"/>
  <c r="AA121" i="5"/>
  <c r="AA115" i="5"/>
  <c r="AA116" i="5" s="1"/>
  <c r="AA175" i="5" s="1"/>
  <c r="AA113" i="5"/>
  <c r="Z109" i="6"/>
  <c r="Z123" i="6" s="1"/>
  <c r="Z107" i="6"/>
  <c r="Z108" i="6" s="1"/>
  <c r="Y154" i="6"/>
  <c r="Y138" i="6"/>
  <c r="AB164" i="5"/>
  <c r="AB102" i="6" l="1"/>
  <c r="AB110" i="6" s="1"/>
  <c r="AB111" i="6" s="1"/>
  <c r="S137" i="6"/>
  <c r="S152" i="6"/>
  <c r="S173" i="6"/>
  <c r="S175" i="6" s="1"/>
  <c r="Y158" i="5"/>
  <c r="Y159" i="5"/>
  <c r="AB96" i="5"/>
  <c r="AA107" i="5"/>
  <c r="R176" i="5"/>
  <c r="R154" i="5"/>
  <c r="R165" i="5"/>
  <c r="Y155" i="6"/>
  <c r="Y157" i="6"/>
  <c r="AB105" i="6"/>
  <c r="Z151" i="5"/>
  <c r="Z126" i="5"/>
  <c r="Z137" i="5" s="1"/>
  <c r="Z139" i="5" s="1"/>
  <c r="AA106" i="6"/>
  <c r="AB85" i="6"/>
  <c r="Z150" i="6"/>
  <c r="Z125" i="6"/>
  <c r="Z136" i="6" s="1"/>
  <c r="Z138" i="6" s="1"/>
  <c r="AB97" i="5"/>
  <c r="AB101" i="5"/>
  <c r="AB111" i="5" s="1"/>
  <c r="AB120" i="6" l="1"/>
  <c r="AB103" i="6"/>
  <c r="AB104" i="6" s="1"/>
  <c r="AB114" i="6"/>
  <c r="AB115" i="6" s="1"/>
  <c r="AB174" i="6" s="1"/>
  <c r="AB112" i="6"/>
  <c r="S153" i="6"/>
  <c r="S164" i="6"/>
  <c r="Z154" i="6"/>
  <c r="Z155" i="6" s="1"/>
  <c r="AB16" i="7" s="1"/>
  <c r="AA16" i="7"/>
  <c r="Y158" i="6"/>
  <c r="AA109" i="6"/>
  <c r="AA123" i="6" s="1"/>
  <c r="AA107" i="6"/>
  <c r="AA108" i="6" s="1"/>
  <c r="R167" i="5"/>
  <c r="R178" i="5" s="1"/>
  <c r="S152" i="5"/>
  <c r="AA110" i="5"/>
  <c r="AA124" i="5" s="1"/>
  <c r="AA108" i="5"/>
  <c r="AA109" i="5" s="1"/>
  <c r="Z155" i="5"/>
  <c r="AB121" i="5"/>
  <c r="AB115" i="5"/>
  <c r="AB116" i="5" s="1"/>
  <c r="AB175" i="5" s="1"/>
  <c r="AB113" i="5"/>
  <c r="AB112" i="5"/>
  <c r="Z158" i="6" l="1"/>
  <c r="S166" i="6"/>
  <c r="S177" i="6" s="1"/>
  <c r="T151" i="6"/>
  <c r="AB106" i="6"/>
  <c r="Z156" i="5"/>
  <c r="Z158" i="5"/>
  <c r="AA151" i="5"/>
  <c r="AA126" i="5"/>
  <c r="AA137" i="5" s="1"/>
  <c r="AB107" i="5"/>
  <c r="AA150" i="6"/>
  <c r="AA125" i="6"/>
  <c r="AA136" i="6" s="1"/>
  <c r="S138" i="5"/>
  <c r="S153" i="5"/>
  <c r="S174" i="5"/>
  <c r="Z157" i="6"/>
  <c r="T173" i="6" l="1"/>
  <c r="T175" i="6" s="1"/>
  <c r="T152" i="6"/>
  <c r="T137" i="6"/>
  <c r="AB110" i="5"/>
  <c r="AB124" i="5" s="1"/>
  <c r="AB108" i="5"/>
  <c r="AB109" i="5" s="1"/>
  <c r="AA155" i="5"/>
  <c r="AA156" i="5" s="1"/>
  <c r="AC3" i="7" s="1"/>
  <c r="AA139" i="5"/>
  <c r="S176" i="5"/>
  <c r="S154" i="5"/>
  <c r="S165" i="5"/>
  <c r="AA154" i="6"/>
  <c r="AA155" i="6" s="1"/>
  <c r="AA138" i="6"/>
  <c r="AB3" i="7"/>
  <c r="Z159" i="5"/>
  <c r="AB109" i="6"/>
  <c r="AB123" i="6" s="1"/>
  <c r="AB107" i="6"/>
  <c r="AB108" i="6" s="1"/>
  <c r="T153" i="6" l="1"/>
  <c r="T164" i="6"/>
  <c r="S167" i="5"/>
  <c r="S178" i="5" s="1"/>
  <c r="T152" i="5"/>
  <c r="AC16" i="7"/>
  <c r="AA158" i="6"/>
  <c r="AB151" i="5"/>
  <c r="AB126" i="5"/>
  <c r="AB137" i="5" s="1"/>
  <c r="AA158" i="5"/>
  <c r="AB150" i="6"/>
  <c r="AB125" i="6"/>
  <c r="AB136" i="6" s="1"/>
  <c r="AA159" i="5"/>
  <c r="AA157" i="6"/>
  <c r="T166" i="6" l="1"/>
  <c r="T177" i="6" s="1"/>
  <c r="U151" i="6"/>
  <c r="AB154" i="6"/>
  <c r="A136" i="6"/>
  <c r="AB155" i="5"/>
  <c r="A137" i="5"/>
  <c r="T138" i="5"/>
  <c r="T153" i="5"/>
  <c r="T174" i="5"/>
  <c r="AB139" i="5"/>
  <c r="AB138" i="6"/>
  <c r="U152" i="6" l="1"/>
  <c r="U173" i="6"/>
  <c r="U175" i="6" s="1"/>
  <c r="U137" i="6"/>
  <c r="T176" i="5"/>
  <c r="AB156" i="5"/>
  <c r="N6" i="5"/>
  <c r="T154" i="5"/>
  <c r="T165" i="5"/>
  <c r="AB155" i="6"/>
  <c r="N6" i="6"/>
  <c r="AB157" i="6"/>
  <c r="N10" i="6" s="1"/>
  <c r="AB158" i="5"/>
  <c r="N10" i="5" s="1"/>
  <c r="U164" i="6" l="1"/>
  <c r="U153" i="6"/>
  <c r="AD16" i="7"/>
  <c r="B16" i="7" s="1"/>
  <c r="N7" i="6"/>
  <c r="AB158" i="6"/>
  <c r="N11" i="6" s="1"/>
  <c r="T167" i="5"/>
  <c r="T178" i="5" s="1"/>
  <c r="U152" i="5"/>
  <c r="AD3" i="7"/>
  <c r="N7" i="5"/>
  <c r="AB159" i="5"/>
  <c r="N11" i="5" s="1"/>
  <c r="V151" i="6" l="1"/>
  <c r="U166" i="6"/>
  <c r="U177" i="6" s="1"/>
  <c r="F17" i="3"/>
  <c r="I29" i="3"/>
  <c r="U138" i="5"/>
  <c r="U153" i="5"/>
  <c r="U174" i="5"/>
  <c r="V137" i="6" l="1"/>
  <c r="V152" i="6"/>
  <c r="V173" i="6"/>
  <c r="V175" i="6" s="1"/>
  <c r="U176" i="5"/>
  <c r="U154" i="5"/>
  <c r="U165" i="5"/>
  <c r="V153" i="6" l="1"/>
  <c r="V164" i="6"/>
  <c r="U167" i="5"/>
  <c r="U178" i="5" s="1"/>
  <c r="V152" i="5"/>
  <c r="V166" i="6" l="1"/>
  <c r="V177" i="6" s="1"/>
  <c r="W151" i="6"/>
  <c r="V138" i="5"/>
  <c r="V153" i="5"/>
  <c r="V174" i="5"/>
  <c r="W137" i="6" l="1"/>
  <c r="W173" i="6"/>
  <c r="W175" i="6" s="1"/>
  <c r="W152" i="6"/>
  <c r="V154" i="5"/>
  <c r="V165" i="5"/>
  <c r="V176" i="5"/>
  <c r="W153" i="6" l="1"/>
  <c r="W164" i="6"/>
  <c r="V167" i="5"/>
  <c r="V178" i="5" s="1"/>
  <c r="W152" i="5"/>
  <c r="X151" i="6" l="1"/>
  <c r="W166" i="6"/>
  <c r="W177" i="6" s="1"/>
  <c r="W138" i="5"/>
  <c r="W153" i="5"/>
  <c r="W174" i="5"/>
  <c r="X137" i="6" l="1"/>
  <c r="X173" i="6"/>
  <c r="X175" i="6" s="1"/>
  <c r="X152" i="6"/>
  <c r="W176" i="5"/>
  <c r="W154" i="5"/>
  <c r="W165" i="5"/>
  <c r="X153" i="6" l="1"/>
  <c r="X164" i="6"/>
  <c r="W167" i="5"/>
  <c r="W178" i="5" s="1"/>
  <c r="X152" i="5"/>
  <c r="X166" i="6" l="1"/>
  <c r="X177" i="6" s="1"/>
  <c r="Y151" i="6"/>
  <c r="X138" i="5"/>
  <c r="X153" i="5"/>
  <c r="X174" i="5"/>
  <c r="Y152" i="6" l="1"/>
  <c r="Y173" i="6"/>
  <c r="Y175" i="6" s="1"/>
  <c r="Y137" i="6"/>
  <c r="X176" i="5"/>
  <c r="X154" i="5"/>
  <c r="X165" i="5"/>
  <c r="Y164" i="6" l="1"/>
  <c r="Y153" i="6"/>
  <c r="X167" i="5"/>
  <c r="X178" i="5" s="1"/>
  <c r="Y152" i="5"/>
  <c r="Z151" i="6" l="1"/>
  <c r="Y166" i="6"/>
  <c r="Y177" i="6" s="1"/>
  <c r="Y138" i="5"/>
  <c r="Y153" i="5"/>
  <c r="Y174" i="5"/>
  <c r="Z152" i="6" l="1"/>
  <c r="Z173" i="6"/>
  <c r="Z175" i="6" s="1"/>
  <c r="Z137" i="6"/>
  <c r="Y176" i="5"/>
  <c r="Y154" i="5"/>
  <c r="Y165" i="5"/>
  <c r="Z153" i="6" l="1"/>
  <c r="Z164" i="6"/>
  <c r="Y167" i="5"/>
  <c r="Y178" i="5" s="1"/>
  <c r="Z152" i="5"/>
  <c r="Z166" i="6" l="1"/>
  <c r="Z177" i="6" s="1"/>
  <c r="AA151" i="6"/>
  <c r="Z138" i="5"/>
  <c r="Z153" i="5"/>
  <c r="Z174" i="5"/>
  <c r="AA137" i="6" l="1"/>
  <c r="AA152" i="6"/>
  <c r="AA173" i="6"/>
  <c r="AA175" i="6" s="1"/>
  <c r="Z154" i="5"/>
  <c r="Z165" i="5"/>
  <c r="Z176" i="5"/>
  <c r="AA164" i="6" l="1"/>
  <c r="AA153" i="6"/>
  <c r="Z167" i="5"/>
  <c r="Z178" i="5" s="1"/>
  <c r="AA152" i="5"/>
  <c r="AA166" i="6" l="1"/>
  <c r="AA177" i="6" s="1"/>
  <c r="AB151" i="6"/>
  <c r="AA138" i="5"/>
  <c r="AA153" i="5"/>
  <c r="AA174" i="5"/>
  <c r="AB137" i="6" l="1"/>
  <c r="A137" i="6" s="1"/>
  <c r="AB173" i="6"/>
  <c r="AB175" i="6" s="1"/>
  <c r="I117" i="6" s="1"/>
  <c r="J117" i="6" s="1"/>
  <c r="AB152" i="6"/>
  <c r="AA176" i="5"/>
  <c r="AA154" i="5"/>
  <c r="AA165" i="5"/>
  <c r="AB164" i="6" l="1"/>
  <c r="AB166" i="6" s="1"/>
  <c r="AB177" i="6" s="1"/>
  <c r="AB153" i="6"/>
  <c r="AA167" i="5"/>
  <c r="AA178" i="5" s="1"/>
  <c r="AB152" i="5"/>
  <c r="AB138" i="5" l="1"/>
  <c r="A138" i="5" s="1"/>
  <c r="AB153" i="5"/>
  <c r="AB174" i="5"/>
  <c r="AB176" i="5" s="1"/>
  <c r="I118" i="5" s="1"/>
  <c r="J118" i="5" s="1"/>
  <c r="AB154" i="5" l="1"/>
  <c r="AB165" i="5"/>
  <c r="AB167" i="5" s="1"/>
  <c r="AB178" i="5" s="1"/>
</calcChain>
</file>

<file path=xl/sharedStrings.xml><?xml version="1.0" encoding="utf-8"?>
<sst xmlns="http://schemas.openxmlformats.org/spreadsheetml/2006/main" count="658" uniqueCount="221">
  <si>
    <t>Enter inputs into blue boxes below:</t>
  </si>
  <si>
    <t>0 - 50kWe</t>
  </si>
  <si>
    <t>temp sensor / radiationmeter</t>
  </si>
  <si>
    <t>£</t>
  </si>
  <si>
    <t>Self Consumption</t>
  </si>
  <si>
    <t>%</t>
  </si>
  <si>
    <t>input</t>
  </si>
  <si>
    <t>Customer:</t>
  </si>
  <si>
    <t>Test</t>
  </si>
  <si>
    <t>50-250kwe</t>
  </si>
  <si>
    <t>temp sensor /pyronometer</t>
  </si>
  <si>
    <t>Project Size</t>
  </si>
  <si>
    <t>(kWp)</t>
  </si>
  <si>
    <t>250kWe+</t>
  </si>
  <si>
    <t>plus weather station</t>
  </si>
  <si>
    <t>Yearly generation</t>
  </si>
  <si>
    <t>kWe</t>
  </si>
  <si>
    <t>CHP - Installed power kWe</t>
  </si>
  <si>
    <t>EPC Price</t>
  </si>
  <si>
    <t>£/kWp</t>
  </si>
  <si>
    <t>kWe utilised</t>
  </si>
  <si>
    <t>Additional works</t>
  </si>
  <si>
    <t>EPC price</t>
  </si>
  <si>
    <t>Service</t>
  </si>
  <si>
    <t>Other insurance cost</t>
  </si>
  <si>
    <t>Invertor costs</t>
  </si>
  <si>
    <t>output</t>
  </si>
  <si>
    <t>years</t>
  </si>
  <si>
    <t xml:space="preserve">Total EPC Price </t>
  </si>
  <si>
    <t>Now iteratively enter PPA price until the Target IRR has been met (e.g., below answers "yes" and turns green).</t>
  </si>
  <si>
    <t>RPI linked</t>
  </si>
  <si>
    <t>NB - the PPA price can be as low as possible whilst satisfying the Target IRR, but of course can be higher than this amount.</t>
  </si>
  <si>
    <t>Additionals</t>
  </si>
  <si>
    <t>Ground Rent</t>
  </si>
  <si>
    <t>PPA Price</t>
  </si>
  <si>
    <t>(p/kWh)</t>
  </si>
  <si>
    <t>Use Goal seek</t>
  </si>
  <si>
    <t>Other additionals</t>
  </si>
  <si>
    <t>Fixed price PPA</t>
  </si>
  <si>
    <t>Target</t>
  </si>
  <si>
    <t>Ground area - acres</t>
  </si>
  <si>
    <t>£ / acre</t>
  </si>
  <si>
    <t>O&amp;M (£/kWp)</t>
  </si>
  <si>
    <t>Commission Single Payment</t>
  </si>
  <si>
    <t>Total</t>
  </si>
  <si>
    <t>% Capex</t>
  </si>
  <si>
    <t>% of EBITDA</t>
  </si>
  <si>
    <t>% profit</t>
  </si>
  <si>
    <t>Commission - accrual</t>
  </si>
  <si>
    <t>RPI</t>
  </si>
  <si>
    <t>Inputs</t>
  </si>
  <si>
    <t>Outputs</t>
  </si>
  <si>
    <t>EPC price £/kWp</t>
  </si>
  <si>
    <t>PPA Price - pkWe</t>
  </si>
  <si>
    <t>Project Size - kWp</t>
  </si>
  <si>
    <t>Yearly Yield  - kWe</t>
  </si>
  <si>
    <t>Contract Length - Years</t>
  </si>
  <si>
    <t>Do not use lower than 20 years</t>
  </si>
  <si>
    <t>PV</t>
  </si>
  <si>
    <t xml:space="preserve">PPA Calculator </t>
  </si>
  <si>
    <t>Cost of Install</t>
  </si>
  <si>
    <t>Inverter Cost</t>
  </si>
  <si>
    <t>Assumptions</t>
  </si>
  <si>
    <t>Total Cost</t>
  </si>
  <si>
    <t>Project</t>
  </si>
  <si>
    <t>Revenue</t>
  </si>
  <si>
    <t>Initial Cost</t>
  </si>
  <si>
    <t>Cash Investment Total</t>
  </si>
  <si>
    <t>Self consumption (%)</t>
  </si>
  <si>
    <t>Year</t>
  </si>
  <si>
    <t>EPC</t>
  </si>
  <si>
    <t>Pre-tax, Project IRR</t>
  </si>
  <si>
    <t>Project Size (kWp)</t>
  </si>
  <si>
    <t>Commission Cost (£) @6%</t>
  </si>
  <si>
    <t>EPC2</t>
  </si>
  <si>
    <t>Post-tax, Project IRR</t>
  </si>
  <si>
    <t>EPC (£/kWp)</t>
  </si>
  <si>
    <t>Year 1 EBITDA yield</t>
  </si>
  <si>
    <t>Yield (kWh/kWp)</t>
  </si>
  <si>
    <t>Year 1 gross yield</t>
  </si>
  <si>
    <t>Output Degradation Year 2-25</t>
  </si>
  <si>
    <t>Maintenance Capex</t>
  </si>
  <si>
    <t>Pay Back in years</t>
  </si>
  <si>
    <t>pre fees, pre tax</t>
  </si>
  <si>
    <t>Tariff - generation subsidy (p/kWh)</t>
  </si>
  <si>
    <t>Inverter Maintenance capex 1 (£)</t>
  </si>
  <si>
    <t>Invertor Costs</t>
  </si>
  <si>
    <t>Invertor size kWe</t>
  </si>
  <si>
    <t>post tax</t>
  </si>
  <si>
    <t>Tariff - power exported (p/kWh)</t>
  </si>
  <si>
    <t>Inverter Maintenance capex 1 (year)</t>
  </si>
  <si>
    <t>Target IRR</t>
  </si>
  <si>
    <t>FMP</t>
  </si>
  <si>
    <t>Battery Maintenance capex 2 (£)</t>
  </si>
  <si>
    <t xml:space="preserve">PV1 </t>
  </si>
  <si>
    <t>discount on FMP</t>
  </si>
  <si>
    <t>Battery Maintenance capex 2 (year)</t>
  </si>
  <si>
    <t>Tariff - power used on site (p/kWh)</t>
  </si>
  <si>
    <t>Annual Interter Maintenance Reserve account</t>
  </si>
  <si>
    <t>Inflation costs (RPI)</t>
  </si>
  <si>
    <t>Annual Battery Maintenance Reserve account</t>
  </si>
  <si>
    <t>Inflation Export Tariff</t>
  </si>
  <si>
    <t>Inflation PPA</t>
  </si>
  <si>
    <t>Project life (years)</t>
  </si>
  <si>
    <t>Annual Costs</t>
  </si>
  <si>
    <t>Years 1- 3</t>
  </si>
  <si>
    <t>Years 4 - onwards</t>
  </si>
  <si>
    <t>Projects per SPV</t>
  </si>
  <si>
    <t>Billing costs</t>
  </si>
  <si>
    <t>Asset management cost / kWp</t>
  </si>
  <si>
    <t>Insurance (£/kWp)</t>
  </si>
  <si>
    <t>Business Rates (£/kWp)</t>
  </si>
  <si>
    <t>Contingency 1 (£/kWh/yr)</t>
  </si>
  <si>
    <t>Contingency 2 (£/project/yr)</t>
  </si>
  <si>
    <t>P&amp;L</t>
  </si>
  <si>
    <t>Tax (ECA)</t>
  </si>
  <si>
    <t>Initial Cost - Depreciation (yrs)</t>
  </si>
  <si>
    <t>Initial Cost - Depreciable Portion</t>
  </si>
  <si>
    <t>Maintenance Capex - Depreciation (yrs)</t>
  </si>
  <si>
    <t>Maintenance Capex - Depreciable Portion</t>
  </si>
  <si>
    <t>Tax Rate</t>
  </si>
  <si>
    <t>P&amp;L (year)</t>
  </si>
  <si>
    <t>Generated kWh</t>
  </si>
  <si>
    <t>Self consumed kWh</t>
  </si>
  <si>
    <t>Self consumption %</t>
  </si>
  <si>
    <t>Export Tariff</t>
  </si>
  <si>
    <t>Offtake Price</t>
  </si>
  <si>
    <t>Export income</t>
  </si>
  <si>
    <t>PPA income</t>
  </si>
  <si>
    <t>Billing</t>
  </si>
  <si>
    <t>Asset mangement</t>
  </si>
  <si>
    <t>CHP Service</t>
  </si>
  <si>
    <t>O&amp;M</t>
  </si>
  <si>
    <t>Business Rates (and contingencies)</t>
  </si>
  <si>
    <t>Other insurance</t>
  </si>
  <si>
    <t>Insurance</t>
  </si>
  <si>
    <t>Ground rent</t>
  </si>
  <si>
    <t>Commission</t>
  </si>
  <si>
    <t>Debt Funding</t>
  </si>
  <si>
    <t xml:space="preserve">EBITDA </t>
  </si>
  <si>
    <t>P&amp;L Depreciation</t>
  </si>
  <si>
    <t>Installation P&amp;L Dep'n</t>
  </si>
  <si>
    <t>Start</t>
  </si>
  <si>
    <t>End</t>
  </si>
  <si>
    <t>Maintenance Capex 1 P&amp;L Dep'n</t>
  </si>
  <si>
    <t>Maintenance Capex 2 P&amp;L Dep'n</t>
  </si>
  <si>
    <t>Original investment date</t>
  </si>
  <si>
    <t>Tax Depreciation</t>
  </si>
  <si>
    <t>Installation Tax Depreciation</t>
  </si>
  <si>
    <t>Maintenance Capex 1 Tax Dep'n</t>
  </si>
  <si>
    <t>Maintenance Capex 2 Tax Dep'n</t>
  </si>
  <si>
    <t>EBIT</t>
  </si>
  <si>
    <t>Cumulative</t>
  </si>
  <si>
    <t>Tax without interest shield</t>
  </si>
  <si>
    <t>Interest paid</t>
  </si>
  <si>
    <t>Interest received</t>
  </si>
  <si>
    <t>PBT</t>
  </si>
  <si>
    <t>Taxable Profits (After ECAs)</t>
  </si>
  <si>
    <t>Corporation Tax</t>
  </si>
  <si>
    <t>Net profit (Tax Accounting)</t>
  </si>
  <si>
    <t>Cumulative net profit (Tax Accounting)</t>
  </si>
  <si>
    <t>Taxable Profits (after ECAs; add back in interest)</t>
  </si>
  <si>
    <t>Corporation Tax (ignoring interest payments)</t>
  </si>
  <si>
    <t>Net profit (tax accounting; ignoring interest pmts)</t>
  </si>
  <si>
    <t>Cumulative net profit (tax accountign; ignoring interest pmts)</t>
  </si>
  <si>
    <t>Interest Tax Shield</t>
  </si>
  <si>
    <t>Net Profit</t>
  </si>
  <si>
    <t>Dividends</t>
  </si>
  <si>
    <t>Retained Earnings</t>
  </si>
  <si>
    <t>Cash Flow</t>
  </si>
  <si>
    <t>Interest Paid</t>
  </si>
  <si>
    <t>Interest Received</t>
  </si>
  <si>
    <t>Interest tax shield</t>
  </si>
  <si>
    <t>Depreciation</t>
  </si>
  <si>
    <t>Cash from Operations</t>
  </si>
  <si>
    <t>Inverter replacement costs</t>
  </si>
  <si>
    <t>battery replacement costs</t>
  </si>
  <si>
    <t>Total Capex</t>
  </si>
  <si>
    <t>Inverter reserve account contribution</t>
  </si>
  <si>
    <t>Inverter reserve account withdrawals</t>
  </si>
  <si>
    <t>Battery reserve account contribution</t>
  </si>
  <si>
    <t>Battery reserve account withdrawals</t>
  </si>
  <si>
    <t>Project Cash Flow</t>
  </si>
  <si>
    <t>Equity Cash Flows</t>
  </si>
  <si>
    <t>Project Cumulative Cash Flow</t>
  </si>
  <si>
    <t>Add Equity Raised</t>
  </si>
  <si>
    <t>Add Debt Raised</t>
  </si>
  <si>
    <t>interest</t>
  </si>
  <si>
    <t>Dept repayment</t>
  </si>
  <si>
    <t>Less Dividends Paid</t>
  </si>
  <si>
    <t>Less Principal Repaid</t>
  </si>
  <si>
    <t>Less Interest Paid</t>
  </si>
  <si>
    <t>Add Interest Received</t>
  </si>
  <si>
    <t>Add Interest Tax Shield</t>
  </si>
  <si>
    <t>Less Cash Distribution to equity</t>
  </si>
  <si>
    <t>Cash Flow After Financing</t>
  </si>
  <si>
    <t>Project Cash Flow (pre fees, pre tax)</t>
  </si>
  <si>
    <t>Project Cash Flow (post tax)</t>
  </si>
  <si>
    <t>Balance Sheet</t>
  </si>
  <si>
    <t>Assets</t>
  </si>
  <si>
    <t>Fixed Assets</t>
  </si>
  <si>
    <t>Current Assets</t>
  </si>
  <si>
    <t>MMRA balance</t>
  </si>
  <si>
    <t>Total Assets</t>
  </si>
  <si>
    <t>Liabilities</t>
  </si>
  <si>
    <t>Debt</t>
  </si>
  <si>
    <t>Total Liabilities</t>
  </si>
  <si>
    <t>Shareholders Equity</t>
  </si>
  <si>
    <t>Common Equity</t>
  </si>
  <si>
    <t>Total Equity</t>
  </si>
  <si>
    <t>Balance Check</t>
  </si>
  <si>
    <t>Other Additionals</t>
  </si>
  <si>
    <t>Debt total costs</t>
  </si>
  <si>
    <t>Equity</t>
  </si>
  <si>
    <t>Financing</t>
  </si>
  <si>
    <t>Just change these ones</t>
  </si>
  <si>
    <t>Term</t>
  </si>
  <si>
    <t xml:space="preserve">Interest Rate </t>
  </si>
  <si>
    <t>Equity IRR pre tax</t>
  </si>
  <si>
    <t>Equity IRR post tax</t>
  </si>
  <si>
    <t>Amortisation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</si>
</sst>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_-&quot;£&quot;* #,##0.00_-;\-&quot;£&quot;* #,##0.00_-;_-&quot;£&quot;* &quot;-&quot;??_-;_-@_-"/>
    <numFmt numFmtId="166" formatCode="&quot;£&quot;#,##0"/>
    <numFmt numFmtId="167" formatCode="0.0%"/>
    <numFmt numFmtId="168" formatCode="_-&quot;£&quot;* #,##0_-;\-&quot;£&quot;* #,##0_-;_-&quot;£&quot;* &quot;-&quot;??_-;_-@_-"/>
    <numFmt numFmtId="169" formatCode="0.000%"/>
    <numFmt numFmtId="170" formatCode="0.000"/>
    <numFmt numFmtId="171" formatCode="&quot;£&quot;#,##0.00"/>
    <numFmt numFmtId="172" formatCode="_-* #,##0_-;\-* #,##0_-;_-* &quot;-&quot;??_-;_-@_-"/>
    <numFmt numFmtId="173" formatCode="_ * #,##0.00_ ;_ * \-#,##0.00_ ;_ * &quot;-&quot;??_ ;_ @_ "/>
    <numFmt numFmtId="174" formatCode="_(* #,##0_);_(* \(#,##0\);_(* &quot;-&quot;??_);_(@_)"/>
    <numFmt numFmtId="175" formatCode="_-* #,##0.0_-;\-* #,##0.0_-;_-* &quot;-&quot;??_-;_-@_-"/>
    <numFmt numFmtId="176" formatCode="_-* #,##0.00_-;\-* #,##0.00_-;_-* &quot;-&quot;??_-;_-@_-"/>
    <numFmt numFmtId="177" formatCode="_-* #,##0_-;\-* #,##0_-;_-* &quot;-&quot;?_-;_-@_-"/>
    <numFmt numFmtId="178" formatCode="_(&quot;£&quot;* #,##0_);_(&quot;£&quot;* \(#,##0\);_(&quot;£&quot;* &quot;-&quot;??_);_(@_)"/>
    <numFmt numFmtId="179" formatCode="#,##0_ ;\-#,##0\ "/>
    <numFmt numFmtId="180" formatCode="_-&quot;£&quot;* #,##0_-;\-&quot;£&quot;* #,##0_-;_-&quot;£&quot;* &quot;-&quot;_-;_-@_-"/>
    <numFmt numFmtId="181" formatCode="#,##0.0_ ;\-#,##0.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8"/>
      <color theme="8" tint="-0.249977111117893"/>
      <name val="Calibri"/>
      <family val="2"/>
    </font>
    <font>
      <i/>
      <sz val="8"/>
      <color theme="1"/>
      <name val="Calibri Light"/>
      <family val="2"/>
      <scheme val="major"/>
    </font>
    <font>
      <i/>
      <sz val="8"/>
      <color theme="8" tint="-0.249977111117893"/>
      <name val="Calibri Light"/>
      <family val="2"/>
      <scheme val="major"/>
    </font>
    <font>
      <i/>
      <sz val="8"/>
      <color rgb="FF00B050"/>
      <name val="Calibri Light"/>
      <family val="2"/>
      <scheme val="major"/>
    </font>
    <font>
      <i/>
      <sz val="11"/>
      <color theme="8" tint="-0.249977111117893"/>
      <name val="Calibri Light"/>
      <family val="2"/>
      <scheme val="major"/>
    </font>
    <font>
      <b/>
      <i/>
      <sz val="11"/>
      <color theme="8" tint="-0.249977111117893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sz val="11"/>
      <color rgb="FF444444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sz val="16"/>
      <color theme="1"/>
      <name val="Calibri"/>
      <family val="2"/>
      <scheme val="minor"/>
    </font>
    <font>
      <sz val="11"/>
      <color theme="0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164" fontId="1" fillId="0" borderId="0"/>
    <xf numFmtId="9" fontId="1" fillId="0" borderId="0"/>
  </cellStyleXfs>
  <cellXfs count="227">
    <xf numFmtId="0" fontId="0" fillId="0" borderId="0" xfId="0"/>
    <xf numFmtId="165" fontId="0" fillId="0" borderId="0" xfId="2" applyNumberFormat="1" applyFont="1"/>
    <xf numFmtId="0" fontId="2" fillId="3" borderId="0" xfId="0" applyFont="1" applyFill="1"/>
    <xf numFmtId="0" fontId="4" fillId="0" borderId="0" xfId="0" applyFont="1"/>
    <xf numFmtId="0" fontId="6" fillId="0" borderId="0" xfId="0" applyFont="1"/>
    <xf numFmtId="166" fontId="4" fillId="4" borderId="0" xfId="1" applyNumberFormat="1" applyFont="1" applyFill="1"/>
    <xf numFmtId="166" fontId="0" fillId="0" borderId="0" xfId="0" applyNumberFormat="1"/>
    <xf numFmtId="10" fontId="7" fillId="0" borderId="0" xfId="0" applyNumberFormat="1" applyFont="1"/>
    <xf numFmtId="0" fontId="7" fillId="5" borderId="0" xfId="0" applyFont="1" applyFill="1"/>
    <xf numFmtId="43" fontId="0" fillId="2" borderId="0" xfId="0" applyNumberFormat="1" applyFill="1"/>
    <xf numFmtId="0" fontId="0" fillId="6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67" fontId="4" fillId="4" borderId="0" xfId="0" applyNumberFormat="1" applyFont="1" applyFill="1"/>
    <xf numFmtId="0" fontId="8" fillId="0" borderId="0" xfId="0" applyFont="1"/>
    <xf numFmtId="0" fontId="3" fillId="0" borderId="0" xfId="0" applyFont="1"/>
    <xf numFmtId="168" fontId="8" fillId="5" borderId="0" xfId="0" applyNumberFormat="1" applyFont="1" applyFill="1"/>
    <xf numFmtId="169" fontId="4" fillId="2" borderId="0" xfId="0" applyNumberFormat="1" applyFont="1" applyFill="1" applyAlignment="1">
      <alignment vertical="center"/>
    </xf>
    <xf numFmtId="168" fontId="0" fillId="7" borderId="0" xfId="0" applyNumberFormat="1" applyFill="1"/>
    <xf numFmtId="10" fontId="0" fillId="0" borderId="0" xfId="0" applyNumberFormat="1"/>
    <xf numFmtId="170" fontId="7" fillId="0" borderId="0" xfId="1" applyNumberFormat="1" applyFont="1"/>
    <xf numFmtId="168" fontId="7" fillId="2" borderId="0" xfId="0" applyNumberFormat="1" applyFont="1" applyFill="1"/>
    <xf numFmtId="0" fontId="0" fillId="0" borderId="0" xfId="0" applyAlignment="1">
      <alignment horizontal="right" vertical="center"/>
    </xf>
    <xf numFmtId="10" fontId="7" fillId="5" borderId="0" xfId="0" applyNumberFormat="1" applyFont="1" applyFill="1"/>
    <xf numFmtId="168" fontId="7" fillId="5" borderId="0" xfId="0" applyNumberFormat="1" applyFont="1" applyFill="1"/>
    <xf numFmtId="0" fontId="9" fillId="0" borderId="0" xfId="0" applyFont="1" applyAlignment="1">
      <alignment vertical="center"/>
    </xf>
    <xf numFmtId="171" fontId="5" fillId="0" borderId="0" xfId="0" applyNumberFormat="1" applyFont="1" applyAlignment="1">
      <alignment vertical="center"/>
    </xf>
    <xf numFmtId="168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/>
    <xf numFmtId="165" fontId="7" fillId="7" borderId="0" xfId="0" applyNumberFormat="1" applyFont="1" applyFill="1"/>
    <xf numFmtId="165" fontId="0" fillId="0" borderId="0" xfId="0" applyNumberFormat="1"/>
    <xf numFmtId="0" fontId="9" fillId="0" borderId="0" xfId="0" applyFont="1" applyAlignment="1">
      <alignment horizontal="left" vertical="center"/>
    </xf>
    <xf numFmtId="14" fontId="10" fillId="0" borderId="0" xfId="0" applyNumberFormat="1" applyFont="1"/>
    <xf numFmtId="0" fontId="8" fillId="0" borderId="0" xfId="0" applyFont="1" applyAlignment="1">
      <alignment horizontal="left"/>
    </xf>
    <xf numFmtId="0" fontId="3" fillId="5" borderId="0" xfId="0" applyFont="1" applyFill="1"/>
    <xf numFmtId="167" fontId="3" fillId="5" borderId="0" xfId="0" applyNumberFormat="1" applyFont="1" applyFill="1"/>
    <xf numFmtId="14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11" fillId="3" borderId="0" xfId="0" applyFont="1" applyFill="1"/>
    <xf numFmtId="2" fontId="0" fillId="0" borderId="0" xfId="1" applyNumberFormat="1" applyFont="1"/>
    <xf numFmtId="172" fontId="0" fillId="0" borderId="0" xfId="1" applyNumberFormat="1" applyFont="1"/>
    <xf numFmtId="174" fontId="0" fillId="0" borderId="0" xfId="0" applyNumberFormat="1"/>
    <xf numFmtId="10" fontId="0" fillId="0" borderId="0" xfId="3" applyNumberFormat="1" applyFont="1"/>
    <xf numFmtId="43" fontId="0" fillId="0" borderId="0" xfId="0" applyNumberFormat="1"/>
    <xf numFmtId="175" fontId="1" fillId="0" borderId="0" xfId="1" applyNumberFormat="1"/>
    <xf numFmtId="172" fontId="1" fillId="0" borderId="0" xfId="1" applyNumberFormat="1"/>
    <xf numFmtId="172" fontId="4" fillId="0" borderId="0" xfId="1" applyNumberFormat="1" applyFont="1"/>
    <xf numFmtId="176" fontId="0" fillId="0" borderId="0" xfId="0" applyNumberFormat="1"/>
    <xf numFmtId="0" fontId="4" fillId="8" borderId="0" xfId="0" applyFont="1" applyFill="1"/>
    <xf numFmtId="172" fontId="4" fillId="8" borderId="0" xfId="0" applyNumberFormat="1" applyFont="1" applyFill="1"/>
    <xf numFmtId="9" fontId="10" fillId="0" borderId="0" xfId="3" applyFont="1"/>
    <xf numFmtId="177" fontId="0" fillId="0" borderId="0" xfId="0" applyNumberFormat="1"/>
    <xf numFmtId="0" fontId="12" fillId="0" borderId="0" xfId="0" applyFont="1"/>
    <xf numFmtId="177" fontId="12" fillId="0" borderId="0" xfId="0" applyNumberFormat="1" applyFont="1"/>
    <xf numFmtId="172" fontId="12" fillId="0" borderId="0" xfId="1" applyNumberFormat="1" applyFont="1"/>
    <xf numFmtId="172" fontId="12" fillId="0" borderId="0" xfId="0" applyNumberFormat="1" applyFont="1"/>
    <xf numFmtId="0" fontId="13" fillId="0" borderId="0" xfId="0" applyFont="1"/>
    <xf numFmtId="0" fontId="10" fillId="0" borderId="0" xfId="0" applyFont="1"/>
    <xf numFmtId="172" fontId="10" fillId="0" borderId="0" xfId="0" applyNumberFormat="1" applyFont="1"/>
    <xf numFmtId="172" fontId="4" fillId="0" borderId="0" xfId="0" applyNumberFormat="1" applyFont="1"/>
    <xf numFmtId="0" fontId="14" fillId="0" borderId="0" xfId="0" applyFont="1"/>
    <xf numFmtId="172" fontId="14" fillId="0" borderId="0" xfId="1" applyNumberFormat="1" applyFont="1"/>
    <xf numFmtId="172" fontId="14" fillId="0" borderId="0" xfId="0" applyNumberFormat="1" applyFont="1"/>
    <xf numFmtId="0" fontId="4" fillId="2" borderId="0" xfId="0" applyFont="1" applyFill="1"/>
    <xf numFmtId="172" fontId="4" fillId="2" borderId="0" xfId="0" applyNumberFormat="1" applyFont="1" applyFill="1"/>
    <xf numFmtId="178" fontId="0" fillId="0" borderId="0" xfId="2" applyNumberFormat="1" applyFont="1"/>
    <xf numFmtId="178" fontId="15" fillId="0" borderId="0" xfId="2" applyNumberFormat="1" applyFont="1"/>
    <xf numFmtId="178" fontId="4" fillId="0" borderId="0" xfId="2" applyNumberFormat="1" applyFont="1"/>
    <xf numFmtId="9" fontId="4" fillId="0" borderId="0" xfId="0" applyNumberFormat="1" applyFont="1"/>
    <xf numFmtId="172" fontId="8" fillId="0" borderId="0" xfId="1" applyNumberFormat="1" applyFont="1"/>
    <xf numFmtId="0" fontId="16" fillId="0" borderId="0" xfId="0" applyFont="1"/>
    <xf numFmtId="172" fontId="16" fillId="0" borderId="0" xfId="0" applyNumberFormat="1" applyFont="1"/>
    <xf numFmtId="174" fontId="10" fillId="0" borderId="0" xfId="0" applyNumberFormat="1" applyFont="1"/>
    <xf numFmtId="174" fontId="16" fillId="0" borderId="0" xfId="0" applyNumberFormat="1" applyFont="1"/>
    <xf numFmtId="174" fontId="16" fillId="0" borderId="0" xfId="1" applyNumberFormat="1" applyFont="1"/>
    <xf numFmtId="172" fontId="10" fillId="0" borderId="0" xfId="1" applyNumberFormat="1" applyFont="1"/>
    <xf numFmtId="0" fontId="17" fillId="0" borderId="0" xfId="0" applyFont="1"/>
    <xf numFmtId="167" fontId="0" fillId="0" borderId="0" xfId="3" applyNumberFormat="1" applyFont="1"/>
    <xf numFmtId="172" fontId="0" fillId="0" borderId="0" xfId="0" applyNumberFormat="1" applyAlignment="1">
      <alignment vertical="center"/>
    </xf>
    <xf numFmtId="172" fontId="8" fillId="0" borderId="0" xfId="0" applyNumberFormat="1" applyFont="1"/>
    <xf numFmtId="165" fontId="0" fillId="9" borderId="0" xfId="2" applyNumberFormat="1" applyFont="1" applyFill="1"/>
    <xf numFmtId="176" fontId="7" fillId="0" borderId="0" xfId="1" applyNumberFormat="1" applyFont="1"/>
    <xf numFmtId="167" fontId="0" fillId="0" borderId="0" xfId="0" applyNumberFormat="1"/>
    <xf numFmtId="0" fontId="18" fillId="10" borderId="0" xfId="0" applyFont="1" applyFill="1"/>
    <xf numFmtId="0" fontId="18" fillId="0" borderId="0" xfId="0" applyFont="1"/>
    <xf numFmtId="0" fontId="18" fillId="11" borderId="0" xfId="0" applyFont="1" applyFill="1" applyAlignment="1">
      <alignment horizontal="center"/>
    </xf>
    <xf numFmtId="9" fontId="18" fillId="11" borderId="0" xfId="0" applyNumberFormat="1" applyFont="1" applyFill="1"/>
    <xf numFmtId="0" fontId="18" fillId="11" borderId="0" xfId="0" applyFont="1" applyFill="1"/>
    <xf numFmtId="0" fontId="19" fillId="10" borderId="0" xfId="0" applyFont="1" applyFill="1"/>
    <xf numFmtId="0" fontId="18" fillId="10" borderId="0" xfId="0" applyFont="1" applyFill="1" applyAlignment="1">
      <alignment horizontal="center"/>
    </xf>
    <xf numFmtId="2" fontId="18" fillId="11" borderId="0" xfId="0" applyNumberFormat="1" applyFont="1" applyFill="1"/>
    <xf numFmtId="176" fontId="18" fillId="12" borderId="0" xfId="1" applyNumberFormat="1" applyFont="1" applyFill="1"/>
    <xf numFmtId="0" fontId="21" fillId="10" borderId="0" xfId="0" applyFont="1" applyFill="1"/>
    <xf numFmtId="0" fontId="22" fillId="10" borderId="0" xfId="0" applyFont="1" applyFill="1"/>
    <xf numFmtId="0" fontId="23" fillId="10" borderId="0" xfId="0" applyFont="1" applyFill="1"/>
    <xf numFmtId="0" fontId="24" fillId="10" borderId="0" xfId="0" applyFont="1" applyFill="1"/>
    <xf numFmtId="0" fontId="25" fillId="10" borderId="0" xfId="0" applyFont="1" applyFill="1"/>
    <xf numFmtId="0" fontId="26" fillId="10" borderId="0" xfId="0" applyFont="1" applyFill="1"/>
    <xf numFmtId="0" fontId="27" fillId="0" borderId="0" xfId="0" applyFont="1"/>
    <xf numFmtId="179" fontId="0" fillId="0" borderId="0" xfId="0" applyNumberFormat="1" applyAlignment="1">
      <alignment vertical="center"/>
    </xf>
    <xf numFmtId="9" fontId="0" fillId="0" borderId="0" xfId="0" applyNumberFormat="1"/>
    <xf numFmtId="2" fontId="0" fillId="0" borderId="0" xfId="0" applyNumberFormat="1"/>
    <xf numFmtId="10" fontId="18" fillId="10" borderId="0" xfId="0" applyNumberFormat="1" applyFont="1" applyFill="1"/>
    <xf numFmtId="3" fontId="18" fillId="11" borderId="0" xfId="0" applyNumberFormat="1" applyFont="1" applyFill="1"/>
    <xf numFmtId="180" fontId="0" fillId="13" borderId="0" xfId="0" applyNumberFormat="1" applyFill="1"/>
    <xf numFmtId="0" fontId="28" fillId="0" borderId="0" xfId="0" applyFont="1"/>
    <xf numFmtId="180" fontId="0" fillId="0" borderId="0" xfId="0" applyNumberFormat="1"/>
    <xf numFmtId="180" fontId="18" fillId="10" borderId="0" xfId="0" applyNumberFormat="1" applyFont="1" applyFill="1"/>
    <xf numFmtId="0" fontId="18" fillId="5" borderId="0" xfId="0" applyFont="1" applyFill="1"/>
    <xf numFmtId="3" fontId="18" fillId="5" borderId="0" xfId="0" applyNumberFormat="1" applyFont="1" applyFill="1"/>
    <xf numFmtId="180" fontId="18" fillId="5" borderId="0" xfId="0" applyNumberFormat="1" applyFont="1" applyFill="1"/>
    <xf numFmtId="0" fontId="18" fillId="12" borderId="0" xfId="0" applyFont="1" applyFill="1"/>
    <xf numFmtId="0" fontId="19" fillId="0" borderId="0" xfId="0" applyFont="1"/>
    <xf numFmtId="0" fontId="19" fillId="5" borderId="0" xfId="0" applyFont="1" applyFill="1"/>
    <xf numFmtId="9" fontId="3" fillId="0" borderId="0" xfId="0" applyNumberFormat="1" applyFont="1"/>
    <xf numFmtId="0" fontId="0" fillId="2" borderId="0" xfId="0" applyFill="1"/>
    <xf numFmtId="172" fontId="0" fillId="2" borderId="0" xfId="1" applyNumberFormat="1" applyFont="1" applyFill="1"/>
    <xf numFmtId="10" fontId="3" fillId="0" borderId="0" xfId="0" applyNumberFormat="1" applyFont="1"/>
    <xf numFmtId="180" fontId="3" fillId="0" borderId="0" xfId="0" applyNumberFormat="1" applyFont="1"/>
    <xf numFmtId="2" fontId="18" fillId="0" borderId="0" xfId="0" applyNumberFormat="1" applyFont="1"/>
    <xf numFmtId="0" fontId="3" fillId="14" borderId="1" xfId="0" applyFont="1" applyFill="1" applyBorder="1"/>
    <xf numFmtId="0" fontId="3" fillId="0" borderId="2" xfId="0" applyFont="1" applyBorder="1"/>
    <xf numFmtId="9" fontId="3" fillId="14" borderId="3" xfId="0" applyNumberFormat="1" applyFont="1" applyFill="1" applyBorder="1"/>
    <xf numFmtId="0" fontId="0" fillId="14" borderId="4" xfId="0" applyFill="1" applyBorder="1"/>
    <xf numFmtId="0" fontId="3" fillId="0" borderId="5" xfId="0" applyFont="1" applyBorder="1"/>
    <xf numFmtId="0" fontId="18" fillId="14" borderId="6" xfId="0" applyFont="1" applyFill="1" applyBorder="1"/>
    <xf numFmtId="0" fontId="3" fillId="0" borderId="7" xfId="0" applyFont="1" applyBorder="1"/>
    <xf numFmtId="167" fontId="3" fillId="14" borderId="8" xfId="0" applyNumberFormat="1" applyFont="1" applyFill="1" applyBorder="1"/>
    <xf numFmtId="0" fontId="18" fillId="14" borderId="9" xfId="0" applyFont="1" applyFill="1" applyBorder="1"/>
    <xf numFmtId="2" fontId="18" fillId="15" borderId="0" xfId="0" applyNumberFormat="1" applyFont="1" applyFill="1"/>
    <xf numFmtId="1" fontId="18" fillId="0" borderId="0" xfId="0" applyNumberFormat="1" applyFont="1"/>
    <xf numFmtId="1" fontId="19" fillId="5" borderId="0" xfId="0" applyNumberFormat="1" applyFont="1" applyFill="1"/>
    <xf numFmtId="0" fontId="18" fillId="15" borderId="0" xfId="0" applyFont="1" applyFill="1"/>
    <xf numFmtId="0" fontId="23" fillId="0" borderId="0" xfId="0" applyFont="1"/>
    <xf numFmtId="0" fontId="18" fillId="10" borderId="2" xfId="0" applyFont="1" applyFill="1" applyBorder="1"/>
    <xf numFmtId="0" fontId="18" fillId="10" borderId="10" xfId="0" applyFont="1" applyFill="1" applyBorder="1"/>
    <xf numFmtId="9" fontId="18" fillId="11" borderId="10" xfId="0" applyNumberFormat="1" applyFont="1" applyFill="1" applyBorder="1"/>
    <xf numFmtId="0" fontId="22" fillId="10" borderId="11" xfId="0" applyFont="1" applyFill="1" applyBorder="1"/>
    <xf numFmtId="0" fontId="18" fillId="10" borderId="5" xfId="0" applyFont="1" applyFill="1" applyBorder="1"/>
    <xf numFmtId="0" fontId="22" fillId="10" borderId="12" xfId="0" applyFont="1" applyFill="1" applyBorder="1"/>
    <xf numFmtId="0" fontId="18" fillId="10" borderId="7" xfId="0" applyFont="1" applyFill="1" applyBorder="1"/>
    <xf numFmtId="0" fontId="18" fillId="10" borderId="13" xfId="0" applyFont="1" applyFill="1" applyBorder="1"/>
    <xf numFmtId="0" fontId="18" fillId="11" borderId="13" xfId="0" applyFont="1" applyFill="1" applyBorder="1"/>
    <xf numFmtId="0" fontId="22" fillId="10" borderId="14" xfId="0" applyFont="1" applyFill="1" applyBorder="1"/>
    <xf numFmtId="0" fontId="18" fillId="5" borderId="10" xfId="0" applyFont="1" applyFill="1" applyBorder="1"/>
    <xf numFmtId="180" fontId="18" fillId="5" borderId="13" xfId="0" applyNumberFormat="1" applyFont="1" applyFill="1" applyBorder="1"/>
    <xf numFmtId="3" fontId="18" fillId="10" borderId="0" xfId="0" applyNumberFormat="1" applyFont="1" applyFill="1"/>
    <xf numFmtId="180" fontId="18" fillId="10" borderId="13" xfId="0" applyNumberFormat="1" applyFont="1" applyFill="1" applyBorder="1"/>
    <xf numFmtId="181" fontId="7" fillId="0" borderId="0" xfId="1" applyNumberFormat="1" applyFont="1"/>
    <xf numFmtId="0" fontId="0" fillId="16" borderId="0" xfId="0" applyFill="1"/>
    <xf numFmtId="172" fontId="0" fillId="16" borderId="0" xfId="0" applyNumberFormat="1" applyFill="1"/>
    <xf numFmtId="172" fontId="0" fillId="16" borderId="0" xfId="1" applyNumberFormat="1" applyFont="1" applyFill="1"/>
    <xf numFmtId="174" fontId="10" fillId="16" borderId="0" xfId="0" applyNumberFormat="1" applyFont="1" applyFill="1"/>
    <xf numFmtId="170" fontId="7" fillId="16" borderId="0" xfId="1" applyNumberFormat="1" applyFont="1" applyFill="1"/>
    <xf numFmtId="165" fontId="7" fillId="16" borderId="0" xfId="0" applyNumberFormat="1" applyFont="1" applyFill="1"/>
    <xf numFmtId="167" fontId="7" fillId="0" borderId="0" xfId="0" applyNumberFormat="1" applyFont="1"/>
    <xf numFmtId="165" fontId="7" fillId="0" borderId="0" xfId="0" applyNumberFormat="1" applyFont="1"/>
    <xf numFmtId="0" fontId="7" fillId="0" borderId="0" xfId="1" applyNumberFormat="1" applyFont="1"/>
    <xf numFmtId="166" fontId="4" fillId="0" borderId="0" xfId="0" applyNumberFormat="1" applyFont="1" applyAlignment="1">
      <alignment vertical="center"/>
    </xf>
    <xf numFmtId="10" fontId="8" fillId="0" borderId="0" xfId="3" applyNumberFormat="1" applyFont="1" applyAlignment="1">
      <alignment vertical="center"/>
    </xf>
    <xf numFmtId="0" fontId="0" fillId="12" borderId="15" xfId="0" applyFill="1" applyBorder="1"/>
    <xf numFmtId="10" fontId="0" fillId="12" borderId="17" xfId="0" applyNumberFormat="1" applyFill="1" applyBorder="1"/>
    <xf numFmtId="0" fontId="0" fillId="12" borderId="17" xfId="0" applyFill="1" applyBorder="1"/>
    <xf numFmtId="180" fontId="0" fillId="12" borderId="17" xfId="0" applyNumberFormat="1" applyFill="1" applyBorder="1"/>
    <xf numFmtId="180" fontId="0" fillId="12" borderId="16" xfId="0" applyNumberFormat="1" applyFill="1" applyBorder="1"/>
    <xf numFmtId="0" fontId="0" fillId="5" borderId="2" xfId="0" applyFill="1" applyBorder="1"/>
    <xf numFmtId="10" fontId="0" fillId="5" borderId="10" xfId="0" applyNumberFormat="1" applyFill="1" applyBorder="1"/>
    <xf numFmtId="0" fontId="0" fillId="5" borderId="10" xfId="0" applyFill="1" applyBorder="1"/>
    <xf numFmtId="180" fontId="0" fillId="5" borderId="10" xfId="0" applyNumberFormat="1" applyFill="1" applyBorder="1"/>
    <xf numFmtId="180" fontId="0" fillId="5" borderId="11" xfId="0" applyNumberFormat="1" applyFill="1" applyBorder="1"/>
    <xf numFmtId="0" fontId="0" fillId="5" borderId="5" xfId="0" applyFill="1" applyBorder="1"/>
    <xf numFmtId="0" fontId="0" fillId="5" borderId="0" xfId="0" applyFill="1"/>
    <xf numFmtId="180" fontId="0" fillId="5" borderId="0" xfId="0" applyNumberFormat="1" applyFill="1"/>
    <xf numFmtId="180" fontId="0" fillId="5" borderId="12" xfId="0" applyNumberFormat="1" applyFill="1" applyBorder="1"/>
    <xf numFmtId="0" fontId="0" fillId="5" borderId="12" xfId="0" applyFill="1" applyBorder="1"/>
    <xf numFmtId="0" fontId="0" fillId="5" borderId="7" xfId="0" applyFill="1" applyBorder="1"/>
    <xf numFmtId="0" fontId="0" fillId="5" borderId="13" xfId="0" applyFill="1" applyBorder="1"/>
    <xf numFmtId="180" fontId="0" fillId="5" borderId="13" xfId="0" applyNumberFormat="1" applyFill="1" applyBorder="1"/>
    <xf numFmtId="180" fontId="0" fillId="5" borderId="14" xfId="0" applyNumberFormat="1" applyFill="1" applyBorder="1"/>
    <xf numFmtId="0" fontId="18" fillId="11" borderId="15" xfId="0" applyFont="1" applyFill="1" applyBorder="1"/>
    <xf numFmtId="180" fontId="18" fillId="11" borderId="16" xfId="0" applyNumberFormat="1" applyFont="1" applyFill="1" applyBorder="1"/>
    <xf numFmtId="10" fontId="18" fillId="11" borderId="18" xfId="0" applyNumberFormat="1" applyFont="1" applyFill="1" applyBorder="1"/>
    <xf numFmtId="0" fontId="18" fillId="12" borderId="15" xfId="0" applyFont="1" applyFill="1" applyBorder="1"/>
    <xf numFmtId="180" fontId="18" fillId="12" borderId="16" xfId="0" applyNumberFormat="1" applyFont="1" applyFill="1" applyBorder="1"/>
    <xf numFmtId="10" fontId="18" fillId="12" borderId="18" xfId="0" applyNumberFormat="1" applyFont="1" applyFill="1" applyBorder="1"/>
    <xf numFmtId="2" fontId="18" fillId="10" borderId="0" xfId="0" applyNumberFormat="1" applyFont="1" applyFill="1"/>
    <xf numFmtId="0" fontId="18" fillId="17" borderId="2" xfId="0" applyFont="1" applyFill="1" applyBorder="1"/>
    <xf numFmtId="0" fontId="18" fillId="17" borderId="11" xfId="0" applyFont="1" applyFill="1" applyBorder="1"/>
    <xf numFmtId="0" fontId="18" fillId="17" borderId="7" xfId="0" applyFont="1" applyFill="1" applyBorder="1"/>
    <xf numFmtId="180" fontId="18" fillId="17" borderId="14" xfId="0" applyNumberFormat="1" applyFont="1" applyFill="1" applyBorder="1"/>
    <xf numFmtId="0" fontId="18" fillId="17" borderId="15" xfId="0" applyFont="1" applyFill="1" applyBorder="1"/>
    <xf numFmtId="180" fontId="18" fillId="17" borderId="16" xfId="0" applyNumberFormat="1" applyFont="1" applyFill="1" applyBorder="1"/>
    <xf numFmtId="10" fontId="18" fillId="17" borderId="18" xfId="0" applyNumberFormat="1" applyFont="1" applyFill="1" applyBorder="1"/>
    <xf numFmtId="0" fontId="0" fillId="16" borderId="15" xfId="0" applyFill="1" applyBorder="1"/>
    <xf numFmtId="165" fontId="18" fillId="16" borderId="16" xfId="0" applyNumberFormat="1" applyFont="1" applyFill="1" applyBorder="1"/>
    <xf numFmtId="9" fontId="18" fillId="12" borderId="17" xfId="0" applyNumberFormat="1" applyFont="1" applyFill="1" applyBorder="1"/>
    <xf numFmtId="0" fontId="18" fillId="12" borderId="2" xfId="0" applyFont="1" applyFill="1" applyBorder="1"/>
    <xf numFmtId="0" fontId="18" fillId="12" borderId="5" xfId="0" applyFont="1" applyFill="1" applyBorder="1"/>
    <xf numFmtId="0" fontId="18" fillId="12" borderId="12" xfId="0" applyFont="1" applyFill="1" applyBorder="1"/>
    <xf numFmtId="10" fontId="19" fillId="12" borderId="11" xfId="0" applyNumberFormat="1" applyFont="1" applyFill="1" applyBorder="1"/>
    <xf numFmtId="180" fontId="19" fillId="12" borderId="15" xfId="0" applyNumberFormat="1" applyFont="1" applyFill="1" applyBorder="1"/>
    <xf numFmtId="10" fontId="19" fillId="12" borderId="16" xfId="0" applyNumberFormat="1" applyFont="1" applyFill="1" applyBorder="1"/>
    <xf numFmtId="10" fontId="19" fillId="18" borderId="0" xfId="0" applyNumberFormat="1" applyFont="1" applyFill="1"/>
    <xf numFmtId="10" fontId="19" fillId="5" borderId="0" xfId="0" applyNumberFormat="1" applyFont="1" applyFill="1"/>
    <xf numFmtId="165" fontId="19" fillId="12" borderId="10" xfId="0" applyNumberFormat="1" applyFont="1" applyFill="1" applyBorder="1"/>
    <xf numFmtId="0" fontId="0" fillId="19" borderId="0" xfId="0" applyFill="1"/>
    <xf numFmtId="10" fontId="18" fillId="19" borderId="0" xfId="0" applyNumberFormat="1" applyFont="1" applyFill="1"/>
    <xf numFmtId="0" fontId="29" fillId="20" borderId="18" xfId="0" applyFont="1" applyFill="1" applyBorder="1"/>
    <xf numFmtId="0" fontId="29" fillId="2" borderId="18" xfId="0" applyFont="1" applyFill="1" applyBorder="1"/>
    <xf numFmtId="0" fontId="0" fillId="8" borderId="0" xfId="0" applyFill="1"/>
    <xf numFmtId="2" fontId="29" fillId="2" borderId="18" xfId="0" applyNumberFormat="1" applyFont="1" applyFill="1" applyBorder="1" applyProtection="1">
      <protection locked="0"/>
    </xf>
    <xf numFmtId="0" fontId="29" fillId="20" borderId="18" xfId="0" applyFont="1" applyFill="1" applyBorder="1" applyProtection="1">
      <protection locked="0"/>
    </xf>
    <xf numFmtId="0" fontId="0" fillId="10" borderId="0" xfId="0" applyFill="1"/>
    <xf numFmtId="0" fontId="29" fillId="10" borderId="0" xfId="0" applyFont="1" applyFill="1"/>
    <xf numFmtId="0" fontId="29" fillId="10" borderId="18" xfId="0" applyFont="1" applyFill="1" applyBorder="1"/>
    <xf numFmtId="2" fontId="29" fillId="10" borderId="18" xfId="0" applyNumberFormat="1" applyFont="1" applyFill="1" applyBorder="1"/>
    <xf numFmtId="3" fontId="29" fillId="10" borderId="18" xfId="0" applyNumberFormat="1" applyFont="1" applyFill="1" applyBorder="1"/>
    <xf numFmtId="2" fontId="29" fillId="20" borderId="18" xfId="0" applyNumberFormat="1" applyFont="1" applyFill="1" applyBorder="1" applyProtection="1">
      <protection locked="0"/>
    </xf>
    <xf numFmtId="3" fontId="29" fillId="20" borderId="18" xfId="0" applyNumberFormat="1" applyFont="1" applyFill="1" applyBorder="1" applyProtection="1">
      <protection locked="0"/>
    </xf>
    <xf numFmtId="10" fontId="30" fillId="0" borderId="0" xfId="0" applyNumberFormat="1" applyFont="1"/>
    <xf numFmtId="0" fontId="29" fillId="20" borderId="15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/>
    <xf numFmtId="0" fontId="0" fillId="9" borderId="0" xfId="0" applyFill="1" applyAlignment="1">
      <alignment horizontal="center" vertical="center"/>
    </xf>
    <xf numFmtId="0" fontId="20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color theme="6" tint="-0.24994659260841701"/>
      </font>
      <fill>
        <patternFill>
          <bgColor theme="6" tint="0.79998168889431442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ROI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'Calculation Debt'!$C$161:$AB$161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'Calculation Debt'!$C$159:$AB$159</c:f>
              <c:numCache>
                <c:formatCode>_-* #,##0_-;\-* #,##0_-;_-* "-"??_-;_-@_-</c:formatCode>
                <c:ptCount val="26"/>
                <c:pt idx="0">
                  <c:v>-38160</c:v>
                </c:pt>
                <c:pt idx="1">
                  <c:v>-39359.540708811364</c:v>
                </c:pt>
                <c:pt idx="2">
                  <c:v>-40231.332979210354</c:v>
                </c:pt>
                <c:pt idx="3">
                  <c:v>-40773.556675733525</c:v>
                </c:pt>
                <c:pt idx="4">
                  <c:v>-40661.291882343845</c:v>
                </c:pt>
                <c:pt idx="5">
                  <c:v>-40207.643227008826</c:v>
                </c:pt>
                <c:pt idx="6">
                  <c:v>-39410.48919449289</c:v>
                </c:pt>
                <c:pt idx="7">
                  <c:v>-38267.668927170656</c:v>
                </c:pt>
                <c:pt idx="8">
                  <c:v>-36776.981513665101</c:v>
                </c:pt>
                <c:pt idx="9">
                  <c:v>-34936.185265111577</c:v>
                </c:pt>
                <c:pt idx="10">
                  <c:v>-32742.996978845891</c:v>
                </c:pt>
                <c:pt idx="11">
                  <c:v>-29715.091189311708</c:v>
                </c:pt>
                <c:pt idx="12">
                  <c:v>-26330.099405979592</c:v>
                </c:pt>
                <c:pt idx="13">
                  <c:v>-22585.609338067035</c:v>
                </c:pt>
                <c:pt idx="14">
                  <c:v>-18479.164105845837</c:v>
                </c:pt>
                <c:pt idx="15">
                  <c:v>-14322.196078740106</c:v>
                </c:pt>
                <c:pt idx="16">
                  <c:v>-8404.1646427915603</c:v>
                </c:pt>
                <c:pt idx="17">
                  <c:v>-2380.6521344516586</c:v>
                </c:pt>
                <c:pt idx="18">
                  <c:v>3750.3239950334246</c:v>
                </c:pt>
                <c:pt idx="19">
                  <c:v>9990.7828503849996</c:v>
                </c:pt>
                <c:pt idx="20">
                  <c:v>16342.780747661986</c:v>
                </c:pt>
                <c:pt idx="21">
                  <c:v>16342.780747661986</c:v>
                </c:pt>
                <c:pt idx="22">
                  <c:v>16342.780747661986</c:v>
                </c:pt>
                <c:pt idx="23">
                  <c:v>16342.780747661986</c:v>
                </c:pt>
                <c:pt idx="24">
                  <c:v>16342.780747661986</c:v>
                </c:pt>
                <c:pt idx="25">
                  <c:v>16342.780747661986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E-3542-B0A7-81263D560D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'Calculation Debt'!$C$161:$AB$161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'Calculation Debt'!$C$158:$AB$158</c:f>
              <c:numCache>
                <c:formatCode>_-* #,##0_-;\-* #,##0_-;_-* "-"??_-;_-@_-</c:formatCode>
                <c:ptCount val="26"/>
                <c:pt idx="0">
                  <c:v>-38160</c:v>
                </c:pt>
                <c:pt idx="1">
                  <c:v>-39359.540708811364</c:v>
                </c:pt>
                <c:pt idx="2">
                  <c:v>-40231.332979210354</c:v>
                </c:pt>
                <c:pt idx="3">
                  <c:v>-40773.556675733525</c:v>
                </c:pt>
                <c:pt idx="4">
                  <c:v>-40661.291882343845</c:v>
                </c:pt>
                <c:pt idx="5">
                  <c:v>-40207.643227008826</c:v>
                </c:pt>
                <c:pt idx="6">
                  <c:v>-39410.48919449289</c:v>
                </c:pt>
                <c:pt idx="7">
                  <c:v>-38267.668927170656</c:v>
                </c:pt>
                <c:pt idx="8">
                  <c:v>-36776.981513665101</c:v>
                </c:pt>
                <c:pt idx="9">
                  <c:v>-34936.185265111577</c:v>
                </c:pt>
                <c:pt idx="10">
                  <c:v>-32742.996978845891</c:v>
                </c:pt>
                <c:pt idx="11">
                  <c:v>-29715.091189311708</c:v>
                </c:pt>
                <c:pt idx="12">
                  <c:v>-26330.099405979592</c:v>
                </c:pt>
                <c:pt idx="13">
                  <c:v>-22585.609338067035</c:v>
                </c:pt>
                <c:pt idx="14">
                  <c:v>-18479.164105845837</c:v>
                </c:pt>
                <c:pt idx="15">
                  <c:v>-14008.26143832014</c:v>
                </c:pt>
                <c:pt idx="16">
                  <c:v>-6626.3528570554117</c:v>
                </c:pt>
                <c:pt idx="17">
                  <c:v>896.19715406445721</c:v>
                </c:pt>
                <c:pt idx="18">
                  <c:v>8562.031993377901</c:v>
                </c:pt>
                <c:pt idx="19">
                  <c:v>16373.843800513334</c:v>
                </c:pt>
                <c:pt idx="20">
                  <c:v>24334.374330215982</c:v>
                </c:pt>
                <c:pt idx="21">
                  <c:v>24334.374330215982</c:v>
                </c:pt>
                <c:pt idx="22">
                  <c:v>24334.374330215982</c:v>
                </c:pt>
                <c:pt idx="23">
                  <c:v>24334.374330215982</c:v>
                </c:pt>
                <c:pt idx="24">
                  <c:v>24334.374330215982</c:v>
                </c:pt>
                <c:pt idx="25">
                  <c:v>24334.374330215982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E-3542-B0A7-81263D560DE2}"/>
            </c:ext>
          </c:extLst>
        </c:ser>
        <c:ser>
          <c:idx val="2"/>
          <c:order val="2"/>
          <c:tx>
            <c:v>Zero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'Calculation Debt'!$C$161:$AB$161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'Calculation Debt'!$C$160:$O$160</c:f>
              <c:numCache>
                <c:formatCode>#,##0_ ;\-#,##0\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E-3542-B0A7-81263D56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783568"/>
        <c:axId val="977782128"/>
      </c:lineChart>
      <c:catAx>
        <c:axId val="9777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2128"/>
        <c:crosses val="autoZero"/>
        <c:auto val="1"/>
        <c:lblAlgn val="ctr"/>
        <c:lblOffset val="100"/>
        <c:noMultiLvlLbl val="0"/>
      </c:catAx>
      <c:valAx>
        <c:axId val="9777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ROI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'Without Debt'!$C$160:$AB$160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'Without Debt'!$C$158:$AB$158</c:f>
              <c:numCache>
                <c:formatCode>_-* #,##0_-;\-* #,##0_-;_-* "-"??_-;_-@_-</c:formatCode>
                <c:ptCount val="26"/>
                <c:pt idx="0">
                  <c:v>-38160</c:v>
                </c:pt>
                <c:pt idx="1">
                  <c:v>-34194.25553160852</c:v>
                </c:pt>
                <c:pt idx="2">
                  <c:v>-30154.419734407762</c:v>
                </c:pt>
                <c:pt idx="3">
                  <c:v>-26039.127506800141</c:v>
                </c:pt>
                <c:pt idx="4">
                  <c:v>-21604.688911757879</c:v>
                </c:pt>
                <c:pt idx="5">
                  <c:v>-17085.932420256613</c:v>
                </c:pt>
                <c:pt idx="6">
                  <c:v>-12481.266895869659</c:v>
                </c:pt>
                <c:pt idx="7">
                  <c:v>-7789.0716953779847</c:v>
                </c:pt>
                <c:pt idx="8">
                  <c:v>-3007.6961352488179</c:v>
                </c:pt>
                <c:pt idx="9">
                  <c:v>1864.5410511663249</c:v>
                </c:pt>
                <c:pt idx="10">
                  <c:v>6829.3522658655911</c:v>
                </c:pt>
                <c:pt idx="11">
                  <c:v>12248.481608016229</c:v>
                </c:pt>
                <c:pt idx="12">
                  <c:v>17763.705445515316</c:v>
                </c:pt>
                <c:pt idx="13">
                  <c:v>23376.832996449732</c:v>
                </c:pt>
                <c:pt idx="14">
                  <c:v>29089.70692061563</c:v>
                </c:pt>
                <c:pt idx="15">
                  <c:v>34904.203921259905</c:v>
                </c:pt>
                <c:pt idx="16">
                  <c:v>40822.235357208454</c:v>
                </c:pt>
                <c:pt idx="17">
                  <c:v>46845.747865548357</c:v>
                </c:pt>
                <c:pt idx="18">
                  <c:v>52976.723995033441</c:v>
                </c:pt>
                <c:pt idx="19">
                  <c:v>59217.182850385012</c:v>
                </c:pt>
                <c:pt idx="20">
                  <c:v>65569.180747662002</c:v>
                </c:pt>
                <c:pt idx="21">
                  <c:v>65569.180747662002</c:v>
                </c:pt>
                <c:pt idx="22">
                  <c:v>65569.180747662002</c:v>
                </c:pt>
                <c:pt idx="23">
                  <c:v>65569.180747662002</c:v>
                </c:pt>
                <c:pt idx="24">
                  <c:v>65569.180747662002</c:v>
                </c:pt>
                <c:pt idx="25">
                  <c:v>65569.180747662002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C-8C46-AF02-0A7650D11B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'Without Debt'!$C$160:$AB$160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'Without Debt'!$C$157:$AB$157</c:f>
              <c:numCache>
                <c:formatCode>_-* #,##0_-;\-* #,##0_-;_-* "-"??_-;_-@_-</c:formatCode>
                <c:ptCount val="26"/>
                <c:pt idx="0">
                  <c:v>-38160</c:v>
                </c:pt>
                <c:pt idx="1">
                  <c:v>-33381.140708811363</c:v>
                </c:pt>
                <c:pt idx="2">
                  <c:v>-28503.49297921035</c:v>
                </c:pt>
                <c:pt idx="3">
                  <c:v>-23525.236675733518</c:v>
                </c:pt>
                <c:pt idx="4">
                  <c:v>-18121.451882343837</c:v>
                </c:pt>
                <c:pt idx="5">
                  <c:v>-12605.243227008817</c:v>
                </c:pt>
                <c:pt idx="6">
                  <c:v>-6974.4891944928786</c:v>
                </c:pt>
                <c:pt idx="7">
                  <c:v>-1227.0289271706451</c:v>
                </c:pt>
                <c:pt idx="8">
                  <c:v>4639.3384863349111</c:v>
                </c:pt>
                <c:pt idx="9">
                  <c:v>10626.854734888435</c:v>
                </c:pt>
                <c:pt idx="10">
                  <c:v>16737.803021154123</c:v>
                </c:pt>
                <c:pt idx="11">
                  <c:v>23454.508810688305</c:v>
                </c:pt>
                <c:pt idx="12">
                  <c:v>30299.340594020421</c:v>
                </c:pt>
                <c:pt idx="13">
                  <c:v>37274.710661932979</c:v>
                </c:pt>
                <c:pt idx="14">
                  <c:v>44383.075894154179</c:v>
                </c:pt>
                <c:pt idx="15">
                  <c:v>51626.938561679875</c:v>
                </c:pt>
                <c:pt idx="16">
                  <c:v>59008.847142944607</c:v>
                </c:pt>
                <c:pt idx="17">
                  <c:v>66531.397154064471</c:v>
                </c:pt>
                <c:pt idx="18">
                  <c:v>74197.231993377907</c:v>
                </c:pt>
                <c:pt idx="19">
                  <c:v>82009.043800513347</c:v>
                </c:pt>
                <c:pt idx="20">
                  <c:v>89969.574330215997</c:v>
                </c:pt>
                <c:pt idx="21">
                  <c:v>89969.574330215997</c:v>
                </c:pt>
                <c:pt idx="22">
                  <c:v>89969.574330215997</c:v>
                </c:pt>
                <c:pt idx="23">
                  <c:v>89969.574330215997</c:v>
                </c:pt>
                <c:pt idx="24">
                  <c:v>89969.574330215997</c:v>
                </c:pt>
                <c:pt idx="25">
                  <c:v>89969.574330215997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C-8C46-AF02-0A7650D11BA8}"/>
            </c:ext>
          </c:extLst>
        </c:ser>
        <c:ser>
          <c:idx val="2"/>
          <c:order val="2"/>
          <c:tx>
            <c:v>Zero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'Without Debt'!$C$160:$AB$160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'Calculation Debt'!$C$160:$O$160</c:f>
              <c:numCache>
                <c:formatCode>#,##0_ ;\-#,##0\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C-8C46-AF02-0A7650D1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783568"/>
        <c:axId val="977782128"/>
      </c:lineChart>
      <c:catAx>
        <c:axId val="9777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2128"/>
        <c:crosses val="autoZero"/>
        <c:auto val="1"/>
        <c:lblAlgn val="ctr"/>
        <c:lblOffset val="100"/>
        <c:noMultiLvlLbl val="0"/>
      </c:catAx>
      <c:valAx>
        <c:axId val="9777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8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23118</xdr:colOff>
      <xdr:row>0</xdr:row>
      <xdr:rowOff>0</xdr:rowOff>
    </xdr:from>
    <xdr:to>
      <xdr:col>9</xdr:col>
      <xdr:colOff>0</xdr:colOff>
      <xdr:row>30</xdr:row>
      <xdr:rowOff>182561</xdr:rowOff>
    </xdr:to>
    <xdr:pic>
      <xdr:nvPicPr>
        <xdr:cNvPr id="2" name="Picture 1" descr="A solar panels and wind turbines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118" y="0"/>
          <a:ext cx="5477570" cy="565943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1592582</xdr:colOff>
      <xdr:row>0</xdr:row>
      <xdr:rowOff>0</xdr:rowOff>
    </xdr:from>
    <xdr:to>
      <xdr:col>6</xdr:col>
      <xdr:colOff>15240</xdr:colOff>
      <xdr:row>2</xdr:row>
      <xdr:rowOff>135842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3122" y="0"/>
          <a:ext cx="2209798" cy="1469342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370113</xdr:colOff>
      <xdr:row>2</xdr:row>
      <xdr:rowOff>87084</xdr:rowOff>
    </xdr:from>
    <xdr:to>
      <xdr:col>23</xdr:col>
      <xdr:colOff>957943</xdr:colOff>
      <xdr:row>25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24</xdr:col>
      <xdr:colOff>555172</xdr:colOff>
      <xdr:row>26</xdr:row>
      <xdr:rowOff>76202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I32"/>
  <sheetViews>
    <sheetView zoomScale="90" zoomScaleNormal="90" workbookViewId="0">
      <selection sqref="A1:XFD1"/>
    </sheetView>
  </sheetViews>
  <sheetFormatPr defaultColWidth="0" defaultRowHeight="14.4" zeroHeight="1" x14ac:dyDescent="0.3"/>
  <cols>
    <col min="1" max="9" width="8.77734375" customWidth="1"/>
    <col min="10" max="10" width="8.77734375" hidden="1" customWidth="1"/>
    <col min="11" max="16384" width="8.777343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BL27"/>
  <sheetViews>
    <sheetView zoomScale="80" zoomScaleNormal="80" workbookViewId="0">
      <selection activeCell="I6" sqref="F6:I6"/>
    </sheetView>
  </sheetViews>
  <sheetFormatPr defaultColWidth="9.44140625" defaultRowHeight="14.4" zeroHeight="1" x14ac:dyDescent="0.3"/>
  <cols>
    <col min="1" max="1" width="9.44140625" style="86" customWidth="1"/>
    <col min="2" max="2" width="16.44140625" style="86" customWidth="1"/>
    <col min="3" max="3" width="9.44140625" style="86" customWidth="1"/>
    <col min="4" max="4" width="17.44140625" style="86" customWidth="1"/>
    <col min="5" max="5" width="11.77734375" style="86" customWidth="1"/>
    <col min="6" max="6" width="14.44140625" style="86" customWidth="1"/>
    <col min="7" max="11" width="9.44140625" style="86" customWidth="1"/>
    <col min="12" max="12" width="14.33203125" style="86" customWidth="1"/>
    <col min="13" max="13" width="13.44140625" style="86" customWidth="1"/>
    <col min="14" max="15" width="9.44140625" style="86" customWidth="1"/>
    <col min="16" max="16" width="26" style="199" customWidth="1"/>
    <col min="17" max="17" width="14.33203125" style="113" customWidth="1"/>
    <col min="18" max="18" width="20.44140625" style="200" customWidth="1"/>
    <col min="19" max="19" width="9.44140625" style="86" customWidth="1"/>
    <col min="20" max="20" width="13.33203125" style="86" customWidth="1"/>
    <col min="21" max="21" width="18.109375" style="86" customWidth="1"/>
    <col min="22" max="22" width="9.44140625" style="86" customWidth="1"/>
    <col min="23" max="23" width="13.77734375" style="86" customWidth="1"/>
    <col min="24" max="25" width="9.44140625" style="86" customWidth="1"/>
    <col min="26" max="26" width="16.33203125" style="86" customWidth="1"/>
    <col min="27" max="30" width="9.44140625" style="86" customWidth="1"/>
    <col min="31" max="31" width="15.109375" style="86" customWidth="1"/>
    <col min="32" max="35" width="9.44140625" style="86" customWidth="1"/>
    <col min="36" max="36" width="16.33203125" style="86" customWidth="1"/>
    <col min="37" max="40" width="9.44140625" style="86" customWidth="1"/>
    <col min="41" max="41" width="19.33203125" style="86" customWidth="1"/>
    <col min="42" max="45" width="9.44140625" style="86" customWidth="1"/>
    <col min="46" max="46" width="17.6640625" style="86" customWidth="1"/>
    <col min="47" max="47" width="9.6640625" style="86" customWidth="1"/>
    <col min="48" max="50" width="9.44140625" style="86" customWidth="1"/>
    <col min="51" max="51" width="17.109375" style="86" customWidth="1"/>
    <col min="52" max="55" width="9.44140625" style="86" customWidth="1"/>
    <col min="56" max="56" width="18.77734375" style="86" customWidth="1"/>
    <col min="57" max="60" width="9.44140625" style="86" customWidth="1"/>
    <col min="61" max="61" width="16.6640625" style="86" customWidth="1"/>
    <col min="62" max="62" width="9.44140625" style="86" customWidth="1"/>
    <col min="63" max="16384" width="9.44140625" style="86"/>
  </cols>
  <sheetData>
    <row r="1" spans="1:64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P1" s="86"/>
      <c r="Q1" s="86"/>
      <c r="R1" s="86"/>
    </row>
    <row r="2" spans="1:64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P2" s="86"/>
      <c r="Q2" s="86"/>
      <c r="R2" s="86"/>
    </row>
    <row r="3" spans="1:64" x14ac:dyDescent="0.3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P3" s="86"/>
      <c r="Q3" s="86"/>
      <c r="R3" s="86"/>
    </row>
    <row r="4" spans="1:64" ht="15" customHeight="1" thickBot="1" x14ac:dyDescent="0.35">
      <c r="A4" s="85"/>
      <c r="B4" s="98" t="s">
        <v>0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P4" s="86"/>
      <c r="Q4" s="86"/>
      <c r="R4" s="86"/>
    </row>
    <row r="5" spans="1:64" x14ac:dyDescent="0.3">
      <c r="A5" s="85"/>
      <c r="B5" s="85"/>
      <c r="C5" s="85"/>
      <c r="D5" s="91"/>
      <c r="E5" s="85"/>
      <c r="F5" s="85"/>
      <c r="G5" s="85"/>
      <c r="H5" s="85"/>
      <c r="I5" s="85"/>
      <c r="J5" s="85"/>
      <c r="K5" s="85"/>
      <c r="L5" s="85"/>
      <c r="M5" s="85"/>
      <c r="N5" s="85"/>
      <c r="P5" s="134" t="s">
        <v>1</v>
      </c>
      <c r="Q5" s="134" t="s">
        <v>2</v>
      </c>
      <c r="R5" s="134"/>
      <c r="S5" s="134" t="s">
        <v>3</v>
      </c>
      <c r="U5" s="136" t="s">
        <v>4</v>
      </c>
      <c r="V5" s="137" t="s">
        <v>5</v>
      </c>
      <c r="W5" s="138">
        <v>0</v>
      </c>
      <c r="X5" s="139" t="s">
        <v>6</v>
      </c>
      <c r="Z5" s="136" t="s">
        <v>4</v>
      </c>
      <c r="AA5" s="137" t="s">
        <v>5</v>
      </c>
      <c r="AB5" s="138"/>
      <c r="AC5" s="139" t="s">
        <v>6</v>
      </c>
      <c r="AE5" s="136" t="s">
        <v>4</v>
      </c>
      <c r="AF5" s="137" t="s">
        <v>5</v>
      </c>
      <c r="AG5" s="138"/>
      <c r="AH5" s="139" t="s">
        <v>6</v>
      </c>
      <c r="AJ5" s="136" t="s">
        <v>4</v>
      </c>
      <c r="AK5" s="137" t="s">
        <v>5</v>
      </c>
      <c r="AL5" s="138"/>
      <c r="AM5" s="139" t="s">
        <v>6</v>
      </c>
      <c r="AO5" s="136" t="s">
        <v>4</v>
      </c>
      <c r="AP5" s="137" t="s">
        <v>5</v>
      </c>
      <c r="AQ5" s="138"/>
      <c r="AR5" s="139" t="s">
        <v>6</v>
      </c>
      <c r="AT5" s="136" t="s">
        <v>4</v>
      </c>
      <c r="AU5" s="137" t="s">
        <v>5</v>
      </c>
      <c r="AV5" s="138"/>
      <c r="AW5" s="139" t="s">
        <v>6</v>
      </c>
      <c r="AY5" s="136" t="s">
        <v>4</v>
      </c>
      <c r="AZ5" s="137" t="s">
        <v>5</v>
      </c>
      <c r="BA5" s="138"/>
      <c r="BB5" s="139" t="s">
        <v>6</v>
      </c>
      <c r="BD5" s="136" t="s">
        <v>4</v>
      </c>
      <c r="BE5" s="137" t="s">
        <v>5</v>
      </c>
      <c r="BF5" s="138"/>
      <c r="BG5" s="139" t="s">
        <v>6</v>
      </c>
      <c r="BI5" s="136" t="s">
        <v>4</v>
      </c>
      <c r="BJ5" s="137" t="s">
        <v>5</v>
      </c>
      <c r="BK5" s="138"/>
      <c r="BL5" s="139" t="s">
        <v>6</v>
      </c>
    </row>
    <row r="6" spans="1:64" x14ac:dyDescent="0.3">
      <c r="A6" s="85"/>
      <c r="B6" s="85" t="s">
        <v>7</v>
      </c>
      <c r="C6" s="85"/>
      <c r="D6" s="87" t="s">
        <v>8</v>
      </c>
      <c r="E6" s="95" t="s">
        <v>6</v>
      </c>
      <c r="J6" s="85"/>
      <c r="K6" s="85"/>
      <c r="L6" s="85"/>
      <c r="M6" s="85"/>
      <c r="N6" s="85"/>
      <c r="P6" s="86" t="s">
        <v>9</v>
      </c>
      <c r="Q6" s="86" t="s">
        <v>10</v>
      </c>
      <c r="R6" s="86"/>
      <c r="S6" s="86" t="s">
        <v>3</v>
      </c>
      <c r="U6" s="140" t="s">
        <v>11</v>
      </c>
      <c r="V6" s="85" t="s">
        <v>12</v>
      </c>
      <c r="W6" s="89">
        <v>0</v>
      </c>
      <c r="X6" s="141" t="s">
        <v>6</v>
      </c>
      <c r="Z6" s="140" t="s">
        <v>11</v>
      </c>
      <c r="AA6" s="85" t="s">
        <v>12</v>
      </c>
      <c r="AB6" s="89"/>
      <c r="AC6" s="141" t="s">
        <v>6</v>
      </c>
      <c r="AE6" s="140" t="s">
        <v>11</v>
      </c>
      <c r="AF6" s="85" t="s">
        <v>12</v>
      </c>
      <c r="AG6" s="89"/>
      <c r="AH6" s="141" t="s">
        <v>6</v>
      </c>
      <c r="AJ6" s="140" t="s">
        <v>11</v>
      </c>
      <c r="AK6" s="85" t="s">
        <v>12</v>
      </c>
      <c r="AL6" s="89"/>
      <c r="AM6" s="141" t="s">
        <v>6</v>
      </c>
      <c r="AO6" s="140" t="s">
        <v>11</v>
      </c>
      <c r="AP6" s="85" t="s">
        <v>12</v>
      </c>
      <c r="AQ6" s="89"/>
      <c r="AR6" s="141" t="s">
        <v>6</v>
      </c>
      <c r="AT6" s="140" t="s">
        <v>11</v>
      </c>
      <c r="AU6" s="85" t="s">
        <v>12</v>
      </c>
      <c r="AV6" s="89"/>
      <c r="AW6" s="141" t="s">
        <v>6</v>
      </c>
      <c r="AY6" s="140" t="s">
        <v>11</v>
      </c>
      <c r="AZ6" s="85" t="s">
        <v>12</v>
      </c>
      <c r="BA6" s="89"/>
      <c r="BB6" s="141" t="s">
        <v>6</v>
      </c>
      <c r="BD6" s="140" t="s">
        <v>11</v>
      </c>
      <c r="BE6" s="85" t="s">
        <v>12</v>
      </c>
      <c r="BF6" s="89"/>
      <c r="BG6" s="141" t="s">
        <v>6</v>
      </c>
      <c r="BI6" s="140" t="s">
        <v>11</v>
      </c>
      <c r="BJ6" s="85" t="s">
        <v>12</v>
      </c>
      <c r="BK6" s="89"/>
      <c r="BL6" s="141" t="s">
        <v>6</v>
      </c>
    </row>
    <row r="7" spans="1:64" x14ac:dyDescent="0.3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P7" s="134" t="s">
        <v>13</v>
      </c>
      <c r="Q7" s="134" t="s">
        <v>14</v>
      </c>
      <c r="R7" s="134"/>
      <c r="S7" s="134" t="s">
        <v>3</v>
      </c>
      <c r="U7" s="140" t="s">
        <v>15</v>
      </c>
      <c r="V7" s="85" t="s">
        <v>16</v>
      </c>
      <c r="W7" s="89">
        <v>0</v>
      </c>
      <c r="X7" s="141" t="s">
        <v>6</v>
      </c>
      <c r="Z7" s="140" t="s">
        <v>15</v>
      </c>
      <c r="AA7" s="85" t="s">
        <v>16</v>
      </c>
      <c r="AB7" s="89"/>
      <c r="AC7" s="141" t="s">
        <v>6</v>
      </c>
      <c r="AE7" s="140" t="s">
        <v>15</v>
      </c>
      <c r="AF7" s="85" t="s">
        <v>16</v>
      </c>
      <c r="AG7" s="89"/>
      <c r="AH7" s="141" t="s">
        <v>6</v>
      </c>
      <c r="AJ7" s="140" t="s">
        <v>15</v>
      </c>
      <c r="AK7" s="85" t="s">
        <v>16</v>
      </c>
      <c r="AL7" s="89"/>
      <c r="AM7" s="141" t="s">
        <v>6</v>
      </c>
      <c r="AO7" s="140" t="s">
        <v>15</v>
      </c>
      <c r="AP7" s="85" t="s">
        <v>16</v>
      </c>
      <c r="AQ7" s="89"/>
      <c r="AR7" s="141" t="s">
        <v>6</v>
      </c>
      <c r="AT7" s="140" t="s">
        <v>15</v>
      </c>
      <c r="AU7" s="85" t="s">
        <v>16</v>
      </c>
      <c r="AV7" s="89"/>
      <c r="AW7" s="141" t="s">
        <v>6</v>
      </c>
      <c r="AY7" s="140" t="s">
        <v>15</v>
      </c>
      <c r="AZ7" s="85" t="s">
        <v>16</v>
      </c>
      <c r="BA7" s="89"/>
      <c r="BB7" s="141" t="s">
        <v>6</v>
      </c>
      <c r="BD7" s="140" t="s">
        <v>15</v>
      </c>
      <c r="BE7" s="85" t="s">
        <v>16</v>
      </c>
      <c r="BF7" s="89"/>
      <c r="BG7" s="141" t="s">
        <v>6</v>
      </c>
      <c r="BI7" s="140" t="s">
        <v>15</v>
      </c>
      <c r="BJ7" s="85" t="s">
        <v>16</v>
      </c>
      <c r="BK7" s="89"/>
      <c r="BL7" s="141" t="s">
        <v>6</v>
      </c>
    </row>
    <row r="8" spans="1:64" x14ac:dyDescent="0.3">
      <c r="A8" s="85"/>
      <c r="B8" s="85" t="s">
        <v>4</v>
      </c>
      <c r="C8" s="85" t="s">
        <v>5</v>
      </c>
      <c r="D8" s="88">
        <v>1</v>
      </c>
      <c r="E8" s="95" t="s">
        <v>6</v>
      </c>
      <c r="F8" s="85" t="s">
        <v>4</v>
      </c>
      <c r="G8" s="85" t="s">
        <v>5</v>
      </c>
      <c r="H8" s="88"/>
      <c r="I8" s="95" t="s">
        <v>6</v>
      </c>
      <c r="J8" s="85"/>
      <c r="K8" s="85" t="s">
        <v>17</v>
      </c>
      <c r="L8" s="85"/>
      <c r="M8" s="110"/>
      <c r="N8" s="95" t="s">
        <v>6</v>
      </c>
      <c r="P8" s="86"/>
      <c r="Q8" s="86"/>
      <c r="R8" s="121"/>
      <c r="U8" s="140" t="s">
        <v>18</v>
      </c>
      <c r="V8" s="85" t="s">
        <v>19</v>
      </c>
      <c r="W8" s="92">
        <v>0</v>
      </c>
      <c r="X8" s="141" t="s">
        <v>6</v>
      </c>
      <c r="Z8" s="140" t="s">
        <v>18</v>
      </c>
      <c r="AA8" s="85" t="s">
        <v>19</v>
      </c>
      <c r="AB8" s="92"/>
      <c r="AC8" s="141" t="s">
        <v>6</v>
      </c>
      <c r="AE8" s="140" t="s">
        <v>18</v>
      </c>
      <c r="AF8" s="85" t="s">
        <v>19</v>
      </c>
      <c r="AG8" s="92"/>
      <c r="AH8" s="141" t="s">
        <v>6</v>
      </c>
      <c r="AJ8" s="140" t="s">
        <v>18</v>
      </c>
      <c r="AK8" s="85" t="s">
        <v>19</v>
      </c>
      <c r="AL8" s="92"/>
      <c r="AM8" s="141" t="s">
        <v>6</v>
      </c>
      <c r="AO8" s="140" t="s">
        <v>18</v>
      </c>
      <c r="AP8" s="85" t="s">
        <v>19</v>
      </c>
      <c r="AQ8" s="92"/>
      <c r="AR8" s="141" t="s">
        <v>6</v>
      </c>
      <c r="AT8" s="140" t="s">
        <v>18</v>
      </c>
      <c r="AU8" s="85" t="s">
        <v>19</v>
      </c>
      <c r="AV8" s="92"/>
      <c r="AW8" s="141" t="s">
        <v>6</v>
      </c>
      <c r="AY8" s="140" t="s">
        <v>18</v>
      </c>
      <c r="AZ8" s="85" t="s">
        <v>19</v>
      </c>
      <c r="BA8" s="92"/>
      <c r="BB8" s="141" t="s">
        <v>6</v>
      </c>
      <c r="BD8" s="140" t="s">
        <v>18</v>
      </c>
      <c r="BE8" s="85" t="s">
        <v>19</v>
      </c>
      <c r="BF8" s="92"/>
      <c r="BG8" s="141" t="s">
        <v>6</v>
      </c>
      <c r="BI8" s="140" t="s">
        <v>18</v>
      </c>
      <c r="BJ8" s="85" t="s">
        <v>19</v>
      </c>
      <c r="BK8" s="92"/>
      <c r="BL8" s="141" t="s">
        <v>6</v>
      </c>
    </row>
    <row r="9" spans="1:64" ht="15" customHeight="1" thickBot="1" x14ac:dyDescent="0.35">
      <c r="A9" s="85"/>
      <c r="B9" s="85" t="s">
        <v>11</v>
      </c>
      <c r="C9" s="85" t="s">
        <v>12</v>
      </c>
      <c r="D9" s="92">
        <f>'Auto Calculate'!F5</f>
        <v>48</v>
      </c>
      <c r="E9" s="95" t="s">
        <v>6</v>
      </c>
      <c r="F9" s="85" t="s">
        <v>11</v>
      </c>
      <c r="G9" s="85" t="s">
        <v>12</v>
      </c>
      <c r="H9" s="89"/>
      <c r="I9" s="95" t="s">
        <v>6</v>
      </c>
      <c r="J9" s="85"/>
      <c r="K9" s="85" t="s">
        <v>20</v>
      </c>
      <c r="L9" s="85"/>
      <c r="M9" s="111"/>
      <c r="N9" s="95" t="s">
        <v>6</v>
      </c>
      <c r="P9" s="86"/>
      <c r="Q9" s="86"/>
      <c r="R9" s="132"/>
      <c r="U9" s="142" t="s">
        <v>21</v>
      </c>
      <c r="V9" s="143" t="s">
        <v>3</v>
      </c>
      <c r="W9" s="144"/>
      <c r="X9" s="145" t="s">
        <v>6</v>
      </c>
      <c r="Z9" s="142" t="s">
        <v>21</v>
      </c>
      <c r="AA9" s="143" t="s">
        <v>3</v>
      </c>
      <c r="AB9" s="144"/>
      <c r="AC9" s="145" t="s">
        <v>6</v>
      </c>
      <c r="AE9" s="142" t="s">
        <v>21</v>
      </c>
      <c r="AF9" s="143" t="s">
        <v>3</v>
      </c>
      <c r="AG9" s="144"/>
      <c r="AH9" s="145" t="s">
        <v>6</v>
      </c>
      <c r="AJ9" s="142" t="s">
        <v>21</v>
      </c>
      <c r="AK9" s="143" t="s">
        <v>3</v>
      </c>
      <c r="AL9" s="144"/>
      <c r="AM9" s="145" t="s">
        <v>6</v>
      </c>
      <c r="AO9" s="142" t="s">
        <v>21</v>
      </c>
      <c r="AP9" s="143" t="s">
        <v>3</v>
      </c>
      <c r="AQ9" s="144"/>
      <c r="AR9" s="145" t="s">
        <v>6</v>
      </c>
      <c r="AT9" s="142" t="s">
        <v>21</v>
      </c>
      <c r="AU9" s="143" t="s">
        <v>3</v>
      </c>
      <c r="AV9" s="144"/>
      <c r="AW9" s="145" t="s">
        <v>6</v>
      </c>
      <c r="AY9" s="142" t="s">
        <v>21</v>
      </c>
      <c r="AZ9" s="143" t="s">
        <v>3</v>
      </c>
      <c r="BA9" s="144"/>
      <c r="BB9" s="145" t="s">
        <v>6</v>
      </c>
      <c r="BD9" s="142" t="s">
        <v>21</v>
      </c>
      <c r="BE9" s="143" t="s">
        <v>3</v>
      </c>
      <c r="BF9" s="144"/>
      <c r="BG9" s="145" t="s">
        <v>6</v>
      </c>
      <c r="BI9" s="142" t="s">
        <v>21</v>
      </c>
      <c r="BJ9" s="143" t="s">
        <v>3</v>
      </c>
      <c r="BK9" s="144"/>
      <c r="BL9" s="145" t="s">
        <v>6</v>
      </c>
    </row>
    <row r="10" spans="1:64" x14ac:dyDescent="0.3">
      <c r="A10" s="85"/>
      <c r="B10" s="85" t="s">
        <v>15</v>
      </c>
      <c r="C10" s="85" t="s">
        <v>16</v>
      </c>
      <c r="D10" s="105">
        <f>'Auto Calculate'!F6</f>
        <v>48000</v>
      </c>
      <c r="E10" s="95" t="s">
        <v>6</v>
      </c>
      <c r="F10" s="85" t="s">
        <v>15</v>
      </c>
      <c r="G10" s="85" t="s">
        <v>16</v>
      </c>
      <c r="H10" s="89"/>
      <c r="I10" s="95" t="s">
        <v>6</v>
      </c>
      <c r="J10" s="85"/>
      <c r="K10" s="85" t="s">
        <v>22</v>
      </c>
      <c r="L10" s="85"/>
      <c r="M10" s="112"/>
      <c r="N10" s="95" t="s">
        <v>6</v>
      </c>
      <c r="O10" s="107"/>
      <c r="P10" s="86"/>
      <c r="Q10" s="86"/>
      <c r="R10" s="86"/>
      <c r="X10" s="135"/>
      <c r="AC10" s="135"/>
      <c r="AH10" s="135"/>
      <c r="AM10" s="135"/>
      <c r="AR10" s="135"/>
      <c r="AW10" s="135"/>
      <c r="BB10" s="135"/>
      <c r="BG10" s="135"/>
      <c r="BL10" s="135"/>
    </row>
    <row r="11" spans="1:64" x14ac:dyDescent="0.3">
      <c r="A11" s="85"/>
      <c r="B11" s="85" t="s">
        <v>18</v>
      </c>
      <c r="C11" s="85" t="s">
        <v>19</v>
      </c>
      <c r="D11" s="92">
        <f>'Auto Calculate'!F4</f>
        <v>750</v>
      </c>
      <c r="E11" s="95" t="s">
        <v>6</v>
      </c>
      <c r="F11" s="85" t="s">
        <v>18</v>
      </c>
      <c r="G11" s="85" t="s">
        <v>19</v>
      </c>
      <c r="H11" s="92"/>
      <c r="I11" s="95" t="s">
        <v>6</v>
      </c>
      <c r="J11" s="85"/>
      <c r="K11" s="85" t="s">
        <v>23</v>
      </c>
      <c r="L11" s="85"/>
      <c r="M11" s="112"/>
      <c r="N11" s="95" t="s">
        <v>6</v>
      </c>
      <c r="P11" s="86"/>
      <c r="Q11" s="86"/>
      <c r="R11" s="86"/>
    </row>
    <row r="12" spans="1:64" ht="15" customHeight="1" thickBot="1" x14ac:dyDescent="0.35">
      <c r="A12" s="85"/>
      <c r="B12" s="85" t="s">
        <v>21</v>
      </c>
      <c r="C12" s="85" t="s">
        <v>3</v>
      </c>
      <c r="D12" s="89"/>
      <c r="E12" s="95" t="s">
        <v>6</v>
      </c>
      <c r="F12" s="85" t="s">
        <v>21</v>
      </c>
      <c r="G12" s="85" t="s">
        <v>3</v>
      </c>
      <c r="H12" s="89"/>
      <c r="I12" s="95" t="s">
        <v>6</v>
      </c>
      <c r="J12" s="85"/>
      <c r="K12" s="85"/>
      <c r="L12" s="85"/>
      <c r="M12" s="85"/>
      <c r="N12" s="85"/>
      <c r="O12" s="133">
        <f>(D9+H9+M8+W6+W13+AB6+AB13+AG6+AG13+AL6+AL13+AQ6+AQ13+AV6+AV13+BA6+BA13+BF6+BF13+BK6+BK13)*10</f>
        <v>480</v>
      </c>
      <c r="P12" s="114" t="s">
        <v>24</v>
      </c>
      <c r="Q12" s="86"/>
      <c r="R12" s="86"/>
    </row>
    <row r="13" spans="1:64" x14ac:dyDescent="0.3">
      <c r="A13" s="85"/>
      <c r="B13" s="85" t="s">
        <v>25</v>
      </c>
      <c r="C13" s="85" t="s">
        <v>3</v>
      </c>
      <c r="D13" s="113">
        <f>'Calculation Debt'!J13</f>
        <v>0</v>
      </c>
      <c r="E13" s="96" t="s">
        <v>26</v>
      </c>
      <c r="F13" s="85"/>
      <c r="G13" s="85"/>
      <c r="H13" s="85"/>
      <c r="I13" s="96"/>
      <c r="J13" s="85"/>
      <c r="K13" s="85"/>
      <c r="L13" s="85"/>
      <c r="M13" s="109"/>
      <c r="N13" s="85"/>
      <c r="O13" s="115">
        <v>10</v>
      </c>
      <c r="P13" s="114" t="s">
        <v>27</v>
      </c>
      <c r="Q13" s="86"/>
      <c r="R13" s="86"/>
      <c r="U13" s="136" t="s">
        <v>17</v>
      </c>
      <c r="V13" s="137"/>
      <c r="W13" s="146"/>
      <c r="X13" s="139" t="s">
        <v>6</v>
      </c>
      <c r="Z13" s="136" t="s">
        <v>17</v>
      </c>
      <c r="AA13" s="137"/>
      <c r="AB13" s="146"/>
      <c r="AC13" s="139" t="s">
        <v>6</v>
      </c>
      <c r="AE13" s="136" t="s">
        <v>17</v>
      </c>
      <c r="AF13" s="137"/>
      <c r="AG13" s="146"/>
      <c r="AH13" s="139" t="s">
        <v>6</v>
      </c>
      <c r="AJ13" s="136" t="s">
        <v>17</v>
      </c>
      <c r="AK13" s="137"/>
      <c r="AL13" s="137"/>
      <c r="AM13" s="139" t="s">
        <v>6</v>
      </c>
      <c r="AO13" s="136" t="s">
        <v>17</v>
      </c>
      <c r="AP13" s="137"/>
      <c r="AQ13" s="146"/>
      <c r="AR13" s="139" t="s">
        <v>6</v>
      </c>
      <c r="AT13" s="136" t="s">
        <v>17</v>
      </c>
      <c r="AU13" s="137"/>
      <c r="AV13" s="146"/>
      <c r="AW13" s="139" t="s">
        <v>6</v>
      </c>
      <c r="AY13" s="136" t="s">
        <v>17</v>
      </c>
      <c r="AZ13" s="137"/>
      <c r="BA13" s="146"/>
      <c r="BB13" s="139" t="s">
        <v>6</v>
      </c>
      <c r="BD13" s="136" t="s">
        <v>17</v>
      </c>
      <c r="BE13" s="137"/>
      <c r="BF13" s="146"/>
      <c r="BG13" s="139" t="s">
        <v>6</v>
      </c>
      <c r="BI13" s="136" t="s">
        <v>17</v>
      </c>
      <c r="BJ13" s="137"/>
      <c r="BK13" s="146"/>
      <c r="BL13" s="139" t="s">
        <v>6</v>
      </c>
    </row>
    <row r="14" spans="1:64" x14ac:dyDescent="0.3">
      <c r="A14" s="85"/>
      <c r="B14" s="85" t="s">
        <v>28</v>
      </c>
      <c r="C14" s="85" t="s">
        <v>3</v>
      </c>
      <c r="D14" s="93">
        <f>D11*D9</f>
        <v>36000</v>
      </c>
      <c r="E14" s="96" t="s">
        <v>26</v>
      </c>
      <c r="F14" s="85"/>
      <c r="G14" s="85"/>
      <c r="H14" s="85"/>
      <c r="I14" s="85"/>
      <c r="J14" s="85"/>
      <c r="K14" s="85"/>
      <c r="L14" s="85"/>
      <c r="M14" s="85"/>
      <c r="N14" s="85"/>
      <c r="P14" s="86"/>
      <c r="Q14" s="86"/>
      <c r="R14" s="86"/>
      <c r="U14" s="140" t="s">
        <v>20</v>
      </c>
      <c r="V14" s="85"/>
      <c r="W14" s="111"/>
      <c r="X14" s="141" t="s">
        <v>6</v>
      </c>
      <c r="Z14" s="140" t="s">
        <v>20</v>
      </c>
      <c r="AA14" s="85"/>
      <c r="AB14" s="111"/>
      <c r="AC14" s="141" t="s">
        <v>6</v>
      </c>
      <c r="AE14" s="140" t="s">
        <v>20</v>
      </c>
      <c r="AF14" s="85"/>
      <c r="AG14" s="111"/>
      <c r="AH14" s="141" t="s">
        <v>6</v>
      </c>
      <c r="AJ14" s="140" t="s">
        <v>20</v>
      </c>
      <c r="AK14" s="85"/>
      <c r="AL14" s="148"/>
      <c r="AM14" s="141" t="s">
        <v>6</v>
      </c>
      <c r="AO14" s="140" t="s">
        <v>20</v>
      </c>
      <c r="AP14" s="85"/>
      <c r="AQ14" s="111"/>
      <c r="AR14" s="141" t="s">
        <v>6</v>
      </c>
      <c r="AT14" s="140" t="s">
        <v>20</v>
      </c>
      <c r="AU14" s="85"/>
      <c r="AV14" s="111"/>
      <c r="AW14" s="141" t="s">
        <v>6</v>
      </c>
      <c r="AY14" s="140" t="s">
        <v>20</v>
      </c>
      <c r="AZ14" s="85"/>
      <c r="BA14" s="111"/>
      <c r="BB14" s="141" t="s">
        <v>6</v>
      </c>
      <c r="BD14" s="140" t="s">
        <v>20</v>
      </c>
      <c r="BE14" s="85"/>
      <c r="BF14" s="111"/>
      <c r="BG14" s="141" t="s">
        <v>6</v>
      </c>
      <c r="BI14" s="140" t="s">
        <v>20</v>
      </c>
      <c r="BJ14" s="85"/>
      <c r="BK14" s="111"/>
      <c r="BL14" s="141" t="s">
        <v>6</v>
      </c>
    </row>
    <row r="15" spans="1:64" ht="15" customHeight="1" thickBot="1" x14ac:dyDescent="0.35">
      <c r="A15" s="85"/>
      <c r="B15" s="98" t="s">
        <v>29</v>
      </c>
      <c r="C15" s="85"/>
      <c r="D15" s="85"/>
      <c r="E15" s="95"/>
      <c r="F15" s="85"/>
      <c r="G15" s="85"/>
      <c r="H15" s="85"/>
      <c r="I15" s="85"/>
      <c r="J15" s="85"/>
      <c r="K15" s="85"/>
      <c r="L15" s="85"/>
      <c r="M15" s="85"/>
      <c r="N15" s="85"/>
      <c r="P15" s="86"/>
      <c r="Q15" s="86"/>
      <c r="R15" s="86" t="s">
        <v>30</v>
      </c>
      <c r="U15" s="140" t="s">
        <v>22</v>
      </c>
      <c r="V15" s="85"/>
      <c r="W15" s="112"/>
      <c r="X15" s="141" t="s">
        <v>6</v>
      </c>
      <c r="Z15" s="140" t="s">
        <v>22</v>
      </c>
      <c r="AA15" s="85"/>
      <c r="AB15" s="112"/>
      <c r="AC15" s="141" t="s">
        <v>6</v>
      </c>
      <c r="AE15" s="140" t="s">
        <v>22</v>
      </c>
      <c r="AF15" s="85"/>
      <c r="AG15" s="112"/>
      <c r="AH15" s="141" t="s">
        <v>6</v>
      </c>
      <c r="AJ15" s="140" t="s">
        <v>22</v>
      </c>
      <c r="AK15" s="85"/>
      <c r="AL15" s="109"/>
      <c r="AM15" s="141" t="s">
        <v>6</v>
      </c>
      <c r="AO15" s="140" t="s">
        <v>22</v>
      </c>
      <c r="AP15" s="85"/>
      <c r="AQ15" s="112"/>
      <c r="AR15" s="141" t="s">
        <v>6</v>
      </c>
      <c r="AT15" s="140" t="s">
        <v>22</v>
      </c>
      <c r="AU15" s="85"/>
      <c r="AV15" s="112"/>
      <c r="AW15" s="141" t="s">
        <v>6</v>
      </c>
      <c r="AY15" s="140" t="s">
        <v>22</v>
      </c>
      <c r="AZ15" s="85"/>
      <c r="BA15" s="112"/>
      <c r="BB15" s="141" t="s">
        <v>6</v>
      </c>
      <c r="BD15" s="140" t="s">
        <v>22</v>
      </c>
      <c r="BE15" s="85"/>
      <c r="BF15" s="112"/>
      <c r="BG15" s="141" t="s">
        <v>6</v>
      </c>
      <c r="BI15" s="140" t="s">
        <v>22</v>
      </c>
      <c r="BJ15" s="85"/>
      <c r="BK15" s="112"/>
      <c r="BL15" s="141" t="s">
        <v>6</v>
      </c>
    </row>
    <row r="16" spans="1:64" ht="15" customHeight="1" thickBot="1" x14ac:dyDescent="0.35">
      <c r="A16" s="85"/>
      <c r="B16" s="97" t="s">
        <v>31</v>
      </c>
      <c r="C16" s="85"/>
      <c r="D16" s="85"/>
      <c r="E16" s="95"/>
      <c r="F16" s="85"/>
      <c r="G16" s="85"/>
      <c r="H16" s="85"/>
      <c r="I16" s="85"/>
      <c r="J16" s="85"/>
      <c r="K16" s="85"/>
      <c r="L16" s="85"/>
      <c r="M16" s="85"/>
      <c r="N16" s="85"/>
      <c r="P16" s="181" t="s">
        <v>32</v>
      </c>
      <c r="Q16" s="182">
        <v>0</v>
      </c>
      <c r="R16" s="183">
        <v>0</v>
      </c>
      <c r="U16" s="142" t="s">
        <v>23</v>
      </c>
      <c r="V16" s="143"/>
      <c r="W16" s="147">
        <v>0</v>
      </c>
      <c r="X16" s="145" t="s">
        <v>6</v>
      </c>
      <c r="Z16" s="142" t="s">
        <v>23</v>
      </c>
      <c r="AA16" s="143"/>
      <c r="AB16" s="147">
        <v>0</v>
      </c>
      <c r="AC16" s="145" t="s">
        <v>6</v>
      </c>
      <c r="AE16" s="142" t="s">
        <v>23</v>
      </c>
      <c r="AF16" s="143"/>
      <c r="AG16" s="147">
        <v>0</v>
      </c>
      <c r="AH16" s="145" t="s">
        <v>6</v>
      </c>
      <c r="AJ16" s="142" t="s">
        <v>23</v>
      </c>
      <c r="AK16" s="143"/>
      <c r="AL16" s="149">
        <v>0</v>
      </c>
      <c r="AM16" s="145" t="s">
        <v>6</v>
      </c>
      <c r="AO16" s="142" t="s">
        <v>23</v>
      </c>
      <c r="AP16" s="143"/>
      <c r="AQ16" s="147">
        <v>0</v>
      </c>
      <c r="AR16" s="145" t="s">
        <v>6</v>
      </c>
      <c r="AT16" s="142" t="s">
        <v>23</v>
      </c>
      <c r="AU16" s="143"/>
      <c r="AV16" s="147">
        <v>0</v>
      </c>
      <c r="AW16" s="145" t="s">
        <v>6</v>
      </c>
      <c r="AY16" s="142" t="s">
        <v>23</v>
      </c>
      <c r="AZ16" s="143"/>
      <c r="BA16" s="147">
        <v>0</v>
      </c>
      <c r="BB16" s="145" t="s">
        <v>6</v>
      </c>
      <c r="BD16" s="142" t="s">
        <v>23</v>
      </c>
      <c r="BE16" s="143"/>
      <c r="BF16" s="147">
        <v>0</v>
      </c>
      <c r="BG16" s="145" t="s">
        <v>6</v>
      </c>
      <c r="BI16" s="142" t="s">
        <v>23</v>
      </c>
      <c r="BJ16" s="143"/>
      <c r="BK16" s="147">
        <v>0</v>
      </c>
      <c r="BL16" s="145" t="s">
        <v>6</v>
      </c>
    </row>
    <row r="17" spans="1:28" ht="15" customHeight="1" thickBot="1" x14ac:dyDescent="0.35">
      <c r="A17" s="85"/>
      <c r="B17" s="85"/>
      <c r="C17" s="85"/>
      <c r="D17" s="85"/>
      <c r="E17" s="95"/>
      <c r="F17" s="85"/>
      <c r="G17" s="85"/>
      <c r="H17" s="85"/>
      <c r="I17" s="85"/>
      <c r="J17" s="85"/>
      <c r="K17" s="85"/>
      <c r="L17" s="85"/>
      <c r="M17" s="85"/>
      <c r="N17" s="85"/>
      <c r="P17" s="192" t="s">
        <v>33</v>
      </c>
      <c r="Q17" s="193">
        <f>Q21*Q22</f>
        <v>0</v>
      </c>
      <c r="R17" s="194">
        <v>0</v>
      </c>
    </row>
    <row r="18" spans="1:28" ht="15" customHeight="1" thickBot="1" x14ac:dyDescent="0.35">
      <c r="A18" s="85"/>
      <c r="B18" s="85" t="s">
        <v>34</v>
      </c>
      <c r="C18" s="85" t="s">
        <v>35</v>
      </c>
      <c r="D18" s="92">
        <f>'Auto Calculate'!J4</f>
        <v>13.285790189976327</v>
      </c>
      <c r="E18" s="95" t="s">
        <v>6</v>
      </c>
      <c r="G18" s="85"/>
      <c r="H18" s="90" t="s">
        <v>36</v>
      </c>
      <c r="I18" s="90"/>
      <c r="J18" s="85"/>
      <c r="K18" s="85"/>
      <c r="L18" s="85"/>
      <c r="M18" s="85"/>
      <c r="N18" s="85"/>
      <c r="P18" s="184" t="s">
        <v>37</v>
      </c>
      <c r="Q18" s="185">
        <v>0</v>
      </c>
      <c r="R18" s="186">
        <v>0</v>
      </c>
    </row>
    <row r="19" spans="1:28" x14ac:dyDescent="0.3">
      <c r="A19" s="85"/>
      <c r="B19" s="85" t="s">
        <v>38</v>
      </c>
      <c r="C19" s="85"/>
      <c r="D19" s="131">
        <v>0</v>
      </c>
      <c r="E19" s="85"/>
      <c r="F19" s="104">
        <f>'Calculation Debt'!N12</f>
        <v>0.11</v>
      </c>
      <c r="G19" s="85"/>
      <c r="H19" s="90" t="s">
        <v>39</v>
      </c>
      <c r="I19" s="90"/>
      <c r="J19" s="85"/>
      <c r="K19" s="85"/>
      <c r="L19" s="85"/>
      <c r="M19" s="85"/>
      <c r="N19" s="85"/>
      <c r="P19" s="86"/>
      <c r="Q19" s="86"/>
      <c r="R19" s="86"/>
    </row>
    <row r="20" spans="1:28" ht="15" customHeight="1" thickBot="1" x14ac:dyDescent="0.35">
      <c r="A20" s="85"/>
      <c r="B20" s="98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P20" s="86"/>
      <c r="Q20" s="86"/>
      <c r="R20" s="86"/>
    </row>
    <row r="21" spans="1:28" x14ac:dyDescent="0.3">
      <c r="A21" s="85"/>
      <c r="B21" s="85"/>
      <c r="C21" s="85"/>
      <c r="D21" s="85"/>
      <c r="E21" s="94"/>
      <c r="F21" s="85"/>
      <c r="G21" s="85"/>
      <c r="H21" s="85"/>
      <c r="I21" s="85"/>
      <c r="J21" s="85"/>
      <c r="K21" s="85"/>
      <c r="L21" s="85"/>
      <c r="M21" s="85"/>
      <c r="N21" s="85"/>
      <c r="P21" s="188" t="s">
        <v>40</v>
      </c>
      <c r="Q21" s="189">
        <v>0</v>
      </c>
      <c r="R21" s="86"/>
    </row>
    <row r="22" spans="1:28" ht="15" customHeight="1" thickBot="1" x14ac:dyDescent="0.35">
      <c r="A22" s="85"/>
      <c r="B22" s="99"/>
      <c r="C22" s="99"/>
      <c r="D22" s="187"/>
      <c r="E22" s="96"/>
      <c r="F22" s="85"/>
      <c r="G22" s="85"/>
      <c r="H22" s="85"/>
      <c r="I22" s="85"/>
      <c r="J22" s="85"/>
      <c r="K22" s="85"/>
      <c r="L22" s="85"/>
      <c r="M22" s="85"/>
      <c r="N22" s="85"/>
      <c r="P22" s="190" t="s">
        <v>41</v>
      </c>
      <c r="Q22" s="191">
        <v>1500</v>
      </c>
      <c r="R22" s="86"/>
    </row>
    <row r="23" spans="1:28" ht="15" customHeight="1" thickBot="1" x14ac:dyDescent="0.3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P23" s="86"/>
      <c r="Q23" s="86"/>
      <c r="R23" s="86"/>
      <c r="X23" s="114"/>
    </row>
    <row r="24" spans="1:28" ht="15" customHeight="1" thickBot="1" x14ac:dyDescent="0.35">
      <c r="A24" s="85"/>
      <c r="B24" s="90"/>
      <c r="C24" s="90"/>
      <c r="D24" s="91"/>
      <c r="E24" s="96"/>
      <c r="F24" s="85"/>
      <c r="G24" s="85"/>
      <c r="H24" s="85"/>
      <c r="I24" s="85"/>
      <c r="J24" s="85"/>
      <c r="K24" s="85"/>
      <c r="L24" s="85"/>
      <c r="M24" s="85"/>
      <c r="N24" s="85"/>
      <c r="P24" s="195" t="s">
        <v>42</v>
      </c>
      <c r="Q24" s="196">
        <v>10</v>
      </c>
      <c r="R24" s="86"/>
    </row>
    <row r="25" spans="1:28" ht="15" customHeight="1" thickBot="1" x14ac:dyDescent="0.3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P25" s="86"/>
      <c r="Q25" s="86"/>
      <c r="R25" s="86"/>
    </row>
    <row r="26" spans="1:28" ht="15" customHeight="1" thickBot="1" x14ac:dyDescent="0.3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P26" s="184" t="s">
        <v>43</v>
      </c>
      <c r="Q26" s="197">
        <v>0.05</v>
      </c>
      <c r="R26" s="185">
        <f>'Calculation Debt'!I2*Q26</f>
        <v>1800</v>
      </c>
      <c r="T26" s="86" t="s">
        <v>44</v>
      </c>
      <c r="U26" s="86" t="s">
        <v>45</v>
      </c>
      <c r="W26" s="86" t="s">
        <v>46</v>
      </c>
      <c r="X26" s="86" t="s">
        <v>47</v>
      </c>
      <c r="Z26" s="184" t="s">
        <v>43</v>
      </c>
      <c r="AA26" s="197">
        <v>0.01</v>
      </c>
      <c r="AB26" s="185">
        <f>'Calculation Debt'!I2*Summary!AA26</f>
        <v>360</v>
      </c>
    </row>
    <row r="27" spans="1:28" ht="15" customHeight="1" thickBo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P27" s="198" t="s">
        <v>48</v>
      </c>
      <c r="Q27" s="206">
        <v>0</v>
      </c>
      <c r="R27" s="201">
        <v>0</v>
      </c>
      <c r="S27" s="114" t="s">
        <v>49</v>
      </c>
      <c r="T27" s="202">
        <f>SUM('Calculation Debt'!D65:AB65)</f>
        <v>0</v>
      </c>
      <c r="U27" s="203">
        <f>SUM('Calculation Debt'!D65:AB65)/'Calculation Debt'!I2</f>
        <v>0</v>
      </c>
      <c r="V27" s="114"/>
      <c r="W27" s="204">
        <f>T27/SUM('Calculation Debt'!D67:R67)</f>
        <v>0</v>
      </c>
      <c r="X27" s="205">
        <f>T27/SUM('Calculation Debt'!D111:R111)</f>
        <v>0</v>
      </c>
    </row>
  </sheetData>
  <conditionalFormatting sqref="D24">
    <cfRule type="cellIs" dxfId="3" priority="1" operator="equal">
      <formula>"yes"</formula>
    </cfRule>
    <cfRule type="cellIs" dxfId="2" priority="2" operator="equal">
      <formula>"no"</formula>
    </cfRule>
  </conditionalFormatting>
  <pageMargins left="0.7" right="0.7" top="0.75" bottom="0.75" header="0.3" footer="0.3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65"/>
  <sheetViews>
    <sheetView tabSelected="1" workbookViewId="0">
      <selection activeCell="F24" sqref="F24"/>
    </sheetView>
  </sheetViews>
  <sheetFormatPr defaultColWidth="8.77734375" defaultRowHeight="14.4" x14ac:dyDescent="0.3"/>
  <cols>
    <col min="1" max="1" width="7.44140625" customWidth="1"/>
    <col min="2" max="4" width="8.77734375" customWidth="1"/>
    <col min="5" max="5" width="29.109375" customWidth="1"/>
    <col min="6" max="6" width="26.109375" customWidth="1"/>
    <col min="9" max="9" width="26.109375" customWidth="1"/>
    <col min="10" max="10" width="18.6640625" customWidth="1"/>
  </cols>
  <sheetData>
    <row r="1" spans="1:20" ht="84" customHeight="1" x14ac:dyDescent="0.3">
      <c r="A1" s="214"/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1"/>
      <c r="M1" s="211"/>
      <c r="N1" s="211"/>
      <c r="O1" s="211"/>
      <c r="P1" s="211"/>
      <c r="Q1" s="211"/>
      <c r="R1" s="211"/>
      <c r="S1" s="211"/>
      <c r="T1" s="211"/>
    </row>
    <row r="2" spans="1:20" ht="21" customHeight="1" x14ac:dyDescent="0.4">
      <c r="A2" s="214"/>
      <c r="B2" s="214"/>
      <c r="C2" s="214"/>
      <c r="D2" s="214"/>
      <c r="E2" s="215" t="s">
        <v>50</v>
      </c>
      <c r="F2" s="214"/>
      <c r="G2" s="214"/>
      <c r="H2" s="214"/>
      <c r="I2" s="215" t="s">
        <v>51</v>
      </c>
      <c r="J2" s="214"/>
      <c r="K2" s="214"/>
      <c r="L2" s="211"/>
      <c r="M2" s="211"/>
      <c r="N2" s="211"/>
      <c r="O2" s="211"/>
      <c r="P2" s="211"/>
      <c r="Q2" s="211"/>
      <c r="R2" s="211"/>
      <c r="S2" s="211"/>
      <c r="T2" s="211"/>
    </row>
    <row r="3" spans="1:20" ht="15" customHeight="1" thickBot="1" x14ac:dyDescent="0.35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1"/>
      <c r="M3" s="211"/>
      <c r="N3" s="211"/>
      <c r="O3" s="211"/>
      <c r="P3" s="211"/>
      <c r="Q3" s="211"/>
      <c r="R3" s="211"/>
      <c r="S3" s="211"/>
      <c r="T3" s="211"/>
    </row>
    <row r="4" spans="1:20" ht="21.45" customHeight="1" thickBot="1" x14ac:dyDescent="0.45">
      <c r="A4" s="214"/>
      <c r="B4" s="214"/>
      <c r="C4" s="214"/>
      <c r="D4" s="214"/>
      <c r="E4" s="209" t="s">
        <v>52</v>
      </c>
      <c r="F4" s="213">
        <v>750</v>
      </c>
      <c r="G4" s="214"/>
      <c r="H4" s="214"/>
      <c r="I4" s="210" t="s">
        <v>53</v>
      </c>
      <c r="J4" s="212">
        <v>13.285790189976327</v>
      </c>
      <c r="K4" s="214"/>
      <c r="L4" s="211"/>
      <c r="M4" s="211"/>
      <c r="N4" s="211"/>
      <c r="O4" s="211"/>
      <c r="P4" s="211"/>
      <c r="Q4" s="211"/>
      <c r="R4" s="211"/>
      <c r="S4" s="211"/>
      <c r="T4" s="211"/>
    </row>
    <row r="5" spans="1:20" ht="21.45" customHeight="1" thickBot="1" x14ac:dyDescent="0.45">
      <c r="A5" s="214"/>
      <c r="B5" s="214"/>
      <c r="C5" s="214"/>
      <c r="D5" s="214"/>
      <c r="E5" s="209" t="s">
        <v>54</v>
      </c>
      <c r="F5" s="219">
        <v>48</v>
      </c>
      <c r="G5" s="214"/>
      <c r="H5" s="214"/>
      <c r="I5" s="214"/>
      <c r="J5" s="214"/>
      <c r="K5" s="214"/>
      <c r="L5" s="211"/>
      <c r="M5" s="211"/>
      <c r="N5" s="211"/>
      <c r="O5" s="211"/>
      <c r="P5" s="211"/>
      <c r="Q5" s="211"/>
      <c r="R5" s="211"/>
      <c r="S5" s="211"/>
      <c r="T5" s="211"/>
    </row>
    <row r="6" spans="1:20" ht="21.45" customHeight="1" thickBot="1" x14ac:dyDescent="0.45">
      <c r="A6" s="214"/>
      <c r="B6" s="214"/>
      <c r="C6" s="214"/>
      <c r="D6" s="214"/>
      <c r="E6" s="209" t="s">
        <v>55</v>
      </c>
      <c r="F6" s="220">
        <v>48000</v>
      </c>
      <c r="G6" s="214"/>
      <c r="H6" s="214"/>
      <c r="I6" s="214"/>
      <c r="J6" s="214"/>
      <c r="K6" s="214"/>
      <c r="L6" s="211"/>
      <c r="M6" s="211"/>
      <c r="N6" s="211"/>
      <c r="O6" s="211"/>
      <c r="P6" s="211"/>
      <c r="Q6" s="211"/>
      <c r="R6" s="211"/>
      <c r="S6" s="211"/>
      <c r="T6" s="211"/>
    </row>
    <row r="7" spans="1:20" ht="15" customHeight="1" thickBot="1" x14ac:dyDescent="0.35">
      <c r="A7" s="214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1"/>
      <c r="M7" s="211"/>
      <c r="N7" s="211"/>
      <c r="O7" s="211"/>
      <c r="P7" s="211"/>
      <c r="Q7" s="211"/>
      <c r="R7" s="211"/>
      <c r="S7" s="211"/>
      <c r="T7" s="211"/>
    </row>
    <row r="8" spans="1:20" ht="21.45" hidden="1" customHeight="1" thickBot="1" x14ac:dyDescent="0.45">
      <c r="A8" s="214"/>
      <c r="B8" s="214"/>
      <c r="C8" s="214"/>
      <c r="D8" s="214"/>
      <c r="E8" s="216" t="s">
        <v>54</v>
      </c>
      <c r="F8" s="217" t="e">
        <f>#REF!*0.8*0.21829</f>
        <v>#REF!</v>
      </c>
      <c r="G8" s="214"/>
      <c r="H8" s="214" t="s">
        <v>51</v>
      </c>
      <c r="I8" s="214"/>
      <c r="J8" s="214"/>
      <c r="K8" s="214"/>
      <c r="L8" s="211"/>
      <c r="M8" s="211"/>
      <c r="N8" s="211"/>
      <c r="O8" s="211"/>
      <c r="P8" s="211"/>
      <c r="Q8" s="211"/>
      <c r="R8" s="211"/>
      <c r="S8" s="211"/>
      <c r="T8" s="211"/>
    </row>
    <row r="9" spans="1:20" ht="15" hidden="1" customHeight="1" thickBot="1" x14ac:dyDescent="0.35">
      <c r="A9" s="214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1"/>
      <c r="M9" s="211"/>
      <c r="N9" s="211"/>
      <c r="O9" s="211"/>
      <c r="P9" s="211"/>
      <c r="Q9" s="211"/>
      <c r="R9" s="211"/>
      <c r="S9" s="211"/>
      <c r="T9" s="211"/>
    </row>
    <row r="10" spans="1:20" ht="21.45" hidden="1" customHeight="1" thickBot="1" x14ac:dyDescent="0.45">
      <c r="A10" s="214"/>
      <c r="B10" s="214"/>
      <c r="C10" s="214"/>
      <c r="D10" s="214"/>
      <c r="E10" s="216" t="s">
        <v>55</v>
      </c>
      <c r="F10" s="218" t="e">
        <f>F8*850</f>
        <v>#REF!</v>
      </c>
      <c r="G10" s="214"/>
      <c r="H10" s="214"/>
      <c r="I10" s="214"/>
      <c r="J10" s="214"/>
      <c r="K10" s="214"/>
      <c r="L10" s="211"/>
      <c r="M10" s="211"/>
      <c r="N10" s="211"/>
      <c r="O10" s="211"/>
      <c r="P10" s="211"/>
      <c r="Q10" s="211"/>
      <c r="R10" s="211"/>
      <c r="S10" s="211"/>
      <c r="T10" s="211"/>
    </row>
    <row r="11" spans="1:20" ht="21.45" customHeight="1" thickBot="1" x14ac:dyDescent="0.45">
      <c r="A11" s="214"/>
      <c r="B11" s="214"/>
      <c r="C11" s="214"/>
      <c r="D11" s="214"/>
      <c r="E11" s="222" t="s">
        <v>56</v>
      </c>
      <c r="F11" s="213">
        <v>20</v>
      </c>
      <c r="G11" s="214" t="s">
        <v>57</v>
      </c>
      <c r="H11" s="85"/>
      <c r="I11" s="214"/>
      <c r="J11" s="214"/>
      <c r="K11" s="214"/>
      <c r="L11" s="211"/>
      <c r="M11" s="211"/>
      <c r="N11" s="211"/>
      <c r="O11" s="211"/>
      <c r="P11" s="211"/>
      <c r="Q11" s="211"/>
      <c r="R11" s="211"/>
      <c r="S11" s="211"/>
      <c r="T11" s="211"/>
    </row>
    <row r="12" spans="1:20" x14ac:dyDescent="0.3">
      <c r="A12" s="214"/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1"/>
      <c r="M12" s="211"/>
      <c r="N12" s="211"/>
      <c r="O12" s="211"/>
      <c r="P12" s="211"/>
      <c r="Q12" s="211"/>
      <c r="R12" s="211"/>
      <c r="S12" s="211"/>
      <c r="T12" s="211"/>
    </row>
    <row r="13" spans="1:20" x14ac:dyDescent="0.3">
      <c r="A13" s="214"/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1"/>
      <c r="M13" s="211"/>
      <c r="N13" s="211"/>
      <c r="O13" s="211"/>
      <c r="P13" s="211"/>
      <c r="Q13" s="211"/>
      <c r="R13" s="211"/>
      <c r="S13" s="211"/>
      <c r="T13" s="211"/>
    </row>
    <row r="14" spans="1:20" hidden="1" x14ac:dyDescent="0.3">
      <c r="A14" s="207"/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11"/>
      <c r="M14" s="211"/>
      <c r="N14" s="211"/>
      <c r="O14" s="211"/>
      <c r="P14" s="211"/>
      <c r="Q14" s="211"/>
      <c r="R14" s="211"/>
      <c r="S14" s="211"/>
      <c r="T14" s="211"/>
    </row>
    <row r="15" spans="1:20" hidden="1" x14ac:dyDescent="0.3">
      <c r="A15" s="207"/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11"/>
      <c r="M15" s="211"/>
      <c r="N15" s="211"/>
      <c r="O15" s="211"/>
      <c r="P15" s="211"/>
      <c r="Q15" s="211"/>
      <c r="R15" s="211"/>
      <c r="S15" s="211"/>
      <c r="T15" s="211"/>
    </row>
    <row r="16" spans="1:20" hidden="1" x14ac:dyDescent="0.3">
      <c r="A16" s="207"/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11"/>
      <c r="M16" s="211"/>
      <c r="N16" s="211"/>
      <c r="O16" s="211"/>
      <c r="P16" s="211"/>
      <c r="Q16" s="211"/>
      <c r="R16" s="211"/>
      <c r="S16" s="211"/>
      <c r="T16" s="211"/>
    </row>
    <row r="17" spans="1:20" hidden="1" x14ac:dyDescent="0.3">
      <c r="A17" s="207"/>
      <c r="B17" s="207"/>
      <c r="C17" s="207"/>
      <c r="D17" s="207"/>
      <c r="E17" s="207"/>
      <c r="F17" s="208">
        <f>'Without Debt'!N7</f>
        <v>0.10910986911142184</v>
      </c>
      <c r="G17" s="207"/>
      <c r="H17" s="207"/>
      <c r="I17" s="207"/>
      <c r="J17" s="207"/>
      <c r="K17" s="207"/>
      <c r="L17" s="211"/>
      <c r="M17" s="211"/>
      <c r="N17" s="211"/>
      <c r="O17" s="211"/>
      <c r="P17" s="211"/>
      <c r="Q17" s="211"/>
      <c r="R17" s="211"/>
      <c r="S17" s="211"/>
      <c r="T17" s="211"/>
    </row>
    <row r="18" spans="1:20" hidden="1" x14ac:dyDescent="0.3">
      <c r="A18" s="207"/>
      <c r="B18" s="207"/>
      <c r="C18" s="207"/>
      <c r="D18" s="207"/>
      <c r="E18" s="207"/>
      <c r="F18" s="207"/>
      <c r="G18" s="207"/>
      <c r="H18" s="207"/>
      <c r="I18" s="207"/>
      <c r="J18" s="207"/>
      <c r="K18" s="207"/>
      <c r="L18" s="211"/>
      <c r="M18" s="211"/>
      <c r="N18" s="211"/>
      <c r="O18" s="211"/>
      <c r="P18" s="211"/>
      <c r="Q18" s="211"/>
      <c r="R18" s="211"/>
      <c r="S18" s="211"/>
      <c r="T18" s="211"/>
    </row>
    <row r="19" spans="1:20" hidden="1" x14ac:dyDescent="0.3">
      <c r="L19" s="211"/>
      <c r="M19" s="211"/>
      <c r="N19" s="211"/>
      <c r="O19" s="211"/>
      <c r="P19" s="211"/>
      <c r="Q19" s="211"/>
      <c r="R19" s="211"/>
      <c r="S19" s="211"/>
      <c r="T19" s="211"/>
    </row>
    <row r="20" spans="1:20" hidden="1" x14ac:dyDescent="0.3">
      <c r="L20" s="211"/>
      <c r="M20" s="211"/>
      <c r="N20" s="211"/>
      <c r="O20" s="211"/>
      <c r="P20" s="211"/>
      <c r="Q20" s="211"/>
      <c r="R20" s="211"/>
      <c r="S20" s="211"/>
      <c r="T20" s="211"/>
    </row>
    <row r="21" spans="1:20" hidden="1" x14ac:dyDescent="0.3">
      <c r="L21" s="211"/>
      <c r="M21" s="211"/>
      <c r="N21" s="211"/>
      <c r="O21" s="211"/>
      <c r="P21" s="211"/>
      <c r="Q21" s="211"/>
      <c r="R21" s="211"/>
      <c r="S21" s="211"/>
      <c r="T21" s="211"/>
    </row>
    <row r="22" spans="1:20" hidden="1" x14ac:dyDescent="0.3">
      <c r="L22" s="211"/>
      <c r="M22" s="211"/>
      <c r="N22" s="211"/>
      <c r="O22" s="211"/>
      <c r="P22" s="211"/>
      <c r="Q22" s="211"/>
      <c r="R22" s="211"/>
      <c r="S22" s="211"/>
      <c r="T22" s="211"/>
    </row>
    <row r="23" spans="1:20" hidden="1" x14ac:dyDescent="0.3">
      <c r="L23" s="211"/>
      <c r="M23" s="211"/>
      <c r="N23" s="211"/>
      <c r="O23" s="211"/>
      <c r="P23" s="211"/>
      <c r="Q23" s="211"/>
      <c r="R23" s="211"/>
      <c r="S23" s="211"/>
      <c r="T23" s="211"/>
    </row>
    <row r="24" spans="1:20" x14ac:dyDescent="0.3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</row>
    <row r="25" spans="1:20" x14ac:dyDescent="0.3">
      <c r="A25" s="211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</row>
    <row r="26" spans="1:20" x14ac:dyDescent="0.3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</row>
    <row r="27" spans="1:20" x14ac:dyDescent="0.3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spans="1:20" x14ac:dyDescent="0.3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</row>
    <row r="29" spans="1:20" x14ac:dyDescent="0.3">
      <c r="A29" s="211"/>
      <c r="B29" s="211"/>
      <c r="C29" s="211"/>
      <c r="D29" s="211"/>
      <c r="E29" s="211"/>
      <c r="F29" s="211"/>
      <c r="G29" s="211"/>
      <c r="H29" s="211"/>
      <c r="I29" s="221">
        <f>'Without Debt'!$N$7</f>
        <v>0.10910986911142184</v>
      </c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</row>
    <row r="30" spans="1:20" hidden="1" x14ac:dyDescent="0.3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</row>
    <row r="31" spans="1:20" hidden="1" x14ac:dyDescent="0.3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</row>
    <row r="32" spans="1:20" hidden="1" x14ac:dyDescent="0.3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</row>
    <row r="33" spans="1:20" hidden="1" x14ac:dyDescent="0.3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</row>
    <row r="34" spans="1:20" hidden="1" x14ac:dyDescent="0.3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</row>
    <row r="35" spans="1:20" hidden="1" x14ac:dyDescent="0.3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</row>
    <row r="36" spans="1:20" hidden="1" x14ac:dyDescent="0.3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</row>
    <row r="37" spans="1:20" hidden="1" x14ac:dyDescent="0.3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</row>
    <row r="38" spans="1:20" hidden="1" x14ac:dyDescent="0.3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</row>
    <row r="39" spans="1:20" hidden="1" x14ac:dyDescent="0.3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</row>
    <row r="40" spans="1:20" hidden="1" x14ac:dyDescent="0.3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</row>
    <row r="41" spans="1:20" hidden="1" x14ac:dyDescent="0.3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</row>
    <row r="42" spans="1:20" hidden="1" x14ac:dyDescent="0.3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</row>
    <row r="43" spans="1:20" hidden="1" x14ac:dyDescent="0.3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</row>
    <row r="44" spans="1:20" hidden="1" x14ac:dyDescent="0.3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</row>
    <row r="45" spans="1:20" hidden="1" x14ac:dyDescent="0.3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</row>
    <row r="46" spans="1:20" hidden="1" x14ac:dyDescent="0.3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</row>
    <row r="47" spans="1:20" hidden="1" x14ac:dyDescent="0.3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</row>
    <row r="48" spans="1:20" hidden="1" x14ac:dyDescent="0.3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</row>
    <row r="49" spans="1:19" hidden="1" x14ac:dyDescent="0.3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</row>
    <row r="50" spans="1:19" hidden="1" x14ac:dyDescent="0.3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</row>
    <row r="51" spans="1:19" hidden="1" x14ac:dyDescent="0.3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</row>
    <row r="52" spans="1:19" x14ac:dyDescent="0.3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</row>
    <row r="53" spans="1:19" x14ac:dyDescent="0.3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</row>
    <row r="54" spans="1:19" x14ac:dyDescent="0.3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</row>
    <row r="55" spans="1:19" x14ac:dyDescent="0.3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</row>
    <row r="56" spans="1:19" x14ac:dyDescent="0.3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</row>
    <row r="57" spans="1:19" x14ac:dyDescent="0.3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</row>
    <row r="58" spans="1:19" x14ac:dyDescent="0.3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</row>
    <row r="59" spans="1:19" x14ac:dyDescent="0.3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</row>
    <row r="60" spans="1:19" x14ac:dyDescent="0.3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</row>
    <row r="61" spans="1:19" x14ac:dyDescent="0.3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</row>
    <row r="62" spans="1:19" x14ac:dyDescent="0.3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</row>
    <row r="63" spans="1:19" x14ac:dyDescent="0.3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</row>
    <row r="64" spans="1:19" x14ac:dyDescent="0.3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</row>
    <row r="65" spans="1:19" x14ac:dyDescent="0.3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"/>
  <sheetViews>
    <sheetView workbookViewId="0">
      <selection activeCell="J22" sqref="J22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8" tint="0.59999389629810485"/>
  </sheetPr>
  <dimension ref="A1:AH179"/>
  <sheetViews>
    <sheetView zoomScale="70" zoomScaleNormal="70" workbookViewId="0">
      <selection activeCell="I3" sqref="I3"/>
    </sheetView>
  </sheetViews>
  <sheetFormatPr defaultColWidth="8.44140625" defaultRowHeight="14.4" outlineLevelRow="1" x14ac:dyDescent="0.3"/>
  <cols>
    <col min="1" max="1" width="1.44140625" customWidth="1"/>
    <col min="2" max="2" width="34.44140625" customWidth="1"/>
    <col min="3" max="3" width="16.33203125" customWidth="1"/>
    <col min="4" max="4" width="22.33203125" customWidth="1"/>
    <col min="5" max="5" width="16.44140625" bestFit="1" customWidth="1"/>
    <col min="6" max="6" width="13.77734375" customWidth="1"/>
    <col min="7" max="7" width="13" bestFit="1" customWidth="1"/>
    <col min="8" max="8" width="13.109375" bestFit="1" customWidth="1"/>
    <col min="9" max="9" width="16.77734375" customWidth="1"/>
    <col min="10" max="10" width="19.77734375" customWidth="1"/>
    <col min="11" max="11" width="21.109375" customWidth="1"/>
    <col min="12" max="12" width="13" bestFit="1" customWidth="1"/>
    <col min="13" max="13" width="17.77734375" customWidth="1"/>
    <col min="14" max="14" width="15.44140625" bestFit="1" customWidth="1"/>
    <col min="15" max="15" width="13.33203125" customWidth="1"/>
    <col min="16" max="16" width="13" bestFit="1" customWidth="1"/>
    <col min="17" max="17" width="13" customWidth="1"/>
    <col min="18" max="18" width="15.44140625" bestFit="1" customWidth="1"/>
    <col min="19" max="19" width="14.109375" customWidth="1"/>
    <col min="20" max="20" width="13" bestFit="1" customWidth="1"/>
    <col min="21" max="21" width="13.44140625" customWidth="1"/>
    <col min="22" max="23" width="12.44140625" bestFit="1" customWidth="1"/>
    <col min="24" max="24" width="16.109375" customWidth="1"/>
    <col min="25" max="25" width="13.44140625" customWidth="1"/>
    <col min="26" max="26" width="12.44140625" bestFit="1" customWidth="1"/>
    <col min="27" max="45" width="12.44140625" customWidth="1"/>
  </cols>
  <sheetData>
    <row r="1" spans="2:16" x14ac:dyDescent="0.3">
      <c r="I1" t="s">
        <v>58</v>
      </c>
    </row>
    <row r="2" spans="2:16" ht="23.55" customHeight="1" x14ac:dyDescent="0.45">
      <c r="B2" s="226" t="s">
        <v>59</v>
      </c>
      <c r="C2" s="224"/>
      <c r="D2" s="225" t="str">
        <f>Summary!D6</f>
        <v>Test</v>
      </c>
      <c r="E2" s="224"/>
      <c r="H2" t="s">
        <v>60</v>
      </c>
      <c r="I2" s="82">
        <f>Summary!D14</f>
        <v>36000</v>
      </c>
      <c r="J2" s="31"/>
      <c r="K2" s="108"/>
    </row>
    <row r="3" spans="2:16" x14ac:dyDescent="0.3">
      <c r="H3" t="s">
        <v>61</v>
      </c>
      <c r="I3" s="1">
        <f>H11</f>
        <v>0</v>
      </c>
      <c r="J3" s="31"/>
    </row>
    <row r="4" spans="2:16" x14ac:dyDescent="0.3">
      <c r="B4" s="2" t="s">
        <v>62</v>
      </c>
      <c r="C4" s="2"/>
      <c r="D4" s="2"/>
      <c r="E4" s="2"/>
      <c r="F4" s="2"/>
      <c r="G4" s="2"/>
      <c r="H4" s="2" t="s">
        <v>63</v>
      </c>
      <c r="I4" s="1">
        <f>SUM(I2:I3)</f>
        <v>36000</v>
      </c>
      <c r="J4" s="31"/>
      <c r="K4" s="2" t="s">
        <v>64</v>
      </c>
      <c r="L4" s="2"/>
      <c r="M4" s="2"/>
      <c r="N4" s="2"/>
    </row>
    <row r="5" spans="2:16" x14ac:dyDescent="0.3">
      <c r="B5" s="3" t="s">
        <v>65</v>
      </c>
      <c r="E5" s="4" t="s">
        <v>66</v>
      </c>
      <c r="K5" s="3" t="s">
        <v>67</v>
      </c>
      <c r="N5" s="5">
        <f>SUM(C127)</f>
        <v>38160</v>
      </c>
      <c r="O5" s="1"/>
      <c r="P5" s="6"/>
    </row>
    <row r="6" spans="2:16" x14ac:dyDescent="0.3">
      <c r="B6" t="s">
        <v>68</v>
      </c>
      <c r="C6" s="7">
        <f>IF(Summary!D8&gt;0,Summary!D8,1)</f>
        <v>1</v>
      </c>
      <c r="D6" s="102">
        <f>Summary!H8</f>
        <v>0</v>
      </c>
      <c r="E6" t="s">
        <v>69</v>
      </c>
      <c r="H6" s="8">
        <v>0</v>
      </c>
      <c r="I6" s="9">
        <f>Summary!D11</f>
        <v>750</v>
      </c>
      <c r="J6" s="10" t="s">
        <v>70</v>
      </c>
      <c r="K6" s="11" t="s">
        <v>71</v>
      </c>
      <c r="L6" s="12"/>
      <c r="M6" s="12"/>
      <c r="N6" s="13">
        <f>IRR(C155:AG155)</f>
        <v>3.1479342930745391E-2</v>
      </c>
    </row>
    <row r="7" spans="2:16" x14ac:dyDescent="0.3">
      <c r="B7" t="s">
        <v>72</v>
      </c>
      <c r="C7" s="83">
        <f>Summary!D9+Summary!H9+Summary!W6+Summary!AB6+Summary!AG6+Summary!AL6+Summary!AQ6+Summary!AV6+Summary!BA6+Summary!BF6+Summary!BK6+Summary!M8+Summary!W13+Summary!AB13+Summary!AG13+Summary!AL13+Summary!AQ13+Summary!AV13+Summary!BA13+Summary!BF13+Summary!BK13</f>
        <v>48</v>
      </c>
      <c r="E7" s="14" t="s">
        <v>73</v>
      </c>
      <c r="F7" s="15"/>
      <c r="G7" s="15"/>
      <c r="H7" s="16">
        <f>Summary!R26+Summary!AB26</f>
        <v>2160</v>
      </c>
      <c r="I7" s="103">
        <f>Summary!H11</f>
        <v>0</v>
      </c>
      <c r="J7" t="s">
        <v>74</v>
      </c>
      <c r="K7" s="3" t="s">
        <v>75</v>
      </c>
      <c r="N7" s="17">
        <f>IRR(C156:AG156)</f>
        <v>2.3029949618021073E-2</v>
      </c>
    </row>
    <row r="8" spans="2:16" x14ac:dyDescent="0.3">
      <c r="C8" s="84"/>
      <c r="D8" s="84">
        <v>0.90500000000000003</v>
      </c>
      <c r="E8" t="s">
        <v>76</v>
      </c>
      <c r="H8" s="18">
        <f>I6</f>
        <v>750</v>
      </c>
      <c r="K8" s="3" t="s">
        <v>77</v>
      </c>
      <c r="L8" s="3"/>
      <c r="M8" s="3"/>
      <c r="N8" s="13">
        <f>D67/N5</f>
        <v>-3.1434504947886854E-2</v>
      </c>
    </row>
    <row r="9" spans="2:16" x14ac:dyDescent="0.3">
      <c r="B9" t="s">
        <v>78</v>
      </c>
      <c r="C9" s="150">
        <f>Summary!D10+Summary!H10+Summary!M9+Summary!W7+Summary!W14+Summary!AB7+Summary!AB14+Summary!AG7+Summary!AG14+Summary!AL7+Summary!AL14+Summary!AQ7+Summary!AQ14+Summary!AV7+Summary!AV14+Summary!BA7+Summary!BA14+Summary!BF7+Summary!BF14+Summary!BK7+Summary!BK14</f>
        <v>48000</v>
      </c>
      <c r="D9">
        <f>Summary!H10</f>
        <v>0</v>
      </c>
      <c r="K9" s="3" t="s">
        <v>79</v>
      </c>
      <c r="N9" s="13">
        <f>D52/C127</f>
        <v>0.16711685773555129</v>
      </c>
      <c r="O9" s="19"/>
    </row>
    <row r="10" spans="2:16" x14ac:dyDescent="0.3">
      <c r="B10" t="s">
        <v>80</v>
      </c>
      <c r="C10" s="7">
        <v>5.0000000000000001E-3</v>
      </c>
      <c r="D10" s="7">
        <v>4.0000000000000002E-4</v>
      </c>
      <c r="E10" s="3" t="s">
        <v>81</v>
      </c>
      <c r="K10" s="3" t="s">
        <v>82</v>
      </c>
      <c r="L10" s="3" t="s">
        <v>83</v>
      </c>
      <c r="N10" s="100">
        <f>COUNTIF(C158:AB158,"&lt;0")</f>
        <v>17</v>
      </c>
    </row>
    <row r="11" spans="2:16" x14ac:dyDescent="0.3">
      <c r="B11" t="s">
        <v>84</v>
      </c>
      <c r="C11" s="20">
        <v>0</v>
      </c>
      <c r="D11" s="20">
        <v>0</v>
      </c>
      <c r="E11" t="s">
        <v>85</v>
      </c>
      <c r="H11" s="21">
        <f>Summary!D13</f>
        <v>0</v>
      </c>
      <c r="I11" s="86" t="s">
        <v>86</v>
      </c>
      <c r="J11" s="86" t="s">
        <v>87</v>
      </c>
      <c r="K11" s="86"/>
      <c r="L11" s="3" t="s">
        <v>88</v>
      </c>
      <c r="N11" s="3">
        <f>COUNTIF(C159:AB159,"&lt;0")</f>
        <v>18</v>
      </c>
    </row>
    <row r="12" spans="2:16" x14ac:dyDescent="0.3">
      <c r="B12" t="s">
        <v>89</v>
      </c>
      <c r="C12" s="20">
        <v>7</v>
      </c>
      <c r="D12" s="20">
        <v>10</v>
      </c>
      <c r="E12" t="s">
        <v>90</v>
      </c>
      <c r="H12" s="8">
        <v>12</v>
      </c>
      <c r="I12" s="86">
        <v>3250</v>
      </c>
      <c r="J12" s="86">
        <v>100</v>
      </c>
      <c r="K12" s="86"/>
      <c r="L12" s="12"/>
      <c r="M12" s="22" t="s">
        <v>91</v>
      </c>
      <c r="N12" s="23">
        <v>0.11</v>
      </c>
      <c r="O12" s="12"/>
    </row>
    <row r="13" spans="2:16" x14ac:dyDescent="0.3">
      <c r="B13" s="151" t="s">
        <v>92</v>
      </c>
      <c r="C13" s="155">
        <v>0</v>
      </c>
      <c r="D13" s="20">
        <v>15.5</v>
      </c>
      <c r="E13" t="s">
        <v>93</v>
      </c>
      <c r="H13" s="24">
        <v>0</v>
      </c>
      <c r="I13" s="86">
        <f>(Summary!D9+Summary!H9+Summary!W6+Summary!AB6+Summary!AG6+Summary!AL6+Summary!AQ6+Summary!AV6+Summary!BA6+Summary!BF6+Summary!BK6)/J12</f>
        <v>0.48</v>
      </c>
      <c r="J13" s="86">
        <f>ROUND(I13,0)*I12</f>
        <v>0</v>
      </c>
      <c r="K13" s="86" t="s">
        <v>94</v>
      </c>
    </row>
    <row r="14" spans="2:16" x14ac:dyDescent="0.3">
      <c r="B14" t="s">
        <v>95</v>
      </c>
      <c r="C14" s="7">
        <v>0</v>
      </c>
      <c r="D14" s="7">
        <v>0</v>
      </c>
      <c r="E14" t="s">
        <v>96</v>
      </c>
      <c r="H14" s="8">
        <v>0</v>
      </c>
      <c r="I14" s="86">
        <f>Summary!H9/J12</f>
        <v>0</v>
      </c>
      <c r="J14" s="86">
        <f>ROUND(I14,0)*I12</f>
        <v>0</v>
      </c>
      <c r="K14" s="86" t="s">
        <v>94</v>
      </c>
    </row>
    <row r="15" spans="2:16" x14ac:dyDescent="0.3">
      <c r="B15" t="s">
        <v>97</v>
      </c>
      <c r="C15" s="20">
        <f>Summary!D18</f>
        <v>13.285790189976327</v>
      </c>
      <c r="E15" t="s">
        <v>98</v>
      </c>
      <c r="H15" s="27">
        <f>IFERROR(H11/H12,0)</f>
        <v>0</v>
      </c>
    </row>
    <row r="16" spans="2:16" x14ac:dyDescent="0.3">
      <c r="B16" t="s">
        <v>99</v>
      </c>
      <c r="C16" s="7">
        <v>2.5000000000000001E-2</v>
      </c>
      <c r="D16" s="7">
        <v>2.5000000000000001E-2</v>
      </c>
      <c r="E16" t="s">
        <v>100</v>
      </c>
      <c r="H16" s="27">
        <f>IFERROR(H13/H14,0)</f>
        <v>0</v>
      </c>
    </row>
    <row r="17" spans="1:21" x14ac:dyDescent="0.3">
      <c r="A17" s="223"/>
      <c r="B17" t="s">
        <v>101</v>
      </c>
      <c r="C17" s="7">
        <v>2.5000000000000001E-2</v>
      </c>
      <c r="D17" s="7">
        <v>2.5000000000000001E-2</v>
      </c>
      <c r="J17" s="31">
        <f>$D$7*$H$22*(1+$C$16)^(D42-1)*(D42&lt;=$C$19)</f>
        <v>0</v>
      </c>
    </row>
    <row r="18" spans="1:21" x14ac:dyDescent="0.3">
      <c r="A18" s="224"/>
      <c r="B18" t="s">
        <v>102</v>
      </c>
      <c r="C18" s="7">
        <v>2.5000000000000001E-2</v>
      </c>
      <c r="D18" s="7">
        <v>2.5000000000000001E-2</v>
      </c>
    </row>
    <row r="19" spans="1:21" x14ac:dyDescent="0.3">
      <c r="A19" s="224"/>
      <c r="B19" t="s">
        <v>103</v>
      </c>
      <c r="C19" s="29">
        <f>'Auto Calculate'!F11</f>
        <v>20</v>
      </c>
      <c r="D19" s="29">
        <f>'Auto Calculate'!F11</f>
        <v>20</v>
      </c>
      <c r="E19" s="4" t="s">
        <v>104</v>
      </c>
      <c r="H19" t="s">
        <v>105</v>
      </c>
      <c r="I19" t="s">
        <v>106</v>
      </c>
    </row>
    <row r="20" spans="1:21" x14ac:dyDescent="0.3">
      <c r="B20" t="s">
        <v>107</v>
      </c>
      <c r="C20" s="29">
        <v>1</v>
      </c>
      <c r="E20" t="s">
        <v>108</v>
      </c>
      <c r="H20" s="30">
        <v>400</v>
      </c>
      <c r="I20" s="106">
        <v>100</v>
      </c>
    </row>
    <row r="21" spans="1:21" x14ac:dyDescent="0.3">
      <c r="E21" t="s">
        <v>109</v>
      </c>
      <c r="H21" s="156">
        <v>0</v>
      </c>
    </row>
    <row r="22" spans="1:21" x14ac:dyDescent="0.3">
      <c r="A22" s="33"/>
      <c r="E22" t="s">
        <v>42</v>
      </c>
      <c r="H22" s="30">
        <f>Summary!Q24</f>
        <v>10</v>
      </c>
    </row>
    <row r="23" spans="1:21" x14ac:dyDescent="0.3">
      <c r="E23" t="s">
        <v>110</v>
      </c>
      <c r="H23" s="30">
        <f>3.75*(1+$I$35)</f>
        <v>3.75</v>
      </c>
      <c r="J23" s="34"/>
    </row>
    <row r="24" spans="1:21" ht="15.45" customHeight="1" x14ac:dyDescent="0.3">
      <c r="E24" t="s">
        <v>111</v>
      </c>
      <c r="H24" s="156">
        <f>1.215*(1+$I$35)</f>
        <v>1.2150000000000001</v>
      </c>
      <c r="K24" s="12"/>
      <c r="L24" s="12"/>
      <c r="M24" s="12"/>
      <c r="N24" s="12"/>
      <c r="O24" s="12"/>
      <c r="P24" s="12"/>
      <c r="Q24" s="25"/>
      <c r="R24" s="12"/>
      <c r="S24" s="12"/>
      <c r="T24" s="12"/>
      <c r="U24" s="12"/>
    </row>
    <row r="25" spans="1:21" x14ac:dyDescent="0.3">
      <c r="E25" t="s">
        <v>112</v>
      </c>
      <c r="H25" s="24">
        <v>0</v>
      </c>
      <c r="K25" s="12"/>
      <c r="L25" s="26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3">
      <c r="E26" t="s">
        <v>113</v>
      </c>
      <c r="H26" s="24">
        <v>0</v>
      </c>
      <c r="K26" s="12"/>
      <c r="L26" s="160"/>
      <c r="M26" s="161"/>
      <c r="N26" s="161"/>
      <c r="O26" s="161"/>
      <c r="P26" s="161"/>
      <c r="Q26" s="161"/>
      <c r="R26" s="161"/>
      <c r="S26" s="161"/>
      <c r="T26" s="161"/>
      <c r="U26" s="161"/>
    </row>
    <row r="27" spans="1:21" x14ac:dyDescent="0.3">
      <c r="H27" t="s">
        <v>114</v>
      </c>
      <c r="I27" t="s">
        <v>115</v>
      </c>
      <c r="K27" s="28"/>
      <c r="L27" s="160"/>
      <c r="M27" s="161"/>
      <c r="N27" s="161"/>
      <c r="O27" s="161"/>
      <c r="P27" s="161"/>
      <c r="Q27" s="161"/>
      <c r="R27" s="161"/>
      <c r="S27" s="161"/>
      <c r="T27" s="161"/>
      <c r="U27" s="161"/>
    </row>
    <row r="28" spans="1:21" x14ac:dyDescent="0.3">
      <c r="E28" s="15" t="s">
        <v>116</v>
      </c>
      <c r="F28" s="15"/>
      <c r="G28" s="15"/>
      <c r="H28" s="35">
        <v>25</v>
      </c>
      <c r="I28" s="35">
        <f>1/8%</f>
        <v>12.5</v>
      </c>
      <c r="K28" s="28"/>
      <c r="L28" s="160"/>
      <c r="M28" s="161"/>
      <c r="N28" s="161"/>
      <c r="O28" s="161"/>
      <c r="P28" s="161"/>
      <c r="Q28" s="161"/>
      <c r="R28" s="161"/>
      <c r="S28" s="161"/>
      <c r="T28" s="161"/>
      <c r="U28" s="161"/>
    </row>
    <row r="29" spans="1:21" ht="15.45" customHeight="1" x14ac:dyDescent="0.3">
      <c r="E29" s="15" t="s">
        <v>117</v>
      </c>
      <c r="F29" s="15"/>
      <c r="G29" s="15"/>
      <c r="H29" s="36">
        <v>1</v>
      </c>
      <c r="I29" s="36">
        <v>1</v>
      </c>
      <c r="K29" s="32"/>
      <c r="L29" s="160"/>
      <c r="M29" s="161"/>
      <c r="N29" s="161"/>
      <c r="O29" s="161"/>
      <c r="P29" s="161"/>
      <c r="Q29" s="161"/>
      <c r="R29" s="161"/>
      <c r="S29" s="161"/>
      <c r="T29" s="161"/>
      <c r="U29" s="161"/>
    </row>
    <row r="30" spans="1:21" x14ac:dyDescent="0.3">
      <c r="C30" s="157"/>
      <c r="E30" s="15" t="s">
        <v>118</v>
      </c>
      <c r="F30" s="15"/>
      <c r="G30" s="15"/>
      <c r="H30" s="35">
        <v>15</v>
      </c>
      <c r="I30" s="35">
        <v>15</v>
      </c>
      <c r="K30" s="12"/>
      <c r="L30" s="160"/>
      <c r="M30" s="161"/>
      <c r="N30" s="161"/>
      <c r="O30" s="161"/>
      <c r="P30" s="161"/>
      <c r="Q30" s="161"/>
      <c r="R30" s="161"/>
      <c r="S30" s="161"/>
      <c r="T30" s="161"/>
      <c r="U30" s="161"/>
    </row>
    <row r="31" spans="1:21" x14ac:dyDescent="0.3">
      <c r="C31" s="157"/>
      <c r="E31" s="15" t="s">
        <v>119</v>
      </c>
      <c r="F31" s="15"/>
      <c r="G31" s="15"/>
      <c r="H31" s="36">
        <v>1</v>
      </c>
      <c r="I31" s="36">
        <v>1</v>
      </c>
      <c r="K31" s="12"/>
      <c r="L31" s="160"/>
      <c r="M31" s="161"/>
      <c r="N31" s="161"/>
      <c r="O31" s="161"/>
      <c r="P31" s="161"/>
      <c r="Q31" s="161"/>
      <c r="R31" s="161"/>
      <c r="S31" s="161"/>
      <c r="T31" s="161"/>
      <c r="U31" s="161"/>
    </row>
    <row r="32" spans="1:21" x14ac:dyDescent="0.3">
      <c r="C32" s="157"/>
      <c r="E32" s="15" t="s">
        <v>120</v>
      </c>
      <c r="H32" s="36">
        <v>0.25</v>
      </c>
      <c r="K32" s="12"/>
      <c r="L32" s="160"/>
      <c r="M32" s="161"/>
      <c r="N32" s="161"/>
      <c r="O32" s="161"/>
      <c r="P32" s="161"/>
      <c r="Q32" s="161"/>
      <c r="R32" s="161"/>
      <c r="S32" s="161"/>
      <c r="T32" s="161"/>
      <c r="U32" s="161"/>
    </row>
    <row r="33" spans="2:33" x14ac:dyDescent="0.3">
      <c r="C33" s="158"/>
      <c r="K33" s="12"/>
      <c r="L33" s="160"/>
      <c r="M33" s="161"/>
      <c r="N33" s="161"/>
      <c r="O33" s="161"/>
      <c r="P33" s="161"/>
      <c r="Q33" s="161"/>
      <c r="R33" s="161"/>
      <c r="S33" s="161"/>
      <c r="T33" s="161"/>
      <c r="U33" s="161"/>
    </row>
    <row r="34" spans="2:33" x14ac:dyDescent="0.3">
      <c r="B34" s="14"/>
      <c r="C34" s="159"/>
      <c r="H34" s="3"/>
      <c r="K34" s="12"/>
      <c r="L34" s="160"/>
      <c r="M34" s="161"/>
      <c r="N34" s="161"/>
      <c r="O34" s="161"/>
      <c r="P34" s="161"/>
      <c r="Q34" s="161"/>
      <c r="R34" s="161"/>
      <c r="S34" s="161"/>
      <c r="T34" s="161"/>
      <c r="U34" s="161"/>
    </row>
    <row r="35" spans="2:33" x14ac:dyDescent="0.3">
      <c r="D35" s="15"/>
      <c r="I35" s="102"/>
      <c r="L35" s="160"/>
      <c r="M35" s="161"/>
      <c r="N35" s="161"/>
      <c r="O35" s="161"/>
      <c r="P35" s="161"/>
      <c r="Q35" s="161"/>
      <c r="R35" s="161"/>
      <c r="S35" s="161"/>
      <c r="T35" s="161"/>
      <c r="U35" s="161"/>
    </row>
    <row r="36" spans="2:33" x14ac:dyDescent="0.3">
      <c r="D36" s="15"/>
      <c r="I36" s="102"/>
      <c r="L36" s="160"/>
      <c r="M36" s="161"/>
      <c r="N36" s="161"/>
      <c r="O36" s="161"/>
      <c r="P36" s="161"/>
      <c r="Q36" s="161"/>
      <c r="R36" s="161"/>
      <c r="S36" s="161"/>
      <c r="T36" s="161"/>
      <c r="U36" s="161"/>
    </row>
    <row r="37" spans="2:33" x14ac:dyDescent="0.3">
      <c r="L37" s="160"/>
      <c r="M37" s="161"/>
      <c r="N37" s="161"/>
      <c r="O37" s="161"/>
      <c r="P37" s="161"/>
      <c r="Q37" s="161"/>
      <c r="R37" s="161"/>
      <c r="S37" s="161"/>
      <c r="T37" s="161"/>
      <c r="U37" s="161"/>
    </row>
    <row r="38" spans="2:33" x14ac:dyDescent="0.3">
      <c r="L38" s="160"/>
      <c r="M38" s="161"/>
      <c r="N38" s="161"/>
      <c r="O38" s="161"/>
      <c r="P38" s="161"/>
      <c r="Q38" s="161"/>
      <c r="R38" s="161"/>
      <c r="S38" s="161"/>
      <c r="T38" s="161"/>
      <c r="U38" s="161"/>
    </row>
    <row r="39" spans="2:33" x14ac:dyDescent="0.3">
      <c r="D39" s="37"/>
      <c r="L39" s="160"/>
      <c r="M39" s="161"/>
      <c r="N39" s="161"/>
      <c r="O39" s="161"/>
      <c r="P39" s="161"/>
      <c r="Q39" s="161"/>
      <c r="R39" s="161"/>
      <c r="S39" s="161"/>
      <c r="T39" s="161"/>
      <c r="U39" s="161"/>
    </row>
    <row r="40" spans="2:33" x14ac:dyDescent="0.3">
      <c r="D40" s="38"/>
      <c r="E40" s="38"/>
      <c r="F40" s="38"/>
      <c r="H40" s="38"/>
      <c r="I40" s="38"/>
      <c r="L40" s="160"/>
      <c r="M40" s="161"/>
      <c r="N40" s="161"/>
      <c r="O40" s="161"/>
      <c r="P40" s="161"/>
      <c r="Q40" s="161"/>
      <c r="R40" s="161"/>
      <c r="S40" s="161"/>
      <c r="T40" s="161"/>
      <c r="U40" s="161"/>
    </row>
    <row r="41" spans="2:33" x14ac:dyDescent="0.3">
      <c r="F41" s="39"/>
      <c r="G41" s="39"/>
    </row>
    <row r="42" spans="2:33" x14ac:dyDescent="0.3">
      <c r="B42" s="40" t="s">
        <v>121</v>
      </c>
      <c r="C42" s="2">
        <v>0</v>
      </c>
      <c r="D42" s="2">
        <v>1</v>
      </c>
      <c r="E42" s="2">
        <v>2</v>
      </c>
      <c r="F42" s="2">
        <v>3</v>
      </c>
      <c r="G42" s="2">
        <v>4</v>
      </c>
      <c r="H42" s="2">
        <v>5</v>
      </c>
      <c r="I42" s="2">
        <v>6</v>
      </c>
      <c r="J42" s="2">
        <v>7</v>
      </c>
      <c r="K42" s="2">
        <v>8</v>
      </c>
      <c r="L42" s="2">
        <v>9</v>
      </c>
      <c r="M42" s="2">
        <v>10</v>
      </c>
      <c r="N42" s="2">
        <v>11</v>
      </c>
      <c r="O42" s="2">
        <v>12</v>
      </c>
      <c r="P42" s="2">
        <v>13</v>
      </c>
      <c r="Q42" s="2">
        <v>14</v>
      </c>
      <c r="R42" s="2">
        <v>15</v>
      </c>
      <c r="S42" s="2">
        <v>16</v>
      </c>
      <c r="T42" s="2">
        <v>17</v>
      </c>
      <c r="U42" s="2">
        <v>18</v>
      </c>
      <c r="V42" s="2">
        <v>19</v>
      </c>
      <c r="W42" s="2">
        <v>20</v>
      </c>
      <c r="X42" s="2">
        <v>21</v>
      </c>
      <c r="Y42" s="2">
        <v>22</v>
      </c>
      <c r="Z42" s="2">
        <v>23</v>
      </c>
      <c r="AA42" s="2">
        <v>24</v>
      </c>
      <c r="AB42" s="2">
        <v>25</v>
      </c>
      <c r="AC42" s="2"/>
      <c r="AD42" s="2"/>
      <c r="AE42" s="2"/>
      <c r="AF42" s="2"/>
      <c r="AG42" s="2"/>
    </row>
    <row r="43" spans="2:33" x14ac:dyDescent="0.3">
      <c r="D43" s="41"/>
      <c r="E43" s="41"/>
      <c r="F43" s="41"/>
      <c r="G43" s="41"/>
      <c r="H43" s="41"/>
      <c r="I43" s="41"/>
      <c r="J43" s="41"/>
      <c r="K43" s="41"/>
    </row>
    <row r="44" spans="2:33" x14ac:dyDescent="0.3">
      <c r="B44" t="s">
        <v>122</v>
      </c>
      <c r="D44" s="42">
        <f>Summary!D10+Summary!H10+Summary!M9+Summary!W7+Summary!AB7+Summary!AG7+Summary!AL7+Summary!AQ7+Summary!AV7+Summary!BA7+Summary!BF7+Summary!BK7+Summary!AQ14+Summary!AV14+Summary!BA14+Summary!BF14+Summary!BK14+Summary!W14+Summary!AB14+Summary!AG14+Summary!AL14</f>
        <v>48000</v>
      </c>
      <c r="E44" s="42">
        <f>('Calculation Debt'!D44-'Calculation Debt'!D44*($C$10))*(E$42&lt;=$C$19)</f>
        <v>47760</v>
      </c>
      <c r="F44" s="42">
        <f t="shared" ref="F44:AB44" si="0">(E44-E44*($C$10))*(F$42&lt;=$C$19)</f>
        <v>47521.2</v>
      </c>
      <c r="G44" s="42">
        <f t="shared" si="0"/>
        <v>47283.593999999997</v>
      </c>
      <c r="H44" s="42">
        <f t="shared" si="0"/>
        <v>47047.176029999995</v>
      </c>
      <c r="I44" s="42">
        <f t="shared" si="0"/>
        <v>46811.940149849994</v>
      </c>
      <c r="J44" s="42">
        <f t="shared" si="0"/>
        <v>46577.880449100747</v>
      </c>
      <c r="K44" s="42">
        <f t="shared" si="0"/>
        <v>46344.991046855241</v>
      </c>
      <c r="L44" s="42">
        <f t="shared" si="0"/>
        <v>46113.266091620964</v>
      </c>
      <c r="M44" s="42">
        <f t="shared" si="0"/>
        <v>45882.699761162861</v>
      </c>
      <c r="N44" s="42">
        <f t="shared" si="0"/>
        <v>45653.286262357047</v>
      </c>
      <c r="O44" s="42">
        <f t="shared" si="0"/>
        <v>45425.019831045262</v>
      </c>
      <c r="P44" s="42">
        <f t="shared" si="0"/>
        <v>45197.894731890032</v>
      </c>
      <c r="Q44" s="42">
        <f t="shared" si="0"/>
        <v>44971.905258230581</v>
      </c>
      <c r="R44" s="42">
        <f t="shared" si="0"/>
        <v>44747.045731939426</v>
      </c>
      <c r="S44" s="42">
        <f t="shared" si="0"/>
        <v>44523.310503279732</v>
      </c>
      <c r="T44" s="42">
        <f t="shared" si="0"/>
        <v>44300.693950763336</v>
      </c>
      <c r="U44" s="42">
        <f t="shared" si="0"/>
        <v>44079.190481009522</v>
      </c>
      <c r="V44" s="42">
        <f t="shared" si="0"/>
        <v>43858.794528604478</v>
      </c>
      <c r="W44" s="42">
        <f t="shared" si="0"/>
        <v>43639.500555961458</v>
      </c>
      <c r="X44" s="42">
        <f t="shared" si="0"/>
        <v>0</v>
      </c>
      <c r="Y44" s="42">
        <f t="shared" si="0"/>
        <v>0</v>
      </c>
      <c r="Z44" s="42">
        <f t="shared" si="0"/>
        <v>0</v>
      </c>
      <c r="AA44" s="42">
        <f t="shared" si="0"/>
        <v>0</v>
      </c>
      <c r="AB44" s="42">
        <f t="shared" si="0"/>
        <v>0</v>
      </c>
      <c r="AC44" s="42"/>
      <c r="AD44" s="42"/>
      <c r="AE44" s="42"/>
      <c r="AF44" s="42"/>
      <c r="AG44" s="42"/>
    </row>
    <row r="45" spans="2:33" x14ac:dyDescent="0.3">
      <c r="B45" t="s">
        <v>123</v>
      </c>
      <c r="C45" s="42"/>
      <c r="D45" s="43">
        <f>'Calculation Debt'!$D$44*$C$6*(D$42&lt;=$C$19)</f>
        <v>48000</v>
      </c>
      <c r="E45" s="43">
        <f>'Calculation Debt'!$D$44*$C$6*(E$42&lt;=$C$19)</f>
        <v>48000</v>
      </c>
      <c r="F45" s="43">
        <f>'Calculation Debt'!$D$44*$C$6*(F$42&lt;=$C$19)</f>
        <v>48000</v>
      </c>
      <c r="G45" s="43">
        <f>'Calculation Debt'!$D$44*$C$6*(G$42&lt;=$C$19)</f>
        <v>48000</v>
      </c>
      <c r="H45" s="43">
        <f>'Calculation Debt'!$D$44*$C$6*(H$42&lt;=$C$19)</f>
        <v>48000</v>
      </c>
      <c r="I45" s="43">
        <f>'Calculation Debt'!$D$44*$C$6*(I$42&lt;=$C$19)</f>
        <v>48000</v>
      </c>
      <c r="J45" s="43">
        <f>'Calculation Debt'!$D$44*$C$6*(J$42&lt;=$C$19)</f>
        <v>48000</v>
      </c>
      <c r="K45" s="43">
        <f>'Calculation Debt'!$D$44*$C$6*(K$42&lt;=$C$19)</f>
        <v>48000</v>
      </c>
      <c r="L45" s="43">
        <f>'Calculation Debt'!$D$44*$C$6*(L$42&lt;=$C$19)</f>
        <v>48000</v>
      </c>
      <c r="M45" s="43">
        <f>'Calculation Debt'!$D$44*$C$6*(M$42&lt;=$C$19)</f>
        <v>48000</v>
      </c>
      <c r="N45" s="43">
        <f>'Calculation Debt'!$D$44*$C$6*(N$42&lt;=$C$19)</f>
        <v>48000</v>
      </c>
      <c r="O45" s="43">
        <f>'Calculation Debt'!$D$44*$C$6*(O$42&lt;=$C$19)</f>
        <v>48000</v>
      </c>
      <c r="P45" s="43">
        <f>'Calculation Debt'!$D$44*$C$6*(P$42&lt;=$C$19)</f>
        <v>48000</v>
      </c>
      <c r="Q45" s="43">
        <f>'Calculation Debt'!$D$44*$C$6*(Q$42&lt;=$C$19)</f>
        <v>48000</v>
      </c>
      <c r="R45" s="43">
        <f>'Calculation Debt'!$D$44*$C$6*(R$42&lt;=$C$19)</f>
        <v>48000</v>
      </c>
      <c r="S45" s="43">
        <f>'Calculation Debt'!$D$44*$C$6*(S$42&lt;=$C$19)</f>
        <v>48000</v>
      </c>
      <c r="T45" s="43">
        <f>'Calculation Debt'!$D$44*$C$6*(T$42&lt;=$C$19)</f>
        <v>48000</v>
      </c>
      <c r="U45" s="43">
        <f>'Calculation Debt'!$D$44*$C$6*(U$42&lt;=$C$19)</f>
        <v>48000</v>
      </c>
      <c r="V45" s="43">
        <f>'Calculation Debt'!$D$44*$C$6*(V$42&lt;=$C$19)</f>
        <v>48000</v>
      </c>
      <c r="W45" s="43">
        <f>'Calculation Debt'!$D$44*$C$6*(W$42&lt;=$C$19)</f>
        <v>48000</v>
      </c>
      <c r="X45" s="43">
        <f>'Calculation Debt'!$D$44*$C$6*(X$42&lt;=$C$19)</f>
        <v>0</v>
      </c>
      <c r="Y45" s="43">
        <f>'Calculation Debt'!$D$44*$C$6*(Y$42&lt;=$C$19)</f>
        <v>0</v>
      </c>
      <c r="Z45" s="43">
        <f>'Calculation Debt'!$D$44*$C$6*(Z$42&lt;=$C$19)</f>
        <v>0</v>
      </c>
      <c r="AA45" s="43">
        <f>'Calculation Debt'!$D$44*$C$6*(AA$42&lt;=$C$19)</f>
        <v>0</v>
      </c>
      <c r="AB45" s="43">
        <f>'Calculation Debt'!$D$44*$C$6*(AB$42&lt;=$C$19)</f>
        <v>0</v>
      </c>
      <c r="AC45" s="43"/>
      <c r="AD45" s="43"/>
      <c r="AE45" s="43"/>
      <c r="AF45" s="43"/>
      <c r="AG45" s="43"/>
    </row>
    <row r="46" spans="2:33" x14ac:dyDescent="0.3">
      <c r="B46" t="s">
        <v>124</v>
      </c>
      <c r="C46" s="42"/>
      <c r="D46" s="44">
        <f>MIN(IFERROR(D45/E44,0),100%)*(D$42&lt;=$C$19)</f>
        <v>1</v>
      </c>
      <c r="E46" s="44">
        <f t="shared" ref="E46:AB46" si="1">MIN(IFERROR(E45/E44,0),100%)*(E$42&lt;=$C$19)</f>
        <v>1</v>
      </c>
      <c r="F46" s="44">
        <f t="shared" si="1"/>
        <v>1</v>
      </c>
      <c r="G46" s="44">
        <f t="shared" si="1"/>
        <v>1</v>
      </c>
      <c r="H46" s="44">
        <f t="shared" si="1"/>
        <v>1</v>
      </c>
      <c r="I46" s="44">
        <f t="shared" si="1"/>
        <v>1</v>
      </c>
      <c r="J46" s="44">
        <f t="shared" si="1"/>
        <v>1</v>
      </c>
      <c r="K46" s="44">
        <f t="shared" si="1"/>
        <v>1</v>
      </c>
      <c r="L46" s="44">
        <f t="shared" si="1"/>
        <v>1</v>
      </c>
      <c r="M46" s="44">
        <f t="shared" si="1"/>
        <v>1</v>
      </c>
      <c r="N46" s="44">
        <f t="shared" si="1"/>
        <v>1</v>
      </c>
      <c r="O46" s="44">
        <f t="shared" si="1"/>
        <v>1</v>
      </c>
      <c r="P46" s="44">
        <f t="shared" si="1"/>
        <v>1</v>
      </c>
      <c r="Q46" s="44">
        <f t="shared" si="1"/>
        <v>1</v>
      </c>
      <c r="R46" s="44">
        <f t="shared" si="1"/>
        <v>1</v>
      </c>
      <c r="S46" s="44">
        <f t="shared" si="1"/>
        <v>1</v>
      </c>
      <c r="T46" s="44">
        <f t="shared" si="1"/>
        <v>1</v>
      </c>
      <c r="U46" s="44">
        <f t="shared" si="1"/>
        <v>1</v>
      </c>
      <c r="V46" s="44">
        <f t="shared" si="1"/>
        <v>1</v>
      </c>
      <c r="W46" s="44">
        <f t="shared" si="1"/>
        <v>1</v>
      </c>
      <c r="X46" s="44">
        <f t="shared" si="1"/>
        <v>0</v>
      </c>
      <c r="Y46" s="44">
        <f t="shared" si="1"/>
        <v>0</v>
      </c>
      <c r="Z46" s="44">
        <f t="shared" si="1"/>
        <v>0</v>
      </c>
      <c r="AA46" s="44">
        <f t="shared" si="1"/>
        <v>0</v>
      </c>
      <c r="AB46" s="44">
        <f t="shared" si="1"/>
        <v>0</v>
      </c>
      <c r="AC46" s="44"/>
      <c r="AD46" s="44"/>
      <c r="AE46" s="44"/>
      <c r="AF46" s="44"/>
      <c r="AG46" s="44"/>
    </row>
    <row r="47" spans="2:33" x14ac:dyDescent="0.3">
      <c r="B47" t="s">
        <v>125</v>
      </c>
      <c r="C47" s="45"/>
      <c r="D47" s="45">
        <f>$C$12*((1+$C$17)^(D42-1))*(D$42&lt;=$C$19)</f>
        <v>7</v>
      </c>
      <c r="E47" s="45">
        <f t="shared" ref="E47:AB47" si="2">$C$12*((1+$C$17)^(E42-1))*(E42&lt;=$C$19)</f>
        <v>7.1749999999999989</v>
      </c>
      <c r="F47" s="45">
        <f t="shared" si="2"/>
        <v>7.3543749999999992</v>
      </c>
      <c r="G47" s="45">
        <f t="shared" si="2"/>
        <v>7.5382343749999992</v>
      </c>
      <c r="H47" s="45">
        <f t="shared" si="2"/>
        <v>7.7266902343749981</v>
      </c>
      <c r="I47" s="45">
        <f t="shared" si="2"/>
        <v>7.9198574902343726</v>
      </c>
      <c r="J47" s="45">
        <f t="shared" si="2"/>
        <v>8.1178539274902306</v>
      </c>
      <c r="K47" s="45">
        <f t="shared" si="2"/>
        <v>8.3208002756774881</v>
      </c>
      <c r="L47" s="45">
        <f t="shared" si="2"/>
        <v>8.5288202825694235</v>
      </c>
      <c r="M47" s="45">
        <f t="shared" si="2"/>
        <v>8.7420407896336574</v>
      </c>
      <c r="N47" s="45">
        <f t="shared" si="2"/>
        <v>8.960591809374499</v>
      </c>
      <c r="O47" s="45">
        <f t="shared" si="2"/>
        <v>9.1846066046088612</v>
      </c>
      <c r="P47" s="45">
        <f t="shared" si="2"/>
        <v>9.4142217697240831</v>
      </c>
      <c r="Q47" s="45">
        <f t="shared" si="2"/>
        <v>9.6495773139671837</v>
      </c>
      <c r="R47" s="45">
        <f t="shared" si="2"/>
        <v>9.8908167468163626</v>
      </c>
      <c r="S47" s="45">
        <f t="shared" si="2"/>
        <v>10.138087165486773</v>
      </c>
      <c r="T47" s="45">
        <f t="shared" si="2"/>
        <v>10.391539344623942</v>
      </c>
      <c r="U47" s="45">
        <f t="shared" si="2"/>
        <v>10.651327828239539</v>
      </c>
      <c r="V47" s="45">
        <f t="shared" si="2"/>
        <v>10.917611023945527</v>
      </c>
      <c r="W47" s="45">
        <f t="shared" si="2"/>
        <v>11.190551299544166</v>
      </c>
      <c r="X47" s="45">
        <f t="shared" si="2"/>
        <v>0</v>
      </c>
      <c r="Y47" s="45">
        <f t="shared" si="2"/>
        <v>0</v>
      </c>
      <c r="Z47" s="45">
        <f t="shared" si="2"/>
        <v>0</v>
      </c>
      <c r="AA47" s="45">
        <f t="shared" si="2"/>
        <v>0</v>
      </c>
      <c r="AB47" s="45">
        <f t="shared" si="2"/>
        <v>0</v>
      </c>
      <c r="AC47" s="45"/>
      <c r="AD47" s="45"/>
      <c r="AE47" s="45"/>
      <c r="AF47" s="45"/>
      <c r="AG47" s="45"/>
    </row>
    <row r="48" spans="2:33" x14ac:dyDescent="0.3">
      <c r="B48" t="s">
        <v>126</v>
      </c>
      <c r="C48" s="45"/>
      <c r="D48" s="45">
        <f>IF(Summary!$D$19&lt;1,$C$15*((1+$C$18)^(D42-1))*(D42&lt;=$C$19),Summary!$D$19)</f>
        <v>13.285790189976327</v>
      </c>
      <c r="E48" s="45">
        <f>IF(Summary!$D$19&lt;1,$C$15*((1+$C$18)^(E42-1))*(E42&lt;=$C$19),Summary!$D$19)</f>
        <v>13.617934944725734</v>
      </c>
      <c r="F48" s="45">
        <f>IF(Summary!$D$19&lt;1,$C$15*((1+$C$18)^(F42-1))*(F42&lt;=$C$19),Summary!$D$19)</f>
        <v>13.958383318343877</v>
      </c>
      <c r="G48" s="45">
        <f>IF(Summary!$D$19&lt;1,$C$15*((1+$C$18)^(G42-1))*(G42&lt;=$C$19),Summary!$D$19)</f>
        <v>14.307342901302473</v>
      </c>
      <c r="H48" s="45">
        <f>IF(Summary!$D$19&lt;1,$C$15*((1+$C$18)^(H42-1))*(H42&lt;=$C$19),Summary!$D$19)</f>
        <v>14.665026473835034</v>
      </c>
      <c r="I48" s="45">
        <f>IF(Summary!$D$19&lt;1,$C$15*((1+$C$18)^(I42-1))*(I42&lt;=$C$19),Summary!$D$19)</f>
        <v>15.031652135680908</v>
      </c>
      <c r="J48" s="45">
        <f>IF(Summary!$D$19&lt;1,$C$15*((1+$C$18)^(J42-1))*(J42&lt;=$C$19),Summary!$D$19)</f>
        <v>15.40744343907293</v>
      </c>
      <c r="K48" s="45">
        <f>IF(Summary!$D$19&lt;1,$C$15*((1+$C$18)^(K42-1))*(K42&lt;=$C$19),Summary!$D$19)</f>
        <v>15.792629525049755</v>
      </c>
      <c r="L48" s="45">
        <f>IF(Summary!$D$19&lt;1,$C$15*((1+$C$18)^(L42-1))*(L42&lt;=$C$19),Summary!$D$19)</f>
        <v>16.187445263175995</v>
      </c>
      <c r="M48" s="45">
        <f>IF(Summary!$D$19&lt;1,$C$15*((1+$C$18)^(M42-1))*(M42&lt;=$C$19),Summary!$D$19)</f>
        <v>16.592131394755395</v>
      </c>
      <c r="N48" s="45">
        <f>IF(Summary!$D$19&lt;1,$C$15*((1+$C$18)^(N42-1))*(N42&lt;=$C$19),Summary!$D$19)</f>
        <v>17.00693467962428</v>
      </c>
      <c r="O48" s="45">
        <f>IF(Summary!$D$19&lt;1,$C$15*((1+$C$18)^(O42-1))*(O42&lt;=$C$19),Summary!$D$19)</f>
        <v>17.432108046614886</v>
      </c>
      <c r="P48" s="45">
        <f>IF(Summary!$D$19&lt;1,$C$15*((1+$C$18)^(P42-1))*(P42&lt;=$C$19),Summary!$D$19)</f>
        <v>17.867910747780257</v>
      </c>
      <c r="Q48" s="45">
        <f>IF(Summary!$D$19&lt;1,$C$15*((1+$C$18)^(Q42-1))*(Q42&lt;=$C$19),Summary!$D$19)</f>
        <v>18.31460851647476</v>
      </c>
      <c r="R48" s="45">
        <f>IF(Summary!$D$19&lt;1,$C$15*((1+$C$18)^(R42-1))*(R42&lt;=$C$19),Summary!$D$19)</f>
        <v>18.772473729386629</v>
      </c>
      <c r="S48" s="45">
        <f>IF(Summary!$D$19&lt;1,$C$15*((1+$C$18)^(S42-1))*(S42&lt;=$C$19),Summary!$D$19)</f>
        <v>19.241785572621296</v>
      </c>
      <c r="T48" s="45">
        <f>IF(Summary!$D$19&lt;1,$C$15*((1+$C$18)^(T42-1))*(T42&lt;=$C$19),Summary!$D$19)</f>
        <v>19.722830211936827</v>
      </c>
      <c r="U48" s="45">
        <f>IF(Summary!$D$19&lt;1,$C$15*((1+$C$18)^(U42-1))*(U42&lt;=$C$19),Summary!$D$19)</f>
        <v>20.215900967235246</v>
      </c>
      <c r="V48" s="45">
        <f>IF(Summary!$D$19&lt;1,$C$15*((1+$C$18)^(V42-1))*(V42&lt;=$C$19),Summary!$D$19)</f>
        <v>20.721298491416128</v>
      </c>
      <c r="W48" s="45">
        <f>IF(Summary!$D$19&lt;1,$C$15*((1+$C$18)^(W42-1))*(W42&lt;=$C$19),Summary!$D$19)</f>
        <v>21.239330953701533</v>
      </c>
      <c r="X48" s="45">
        <f>IF(Summary!$D$19&lt;1,$C$15*((1+$C$18)^(X42-1))*(X42&lt;=$C$19),Summary!$D$19)</f>
        <v>0</v>
      </c>
      <c r="Y48" s="45">
        <f>IF(Summary!$D$19&lt;1,$C$15*((1+$C$18)^(Y42-1))*(Y42&lt;=$C$19),Summary!$D$19)</f>
        <v>0</v>
      </c>
      <c r="Z48" s="45">
        <f>IF(Summary!$D$19&lt;1,$C$15*((1+$C$18)^(Z42-1))*(Z42&lt;=$C$19),Summary!$D$19)</f>
        <v>0</v>
      </c>
      <c r="AA48" s="45">
        <f>IF(Summary!$D$19&lt;1,$C$15*((1+$C$18)^(AA42-1))*(AA42&lt;=$C$19),Summary!$D$19)</f>
        <v>0</v>
      </c>
      <c r="AB48" s="45">
        <f>IF(Summary!$D$19&lt;1,$C$15*((1+$C$18)^(AB42-1))*(AB42&lt;=$C$19),Summary!$D$19)</f>
        <v>0</v>
      </c>
      <c r="AC48" s="45"/>
      <c r="AD48" s="45"/>
      <c r="AE48" s="45"/>
      <c r="AF48" s="45"/>
      <c r="AG48" s="45"/>
    </row>
    <row r="49" spans="2:33" x14ac:dyDescent="0.3"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spans="2:33" x14ac:dyDescent="0.3">
      <c r="B50" t="s">
        <v>127</v>
      </c>
      <c r="C50" s="45"/>
      <c r="D50" s="46">
        <f>('Calculation Debt'!D$44*(1-D$46)*D$47)/100</f>
        <v>0</v>
      </c>
      <c r="E50" s="46">
        <f t="shared" ref="E50:AB50" si="3">(E$44*(1-E$46)*E$47)/100</f>
        <v>0</v>
      </c>
      <c r="F50" s="46">
        <f t="shared" si="3"/>
        <v>0</v>
      </c>
      <c r="G50" s="46">
        <f t="shared" si="3"/>
        <v>0</v>
      </c>
      <c r="H50" s="46">
        <f t="shared" si="3"/>
        <v>0</v>
      </c>
      <c r="I50" s="46">
        <f t="shared" si="3"/>
        <v>0</v>
      </c>
      <c r="J50" s="46">
        <f t="shared" si="3"/>
        <v>0</v>
      </c>
      <c r="K50" s="46">
        <f t="shared" si="3"/>
        <v>0</v>
      </c>
      <c r="L50" s="46">
        <f t="shared" si="3"/>
        <v>0</v>
      </c>
      <c r="M50" s="46">
        <f t="shared" si="3"/>
        <v>0</v>
      </c>
      <c r="N50" s="46">
        <f t="shared" si="3"/>
        <v>0</v>
      </c>
      <c r="O50" s="46">
        <f t="shared" si="3"/>
        <v>0</v>
      </c>
      <c r="P50" s="46">
        <f t="shared" si="3"/>
        <v>0</v>
      </c>
      <c r="Q50" s="46">
        <f t="shared" si="3"/>
        <v>0</v>
      </c>
      <c r="R50" s="46">
        <f t="shared" si="3"/>
        <v>0</v>
      </c>
      <c r="S50" s="46">
        <f t="shared" si="3"/>
        <v>0</v>
      </c>
      <c r="T50" s="46">
        <f t="shared" si="3"/>
        <v>0</v>
      </c>
      <c r="U50" s="46">
        <f t="shared" si="3"/>
        <v>0</v>
      </c>
      <c r="V50" s="46">
        <f t="shared" si="3"/>
        <v>0</v>
      </c>
      <c r="W50" s="46">
        <f t="shared" si="3"/>
        <v>0</v>
      </c>
      <c r="X50" s="46">
        <f t="shared" si="3"/>
        <v>0</v>
      </c>
      <c r="Y50" s="46">
        <f t="shared" si="3"/>
        <v>0</v>
      </c>
      <c r="Z50" s="46">
        <f t="shared" si="3"/>
        <v>0</v>
      </c>
      <c r="AA50" s="46">
        <f t="shared" si="3"/>
        <v>0</v>
      </c>
      <c r="AB50" s="46">
        <f t="shared" si="3"/>
        <v>0</v>
      </c>
      <c r="AC50" s="46"/>
      <c r="AD50" s="46"/>
      <c r="AE50" s="46"/>
      <c r="AF50" s="46"/>
      <c r="AG50" s="46"/>
    </row>
    <row r="51" spans="2:33" x14ac:dyDescent="0.3">
      <c r="B51" t="s">
        <v>128</v>
      </c>
      <c r="C51" s="45"/>
      <c r="D51" s="47">
        <f>(+'Calculation Debt'!D$44*(D$46)*D$48)/100</f>
        <v>6377.1792911886369</v>
      </c>
      <c r="E51" s="47">
        <f t="shared" ref="E51:AB51" si="4">(+E$44*(E$46)*E$48)/100</f>
        <v>6503.925729601011</v>
      </c>
      <c r="F51" s="47">
        <f t="shared" si="4"/>
        <v>6633.1912534768298</v>
      </c>
      <c r="G51" s="47">
        <f t="shared" si="4"/>
        <v>6765.0259296396816</v>
      </c>
      <c r="H51" s="47">
        <f t="shared" si="4"/>
        <v>6899.4808199912695</v>
      </c>
      <c r="I51" s="47">
        <f t="shared" si="4"/>
        <v>7036.608001288595</v>
      </c>
      <c r="J51" s="47">
        <f t="shared" si="4"/>
        <v>7176.4605853142057</v>
      </c>
      <c r="K51" s="47">
        <f t="shared" si="4"/>
        <v>7319.0927394473265</v>
      </c>
      <c r="L51" s="47">
        <f t="shared" si="4"/>
        <v>7464.5597076438398</v>
      </c>
      <c r="M51" s="47">
        <f t="shared" si="4"/>
        <v>7612.9178318332615</v>
      </c>
      <c r="N51" s="47">
        <f t="shared" si="4"/>
        <v>7764.2245737409476</v>
      </c>
      <c r="O51" s="47">
        <f t="shared" si="4"/>
        <v>7918.5385371440489</v>
      </c>
      <c r="P51" s="47">
        <f t="shared" si="4"/>
        <v>8075.9194905697859</v>
      </c>
      <c r="Q51" s="47">
        <f t="shared" si="4"/>
        <v>8236.4283904448585</v>
      </c>
      <c r="R51" s="47">
        <f t="shared" si="4"/>
        <v>8400.1274047049501</v>
      </c>
      <c r="S51" s="47">
        <f t="shared" si="4"/>
        <v>8567.0799368734624</v>
      </c>
      <c r="T51" s="47">
        <f t="shared" si="4"/>
        <v>8737.3506506188205</v>
      </c>
      <c r="U51" s="47">
        <f t="shared" si="4"/>
        <v>8911.0054947998706</v>
      </c>
      <c r="V51" s="47">
        <f t="shared" si="4"/>
        <v>9088.1117290090187</v>
      </c>
      <c r="W51" s="47">
        <f t="shared" si="4"/>
        <v>9268.7379496230751</v>
      </c>
      <c r="X51" s="47">
        <f t="shared" si="4"/>
        <v>0</v>
      </c>
      <c r="Y51" s="47">
        <f t="shared" si="4"/>
        <v>0</v>
      </c>
      <c r="Z51" s="47">
        <f t="shared" si="4"/>
        <v>0</v>
      </c>
      <c r="AA51" s="47">
        <f t="shared" si="4"/>
        <v>0</v>
      </c>
      <c r="AB51" s="47">
        <f t="shared" si="4"/>
        <v>0</v>
      </c>
      <c r="AC51" s="47"/>
      <c r="AD51" s="47"/>
      <c r="AE51" s="47"/>
      <c r="AF51" s="47"/>
      <c r="AG51" s="47"/>
    </row>
    <row r="52" spans="2:33" s="3" customFormat="1" x14ac:dyDescent="0.3">
      <c r="B52" s="3" t="s">
        <v>65</v>
      </c>
      <c r="C52" s="48"/>
      <c r="D52" s="48">
        <f t="shared" ref="D52:AB52" si="5">SUM(D50:D51)</f>
        <v>6377.1792911886369</v>
      </c>
      <c r="E52" s="48">
        <f t="shared" si="5"/>
        <v>6503.925729601011</v>
      </c>
      <c r="F52" s="48">
        <f t="shared" si="5"/>
        <v>6633.1912534768298</v>
      </c>
      <c r="G52" s="48">
        <f t="shared" si="5"/>
        <v>6765.0259296396816</v>
      </c>
      <c r="H52" s="48">
        <f t="shared" si="5"/>
        <v>6899.4808199912695</v>
      </c>
      <c r="I52" s="48">
        <f t="shared" si="5"/>
        <v>7036.608001288595</v>
      </c>
      <c r="J52" s="48">
        <f t="shared" si="5"/>
        <v>7176.4605853142057</v>
      </c>
      <c r="K52" s="48">
        <f t="shared" si="5"/>
        <v>7319.0927394473265</v>
      </c>
      <c r="L52" s="48">
        <f t="shared" si="5"/>
        <v>7464.5597076438398</v>
      </c>
      <c r="M52" s="48">
        <f t="shared" si="5"/>
        <v>7612.9178318332615</v>
      </c>
      <c r="N52" s="48">
        <f t="shared" si="5"/>
        <v>7764.2245737409476</v>
      </c>
      <c r="O52" s="48">
        <f t="shared" si="5"/>
        <v>7918.5385371440489</v>
      </c>
      <c r="P52" s="48">
        <f t="shared" si="5"/>
        <v>8075.9194905697859</v>
      </c>
      <c r="Q52" s="48">
        <f t="shared" si="5"/>
        <v>8236.4283904448585</v>
      </c>
      <c r="R52" s="48">
        <f t="shared" si="5"/>
        <v>8400.1274047049501</v>
      </c>
      <c r="S52" s="48">
        <f t="shared" si="5"/>
        <v>8567.0799368734624</v>
      </c>
      <c r="T52" s="48">
        <f t="shared" si="5"/>
        <v>8737.3506506188205</v>
      </c>
      <c r="U52" s="48">
        <f t="shared" si="5"/>
        <v>8911.0054947998706</v>
      </c>
      <c r="V52" s="48">
        <f t="shared" si="5"/>
        <v>9088.1117290090187</v>
      </c>
      <c r="W52" s="48">
        <f t="shared" si="5"/>
        <v>9268.7379496230751</v>
      </c>
      <c r="X52" s="48">
        <f t="shared" si="5"/>
        <v>0</v>
      </c>
      <c r="Y52" s="48">
        <f t="shared" si="5"/>
        <v>0</v>
      </c>
      <c r="Z52" s="48">
        <f t="shared" si="5"/>
        <v>0</v>
      </c>
      <c r="AA52" s="48">
        <f t="shared" si="5"/>
        <v>0</v>
      </c>
      <c r="AB52" s="48">
        <f t="shared" si="5"/>
        <v>0</v>
      </c>
      <c r="AC52" s="48"/>
      <c r="AD52" s="48"/>
      <c r="AE52" s="48"/>
      <c r="AF52" s="48"/>
      <c r="AG52" s="48"/>
    </row>
    <row r="53" spans="2:33" x14ac:dyDescent="0.3">
      <c r="C53" s="49"/>
      <c r="D53" s="38"/>
    </row>
    <row r="54" spans="2:33" x14ac:dyDescent="0.3">
      <c r="C54" s="49"/>
      <c r="D54" s="38"/>
      <c r="E54" s="38"/>
      <c r="F54" s="38"/>
      <c r="G54" s="38"/>
      <c r="H54" s="38"/>
    </row>
    <row r="55" spans="2:33" x14ac:dyDescent="0.3">
      <c r="B55" t="s">
        <v>129</v>
      </c>
      <c r="C55" s="49"/>
      <c r="D55" s="42">
        <f>$H$20*(1+$C$16)^(D42-1)*(D42&lt;=$C$19)</f>
        <v>400</v>
      </c>
      <c r="E55" s="42">
        <f>$H$20*(1+$C$16)^(E42-1)*(E42&lt;=$C$19)</f>
        <v>409.99999999999994</v>
      </c>
      <c r="F55" s="42">
        <f>$H$20*(1+$C$16)^(F42-1)*(F42&lt;=$C$19)</f>
        <v>420.24999999999994</v>
      </c>
      <c r="G55" s="42">
        <f t="shared" ref="G55:AB55" si="6">$I$20*(1+$C$16)^(G42-1)*(G42&lt;=$C$19)</f>
        <v>107.68906249999999</v>
      </c>
      <c r="H55" s="42">
        <f t="shared" si="6"/>
        <v>110.38128906249997</v>
      </c>
      <c r="I55" s="42">
        <f t="shared" si="6"/>
        <v>113.14082128906247</v>
      </c>
      <c r="J55" s="42">
        <f t="shared" si="6"/>
        <v>115.96934182128902</v>
      </c>
      <c r="K55" s="42">
        <f t="shared" si="6"/>
        <v>118.86857536682125</v>
      </c>
      <c r="L55" s="42">
        <f t="shared" si="6"/>
        <v>121.84028975099177</v>
      </c>
      <c r="M55" s="42">
        <f t="shared" si="6"/>
        <v>124.88629699476654</v>
      </c>
      <c r="N55" s="42">
        <f t="shared" si="6"/>
        <v>128.00845441963571</v>
      </c>
      <c r="O55" s="42">
        <f t="shared" si="6"/>
        <v>131.20866578012661</v>
      </c>
      <c r="P55" s="42">
        <f t="shared" si="6"/>
        <v>134.48888242462976</v>
      </c>
      <c r="Q55" s="42">
        <f t="shared" si="6"/>
        <v>137.85110448524549</v>
      </c>
      <c r="R55" s="42">
        <f t="shared" si="6"/>
        <v>141.29738209737661</v>
      </c>
      <c r="S55" s="42">
        <f t="shared" si="6"/>
        <v>144.82981664981105</v>
      </c>
      <c r="T55" s="42">
        <f t="shared" si="6"/>
        <v>148.45056206605631</v>
      </c>
      <c r="U55" s="42">
        <f t="shared" si="6"/>
        <v>152.1618261177077</v>
      </c>
      <c r="V55" s="42">
        <f t="shared" si="6"/>
        <v>155.96587177065041</v>
      </c>
      <c r="W55" s="42">
        <f t="shared" si="6"/>
        <v>159.86501856491665</v>
      </c>
      <c r="X55" s="42">
        <f t="shared" si="6"/>
        <v>0</v>
      </c>
      <c r="Y55" s="42">
        <f t="shared" si="6"/>
        <v>0</v>
      </c>
      <c r="Z55" s="42">
        <f t="shared" si="6"/>
        <v>0</v>
      </c>
      <c r="AA55" s="42">
        <f t="shared" si="6"/>
        <v>0</v>
      </c>
      <c r="AB55" s="42">
        <f t="shared" si="6"/>
        <v>0</v>
      </c>
      <c r="AC55" s="42"/>
      <c r="AD55" s="42"/>
      <c r="AE55" s="42"/>
      <c r="AF55" s="42"/>
      <c r="AG55" s="42"/>
    </row>
    <row r="56" spans="2:33" x14ac:dyDescent="0.3">
      <c r="B56" t="s">
        <v>130</v>
      </c>
      <c r="C56" s="38"/>
      <c r="D56" s="42">
        <f t="shared" ref="D56:AB56" si="7">$C$7*$H$21*(1+$C$16)^(D42-1)*(D42&lt;=$C$19)</f>
        <v>0</v>
      </c>
      <c r="E56" s="42">
        <f t="shared" si="7"/>
        <v>0</v>
      </c>
      <c r="F56" s="42">
        <f t="shared" si="7"/>
        <v>0</v>
      </c>
      <c r="G56" s="42">
        <f t="shared" si="7"/>
        <v>0</v>
      </c>
      <c r="H56" s="42">
        <f t="shared" si="7"/>
        <v>0</v>
      </c>
      <c r="I56" s="42">
        <f t="shared" si="7"/>
        <v>0</v>
      </c>
      <c r="J56" s="42">
        <f t="shared" si="7"/>
        <v>0</v>
      </c>
      <c r="K56" s="42">
        <f t="shared" si="7"/>
        <v>0</v>
      </c>
      <c r="L56" s="42">
        <f t="shared" si="7"/>
        <v>0</v>
      </c>
      <c r="M56" s="42">
        <f t="shared" si="7"/>
        <v>0</v>
      </c>
      <c r="N56" s="42">
        <f t="shared" si="7"/>
        <v>0</v>
      </c>
      <c r="O56" s="42">
        <f t="shared" si="7"/>
        <v>0</v>
      </c>
      <c r="P56" s="42">
        <f t="shared" si="7"/>
        <v>0</v>
      </c>
      <c r="Q56" s="42">
        <f t="shared" si="7"/>
        <v>0</v>
      </c>
      <c r="R56" s="42">
        <f t="shared" si="7"/>
        <v>0</v>
      </c>
      <c r="S56" s="42">
        <f t="shared" si="7"/>
        <v>0</v>
      </c>
      <c r="T56" s="42">
        <f t="shared" si="7"/>
        <v>0</v>
      </c>
      <c r="U56" s="42">
        <f t="shared" si="7"/>
        <v>0</v>
      </c>
      <c r="V56" s="42">
        <f t="shared" si="7"/>
        <v>0</v>
      </c>
      <c r="W56" s="42">
        <f t="shared" si="7"/>
        <v>0</v>
      </c>
      <c r="X56" s="42">
        <f t="shared" si="7"/>
        <v>0</v>
      </c>
      <c r="Y56" s="42">
        <f t="shared" si="7"/>
        <v>0</v>
      </c>
      <c r="Z56" s="42">
        <f t="shared" si="7"/>
        <v>0</v>
      </c>
      <c r="AA56" s="42">
        <f t="shared" si="7"/>
        <v>0</v>
      </c>
      <c r="AB56" s="42">
        <f t="shared" si="7"/>
        <v>0</v>
      </c>
      <c r="AC56" s="42"/>
      <c r="AD56" s="42"/>
      <c r="AE56" s="42"/>
      <c r="AF56" s="42"/>
      <c r="AG56" s="42"/>
    </row>
    <row r="57" spans="2:33" x14ac:dyDescent="0.3">
      <c r="B57" t="s">
        <v>131</v>
      </c>
      <c r="C57" s="38"/>
      <c r="D57" s="42">
        <f>Summary!M11+Summary!W16+Summary!AB16+Summary!AG16+Summary!AL16+Summary!AQ16+Summary!AV16+Summary!BA16+Summary!BF16</f>
        <v>0</v>
      </c>
      <c r="E57" s="42">
        <f t="shared" ref="E57:W57" si="8">D57*(1+$C$16)*(E$42&lt;=$C$19)</f>
        <v>0</v>
      </c>
      <c r="F57" s="42">
        <f t="shared" si="8"/>
        <v>0</v>
      </c>
      <c r="G57" s="42">
        <f t="shared" si="8"/>
        <v>0</v>
      </c>
      <c r="H57" s="42">
        <f t="shared" si="8"/>
        <v>0</v>
      </c>
      <c r="I57" s="42">
        <f t="shared" si="8"/>
        <v>0</v>
      </c>
      <c r="J57" s="42">
        <f t="shared" si="8"/>
        <v>0</v>
      </c>
      <c r="K57" s="42">
        <f t="shared" si="8"/>
        <v>0</v>
      </c>
      <c r="L57" s="42">
        <f t="shared" si="8"/>
        <v>0</v>
      </c>
      <c r="M57" s="42">
        <f t="shared" si="8"/>
        <v>0</v>
      </c>
      <c r="N57" s="42">
        <f t="shared" si="8"/>
        <v>0</v>
      </c>
      <c r="O57" s="42">
        <f t="shared" si="8"/>
        <v>0</v>
      </c>
      <c r="P57" s="42">
        <f t="shared" si="8"/>
        <v>0</v>
      </c>
      <c r="Q57" s="42">
        <f t="shared" si="8"/>
        <v>0</v>
      </c>
      <c r="R57" s="42">
        <f t="shared" si="8"/>
        <v>0</v>
      </c>
      <c r="S57" s="42">
        <f t="shared" si="8"/>
        <v>0</v>
      </c>
      <c r="T57" s="42">
        <f t="shared" si="8"/>
        <v>0</v>
      </c>
      <c r="U57" s="42">
        <f t="shared" si="8"/>
        <v>0</v>
      </c>
      <c r="V57" s="42">
        <f t="shared" si="8"/>
        <v>0</v>
      </c>
      <c r="W57" s="42">
        <f t="shared" si="8"/>
        <v>0</v>
      </c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x14ac:dyDescent="0.3">
      <c r="B58" t="s">
        <v>132</v>
      </c>
      <c r="C58" s="42"/>
      <c r="D58" s="42">
        <f t="shared" ref="D58:AB58" si="9">$C$7*$H$22*(1+$C$16)^(D42-1)*(D42&lt;=$C$19)+($D$7*$H$22*(1+$C$16)^(D42-1)*(D42&lt;=$C$19))</f>
        <v>480</v>
      </c>
      <c r="E58" s="42">
        <f t="shared" si="9"/>
        <v>491.99999999999994</v>
      </c>
      <c r="F58" s="42">
        <f t="shared" si="9"/>
        <v>504.29999999999995</v>
      </c>
      <c r="G58" s="42">
        <f t="shared" si="9"/>
        <v>516.90749999999991</v>
      </c>
      <c r="H58" s="42">
        <f t="shared" si="9"/>
        <v>529.83018749999985</v>
      </c>
      <c r="I58" s="42">
        <f t="shared" si="9"/>
        <v>543.07594218749978</v>
      </c>
      <c r="J58" s="42">
        <f t="shared" si="9"/>
        <v>556.65284074218732</v>
      </c>
      <c r="K58" s="42">
        <f t="shared" si="9"/>
        <v>570.56916176074196</v>
      </c>
      <c r="L58" s="42">
        <f t="shared" si="9"/>
        <v>584.83339080476048</v>
      </c>
      <c r="M58" s="42">
        <f t="shared" si="9"/>
        <v>599.45422557487939</v>
      </c>
      <c r="N58" s="42">
        <f t="shared" si="9"/>
        <v>614.44058121425144</v>
      </c>
      <c r="O58" s="42">
        <f t="shared" si="9"/>
        <v>629.80159574460765</v>
      </c>
      <c r="P58" s="42">
        <f t="shared" si="9"/>
        <v>645.54663563822282</v>
      </c>
      <c r="Q58" s="42">
        <f t="shared" si="9"/>
        <v>661.68530152917833</v>
      </c>
      <c r="R58" s="42">
        <f t="shared" si="9"/>
        <v>678.22743406740778</v>
      </c>
      <c r="S58" s="42">
        <f t="shared" si="9"/>
        <v>695.18311991909309</v>
      </c>
      <c r="T58" s="42">
        <f t="shared" si="9"/>
        <v>712.5626979170703</v>
      </c>
      <c r="U58" s="42">
        <f t="shared" si="9"/>
        <v>730.37676536499691</v>
      </c>
      <c r="V58" s="42">
        <f t="shared" si="9"/>
        <v>748.6361844991219</v>
      </c>
      <c r="W58" s="42">
        <f t="shared" si="9"/>
        <v>767.35208911159998</v>
      </c>
      <c r="X58" s="42">
        <f t="shared" si="9"/>
        <v>0</v>
      </c>
      <c r="Y58" s="42">
        <f t="shared" si="9"/>
        <v>0</v>
      </c>
      <c r="Z58" s="42">
        <f t="shared" si="9"/>
        <v>0</v>
      </c>
      <c r="AA58" s="42">
        <f t="shared" si="9"/>
        <v>0</v>
      </c>
      <c r="AB58" s="42">
        <f t="shared" si="9"/>
        <v>0</v>
      </c>
      <c r="AC58" s="42"/>
      <c r="AD58" s="42"/>
      <c r="AE58" s="42"/>
      <c r="AF58" s="42"/>
      <c r="AG58" s="42"/>
    </row>
    <row r="59" spans="2:33" x14ac:dyDescent="0.3">
      <c r="B59" t="s">
        <v>133</v>
      </c>
      <c r="C59" s="42"/>
      <c r="D59" s="42">
        <f>((($C$7+$D$7)*($H$24))+($H$25*'Calculation Debt'!D44)+$H$26)*((1+$C$16)^(D42-1))*(D42&lt;=$C$19)</f>
        <v>58.320000000000007</v>
      </c>
      <c r="E59" s="42">
        <f t="shared" ref="E59:AB59" si="10">((($C$7+$D$7)*($H$24))+($H$25*E44)+$H$26)*((1+$C$16)^(E42-1))*(E42&lt;=$C$19)</f>
        <v>59.778000000000006</v>
      </c>
      <c r="F59" s="42">
        <f t="shared" si="10"/>
        <v>61.272450000000006</v>
      </c>
      <c r="G59" s="42">
        <f t="shared" si="10"/>
        <v>62.804261250000003</v>
      </c>
      <c r="H59" s="42">
        <f t="shared" si="10"/>
        <v>64.374367781250001</v>
      </c>
      <c r="I59" s="42">
        <f t="shared" si="10"/>
        <v>65.983726975781238</v>
      </c>
      <c r="J59" s="42">
        <f t="shared" si="10"/>
        <v>67.633320150175763</v>
      </c>
      <c r="K59" s="42">
        <f t="shared" si="10"/>
        <v>69.324153153930155</v>
      </c>
      <c r="L59" s="42">
        <f t="shared" si="10"/>
        <v>71.057256982778412</v>
      </c>
      <c r="M59" s="42">
        <f t="shared" si="10"/>
        <v>72.833688407347864</v>
      </c>
      <c r="N59" s="42">
        <f t="shared" si="10"/>
        <v>74.654530617531549</v>
      </c>
      <c r="O59" s="42">
        <f t="shared" si="10"/>
        <v>76.520893882969844</v>
      </c>
      <c r="P59" s="42">
        <f t="shared" si="10"/>
        <v>78.433916230044076</v>
      </c>
      <c r="Q59" s="42">
        <f t="shared" si="10"/>
        <v>80.394764135795185</v>
      </c>
      <c r="R59" s="42">
        <f t="shared" si="10"/>
        <v>82.404633239190048</v>
      </c>
      <c r="S59" s="42">
        <f t="shared" si="10"/>
        <v>84.464749070169816</v>
      </c>
      <c r="T59" s="42">
        <f t="shared" si="10"/>
        <v>86.576367796924046</v>
      </c>
      <c r="U59" s="42">
        <f t="shared" si="10"/>
        <v>88.740776991847142</v>
      </c>
      <c r="V59" s="42">
        <f t="shared" si="10"/>
        <v>90.959296416643326</v>
      </c>
      <c r="W59" s="42">
        <f t="shared" si="10"/>
        <v>93.233278827059408</v>
      </c>
      <c r="X59" s="42">
        <f t="shared" si="10"/>
        <v>0</v>
      </c>
      <c r="Y59" s="42">
        <f t="shared" si="10"/>
        <v>0</v>
      </c>
      <c r="Z59" s="42">
        <f t="shared" si="10"/>
        <v>0</v>
      </c>
      <c r="AA59" s="42">
        <f t="shared" si="10"/>
        <v>0</v>
      </c>
      <c r="AB59" s="42">
        <f t="shared" si="10"/>
        <v>0</v>
      </c>
      <c r="AC59" s="42"/>
      <c r="AD59" s="42"/>
      <c r="AE59" s="42"/>
      <c r="AF59" s="42"/>
      <c r="AG59" s="42"/>
    </row>
    <row r="60" spans="2:33" x14ac:dyDescent="0.3">
      <c r="B60" t="s">
        <v>134</v>
      </c>
      <c r="C60" s="42"/>
      <c r="D60" s="42">
        <f>Summary!O12</f>
        <v>480</v>
      </c>
      <c r="E60" s="42">
        <f>D60*(E$42&lt;=Summary!$O$13)</f>
        <v>480</v>
      </c>
      <c r="F60" s="42">
        <f>E60*(F$42&lt;=Summary!$O$13)</f>
        <v>480</v>
      </c>
      <c r="G60" s="42">
        <f>F60*(G$42&lt;=Summary!$O$13)</f>
        <v>480</v>
      </c>
      <c r="H60" s="42">
        <f>G60*(H$42&lt;=Summary!$O$13)</f>
        <v>480</v>
      </c>
      <c r="I60" s="42">
        <f>H60*(I$42&lt;=Summary!$O$13)</f>
        <v>480</v>
      </c>
      <c r="J60" s="42">
        <f>I60*(J$42&lt;=Summary!$O$13)</f>
        <v>480</v>
      </c>
      <c r="K60" s="42">
        <f>J60*(K$42&lt;=Summary!$O$13)</f>
        <v>480</v>
      </c>
      <c r="L60" s="42">
        <f>K60*(L$42&lt;=Summary!$O$13)</f>
        <v>480</v>
      </c>
      <c r="M60" s="42">
        <f>L60*(M$42&lt;=Summary!$O$13)</f>
        <v>480</v>
      </c>
      <c r="N60" s="42">
        <f>M60*(N$42&lt;=Summary!$O$13)</f>
        <v>0</v>
      </c>
      <c r="O60" s="42">
        <f>N60*(O$42&lt;=Summary!$O$13)</f>
        <v>0</v>
      </c>
      <c r="P60" s="42">
        <f>O60*(P$42&lt;=Summary!$O$13)</f>
        <v>0</v>
      </c>
      <c r="Q60" s="42">
        <f>P60*(Q$42&lt;=Summary!$O$13)</f>
        <v>0</v>
      </c>
      <c r="R60" s="42">
        <f>Q60*(R$42&lt;=Summary!$O$13)</f>
        <v>0</v>
      </c>
      <c r="S60" s="42">
        <f>R60*(S$42&lt;=Summary!$O$13)</f>
        <v>0</v>
      </c>
      <c r="T60" s="42">
        <f>S60*(T$42&lt;=Summary!$O$13)</f>
        <v>0</v>
      </c>
      <c r="U60" s="42">
        <f>T60*(U$42&lt;=Summary!$O$13)</f>
        <v>0</v>
      </c>
      <c r="V60" s="42">
        <f>U60*(V$42&lt;=Summary!$O$13)</f>
        <v>0</v>
      </c>
      <c r="W60" s="42">
        <f>V60*(W$42&lt;=Summary!$O$13)</f>
        <v>0</v>
      </c>
      <c r="X60" s="42">
        <f>W60*(X$42&lt;=Summary!$O$13)</f>
        <v>0</v>
      </c>
      <c r="Y60" s="42">
        <f>X60*(Y$42&lt;=Summary!$O$13)</f>
        <v>0</v>
      </c>
      <c r="Z60" s="42">
        <f>Y60*(Z$42&lt;=Summary!$O$13)</f>
        <v>0</v>
      </c>
      <c r="AA60" s="42">
        <f>Z60*(AA$42&lt;=Summary!$O$13)</f>
        <v>0</v>
      </c>
      <c r="AB60" s="42">
        <f>AA60*(AB$42&lt;=Summary!$O$13)</f>
        <v>0</v>
      </c>
      <c r="AC60" s="42"/>
      <c r="AD60" s="42"/>
      <c r="AE60" s="42"/>
      <c r="AF60" s="42"/>
      <c r="AG60" s="42"/>
    </row>
    <row r="61" spans="2:33" x14ac:dyDescent="0.3">
      <c r="B61" t="s">
        <v>135</v>
      </c>
      <c r="C61" s="42"/>
      <c r="D61" s="42">
        <f t="shared" ref="D61:AB61" si="11">(($C$7+$D$7)*$H$23)*((1+$C$16)^(D42-1))*(D42&lt;=$C$19)</f>
        <v>180</v>
      </c>
      <c r="E61" s="42">
        <f t="shared" si="11"/>
        <v>184.49999999999997</v>
      </c>
      <c r="F61" s="42">
        <f t="shared" si="11"/>
        <v>189.11249999999998</v>
      </c>
      <c r="G61" s="42">
        <f t="shared" si="11"/>
        <v>193.84031249999998</v>
      </c>
      <c r="H61" s="42">
        <f t="shared" si="11"/>
        <v>198.68632031249996</v>
      </c>
      <c r="I61" s="42">
        <f t="shared" si="11"/>
        <v>203.65347832031244</v>
      </c>
      <c r="J61" s="42">
        <f t="shared" si="11"/>
        <v>208.74481527832023</v>
      </c>
      <c r="K61" s="42">
        <f t="shared" si="11"/>
        <v>213.96343566027824</v>
      </c>
      <c r="L61" s="42">
        <f t="shared" si="11"/>
        <v>219.31252155178518</v>
      </c>
      <c r="M61" s="42">
        <f t="shared" si="11"/>
        <v>224.79533459057978</v>
      </c>
      <c r="N61" s="42">
        <f t="shared" si="11"/>
        <v>230.41521795534427</v>
      </c>
      <c r="O61" s="42">
        <f t="shared" si="11"/>
        <v>236.17559840422788</v>
      </c>
      <c r="P61" s="42">
        <f t="shared" si="11"/>
        <v>242.07998836433356</v>
      </c>
      <c r="Q61" s="42">
        <f t="shared" si="11"/>
        <v>248.13198807344187</v>
      </c>
      <c r="R61" s="42">
        <f t="shared" si="11"/>
        <v>254.33528777527789</v>
      </c>
      <c r="S61" s="42">
        <f t="shared" si="11"/>
        <v>260.69366996965988</v>
      </c>
      <c r="T61" s="42">
        <f t="shared" si="11"/>
        <v>267.21101171890137</v>
      </c>
      <c r="U61" s="42">
        <f t="shared" si="11"/>
        <v>273.89128701187389</v>
      </c>
      <c r="V61" s="42">
        <f t="shared" si="11"/>
        <v>280.7385691871707</v>
      </c>
      <c r="W61" s="42">
        <f t="shared" si="11"/>
        <v>287.75703341684999</v>
      </c>
      <c r="X61" s="42">
        <f t="shared" si="11"/>
        <v>0</v>
      </c>
      <c r="Y61" s="42">
        <f t="shared" si="11"/>
        <v>0</v>
      </c>
      <c r="Z61" s="42">
        <f t="shared" si="11"/>
        <v>0</v>
      </c>
      <c r="AA61" s="42">
        <f t="shared" si="11"/>
        <v>0</v>
      </c>
      <c r="AB61" s="42">
        <f t="shared" si="11"/>
        <v>0</v>
      </c>
      <c r="AC61" s="42"/>
      <c r="AD61" s="42"/>
      <c r="AE61" s="42"/>
      <c r="AF61" s="42"/>
      <c r="AG61" s="42"/>
    </row>
    <row r="62" spans="2:33" x14ac:dyDescent="0.3">
      <c r="B62" t="s">
        <v>32</v>
      </c>
      <c r="C62" s="42"/>
      <c r="D62" s="42">
        <f>Summary!Q16*((1+Summary!$R$16)^(D42-1))*(D42&lt;=$C$19)</f>
        <v>0</v>
      </c>
      <c r="E62" s="42">
        <f>D62*(1+Summary!$R$16)*(E$42&lt;=$C$19)</f>
        <v>0</v>
      </c>
      <c r="F62" s="42">
        <f>E62*(1+Summary!$R$16)*(F$42&lt;=$C$19)</f>
        <v>0</v>
      </c>
      <c r="G62" s="42">
        <f>F62*(1+Summary!$R$16)*(G$42&lt;=$C$19)</f>
        <v>0</v>
      </c>
      <c r="H62" s="42">
        <f>G62*(1+Summary!$R$16)*(H$42&lt;=$C$19)</f>
        <v>0</v>
      </c>
      <c r="I62" s="42">
        <f>H62*(1+Summary!$R$16)*(I$42&lt;=$C$19)</f>
        <v>0</v>
      </c>
      <c r="J62" s="42">
        <f>I62*(1+Summary!$R$16)*(J$42&lt;=$C$19)</f>
        <v>0</v>
      </c>
      <c r="K62" s="42">
        <f>J62*(1+Summary!$R$16)*(K$42&lt;=$C$19)</f>
        <v>0</v>
      </c>
      <c r="L62" s="42">
        <f>K62*(1+Summary!$R$16)*(L$42&lt;=$C$19)</f>
        <v>0</v>
      </c>
      <c r="M62" s="42">
        <f>L62*(1+Summary!$R$16)*(M$42&lt;=$C$19)</f>
        <v>0</v>
      </c>
      <c r="N62" s="42">
        <f>M62*(1+Summary!$R$16)*(N$42&lt;=$C$19)</f>
        <v>0</v>
      </c>
      <c r="O62" s="42">
        <f>N62*(1+Summary!$R$16)*(O$42&lt;=$C$19)</f>
        <v>0</v>
      </c>
      <c r="P62" s="42">
        <f>O62*(1+Summary!$R$16)*(P$42&lt;=$C$19)</f>
        <v>0</v>
      </c>
      <c r="Q62" s="42">
        <f>P62*(1+Summary!$R$16)*(Q$42&lt;=$C$19)</f>
        <v>0</v>
      </c>
      <c r="R62" s="42">
        <f>Q62*(1+Summary!$R$16)*(R$42&lt;=$C$19)</f>
        <v>0</v>
      </c>
      <c r="S62" s="42">
        <f>R62*(1+Summary!$R$16)*(S$42&lt;=$C$19)</f>
        <v>0</v>
      </c>
      <c r="T62" s="42">
        <f>S62*(1+Summary!$R$16)*(T$42&lt;=$C$19)</f>
        <v>0</v>
      </c>
      <c r="U62" s="42">
        <f>T62*(1+Summary!$R$16)*(U$42&lt;=$C$19)</f>
        <v>0</v>
      </c>
      <c r="V62" s="42">
        <f>U62*(1+Summary!$R$16)*(V$42&lt;=$C$19)</f>
        <v>0</v>
      </c>
      <c r="W62" s="42">
        <f>V62*(1+Summary!$R$16)*(W$42&lt;=$C$19)</f>
        <v>0</v>
      </c>
      <c r="X62" s="42">
        <f>W62*(1+Summary!$R$16)*(X$42&lt;=$C$19)</f>
        <v>0</v>
      </c>
      <c r="Y62" s="42">
        <f>X62*(1+Summary!$R$16)*(Y$42&lt;=$C$19)</f>
        <v>0</v>
      </c>
      <c r="Z62" s="42">
        <f>Y62*(1+Summary!$R$16)*(Z$42&lt;=$C$19)</f>
        <v>0</v>
      </c>
      <c r="AA62" s="42">
        <f>Z62*(1+Summary!$R$16)*(AA$42&lt;=$C$19)</f>
        <v>0</v>
      </c>
      <c r="AB62" s="42">
        <f>AA62*(1+Summary!$R$16)*(AB$42&lt;=$C$19)</f>
        <v>0</v>
      </c>
      <c r="AC62" s="42"/>
      <c r="AD62" s="42"/>
      <c r="AE62" s="42"/>
      <c r="AF62" s="42"/>
      <c r="AG62" s="42"/>
    </row>
    <row r="63" spans="2:33" x14ac:dyDescent="0.3">
      <c r="B63" t="s">
        <v>136</v>
      </c>
      <c r="C63" s="42"/>
      <c r="D63" s="42">
        <f>Summary!Q17*((1+Summary!$R$17)^(D42-1))*(D42&lt;=$C$19)</f>
        <v>0</v>
      </c>
      <c r="E63" s="42">
        <f>D63*(1+Summary!$R$17)*(E$42&lt;=$C$19)</f>
        <v>0</v>
      </c>
      <c r="F63" s="42">
        <f>E63*(1+Summary!$R$17)*(F$42&lt;=$C$19)</f>
        <v>0</v>
      </c>
      <c r="G63" s="42">
        <f>F63*(1+Summary!$R$17)*(G$42&lt;=$C$19)</f>
        <v>0</v>
      </c>
      <c r="H63" s="42">
        <f>G63*(1+Summary!$R$17)*(H$42&lt;=$C$19)</f>
        <v>0</v>
      </c>
      <c r="I63" s="42">
        <f>H63*(1+Summary!$R$17)*(I$42&lt;=$C$19)</f>
        <v>0</v>
      </c>
      <c r="J63" s="42">
        <f>I63*(1+Summary!$R$17)*(J$42&lt;=$C$19)</f>
        <v>0</v>
      </c>
      <c r="K63" s="42">
        <f>J63*(1+Summary!$R$17)*(K$42&lt;=$C$19)</f>
        <v>0</v>
      </c>
      <c r="L63" s="42">
        <f>K63*(1+Summary!$R$17)*(L$42&lt;=$C$19)</f>
        <v>0</v>
      </c>
      <c r="M63" s="42">
        <f>L63*(1+Summary!$R$17)*(M$42&lt;=$C$19)</f>
        <v>0</v>
      </c>
      <c r="N63" s="42">
        <f>M63*(1+Summary!$R$17)*(N$42&lt;=$C$19)</f>
        <v>0</v>
      </c>
      <c r="O63" s="42">
        <f>N63*(1+Summary!$R$17)*(O$42&lt;=$C$19)</f>
        <v>0</v>
      </c>
      <c r="P63" s="42">
        <f>O63*(1+Summary!$R$17)*(P$42&lt;=$C$19)</f>
        <v>0</v>
      </c>
      <c r="Q63" s="42">
        <f>P63*(1+Summary!$R$17)*(Q$42&lt;=$C$19)</f>
        <v>0</v>
      </c>
      <c r="R63" s="42">
        <f>Q63*(1+Summary!$R$17)*(R$42&lt;=$C$19)</f>
        <v>0</v>
      </c>
      <c r="S63" s="42">
        <f>R63*(1+Summary!$R$17)*(S$42&lt;=$C$19)</f>
        <v>0</v>
      </c>
      <c r="T63" s="42">
        <f>S63*(1+Summary!$R$17)*(T$42&lt;=$C$19)</f>
        <v>0</v>
      </c>
      <c r="U63" s="42">
        <f>T63*(1+Summary!$R$17)*(U$42&lt;=$C$19)</f>
        <v>0</v>
      </c>
      <c r="V63" s="42">
        <f>U63*(1+Summary!$R$17)*(V$42&lt;=$C$19)</f>
        <v>0</v>
      </c>
      <c r="W63" s="42">
        <f>V63*(1+Summary!$R$17)*(W$42&lt;=$C$19)</f>
        <v>0</v>
      </c>
      <c r="X63" s="42">
        <f>W63*(1+Summary!$R$17)*(X$42&lt;=$C$19)</f>
        <v>0</v>
      </c>
      <c r="Y63" s="42">
        <f>X63*(1+Summary!$R$17)*(Y$42&lt;=$C$19)</f>
        <v>0</v>
      </c>
      <c r="Z63" s="42">
        <f>Y63*(1+Summary!$R$17)*(Z$42&lt;=$C$19)</f>
        <v>0</v>
      </c>
      <c r="AA63" s="42">
        <f>Z63*(1+Summary!$R$17)*(AA$42&lt;=$C$19)</f>
        <v>0</v>
      </c>
      <c r="AB63" s="42">
        <f>AA63*(1+Summary!$R$17)*(AB$42&lt;=$C$19)</f>
        <v>0</v>
      </c>
      <c r="AC63" s="42"/>
      <c r="AD63" s="42"/>
      <c r="AE63" s="42"/>
      <c r="AF63" s="42"/>
      <c r="AG63" s="42"/>
    </row>
    <row r="64" spans="2:33" x14ac:dyDescent="0.3">
      <c r="B64" t="s">
        <v>37</v>
      </c>
      <c r="C64" s="42"/>
      <c r="D64" s="42">
        <f>Summary!Q18*((1+Summary!$R$18)^(D42-1))*(D42&lt;=$C$19)</f>
        <v>0</v>
      </c>
      <c r="E64" s="42">
        <f>D64*(1+Summary!$R$18)*(E$42&lt;=$C$19)</f>
        <v>0</v>
      </c>
      <c r="F64" s="42">
        <f>E64*(1+Summary!$R$18)*(F$42&lt;=$C$19)</f>
        <v>0</v>
      </c>
      <c r="G64" s="42">
        <f>F64*(1+Summary!$R$18)*(G$42&lt;=$C$19)</f>
        <v>0</v>
      </c>
      <c r="H64" s="42">
        <f>G64*(1+Summary!$R$18)*(H$42&lt;=$C$19)</f>
        <v>0</v>
      </c>
      <c r="I64" s="42">
        <f>H64*(1+Summary!$R$18)*(I$42&lt;=$C$19)</f>
        <v>0</v>
      </c>
      <c r="J64" s="42">
        <f>I64*(1+Summary!$R$18)*(J$42&lt;=$C$19)</f>
        <v>0</v>
      </c>
      <c r="K64" s="42">
        <f>J64*(1+Summary!$R$18)*(K$42&lt;=$C$19)</f>
        <v>0</v>
      </c>
      <c r="L64" s="42">
        <f>K64*(1+Summary!$R$18)*(L$42&lt;=$C$19)</f>
        <v>0</v>
      </c>
      <c r="M64" s="42">
        <f>L64*(1+Summary!$R$18)*(M$42&lt;=$C$19)</f>
        <v>0</v>
      </c>
      <c r="N64" s="42">
        <f>M64*(1+Summary!$R$18)*(N$42&lt;=$C$19)</f>
        <v>0</v>
      </c>
      <c r="O64" s="42">
        <f>N64*(1+Summary!$R$18)*(O$42&lt;=$C$19)</f>
        <v>0</v>
      </c>
      <c r="P64" s="42">
        <f>O64*(1+Summary!$R$18)*(P$42&lt;=$C$19)</f>
        <v>0</v>
      </c>
      <c r="Q64" s="42">
        <f>P64*(1+Summary!$R$18)*(Q$42&lt;=$C$19)</f>
        <v>0</v>
      </c>
      <c r="R64" s="42">
        <f>Q64*(1+Summary!$R$18)*(R$42&lt;=$C$19)</f>
        <v>0</v>
      </c>
      <c r="S64" s="42">
        <f>R64*(1+Summary!$R$18)*(S$42&lt;=$C$19)</f>
        <v>0</v>
      </c>
      <c r="T64" s="42">
        <f>S64*(1+Summary!$R$18)*(T$42&lt;=$C$19)</f>
        <v>0</v>
      </c>
      <c r="U64" s="42">
        <f>T64*(1+Summary!$R$18)*(U$42&lt;=$C$19)</f>
        <v>0</v>
      </c>
      <c r="V64" s="42">
        <f>U64*(1+Summary!$R$18)*(V$42&lt;=$C$19)</f>
        <v>0</v>
      </c>
      <c r="W64" s="42">
        <f>V64*(1+Summary!$R$18)*(W$42&lt;=$C$19)</f>
        <v>0</v>
      </c>
      <c r="X64" s="42">
        <f>W64*(1+Summary!$R$18)*(X$42&lt;=$C$19)</f>
        <v>0</v>
      </c>
      <c r="Y64" s="42">
        <f>X64*(1+Summary!$R$18)*(Y$42&lt;=$C$19)</f>
        <v>0</v>
      </c>
      <c r="Z64" s="42">
        <f>Y64*(1+Summary!$R$18)*(Z$42&lt;=$C$19)</f>
        <v>0</v>
      </c>
      <c r="AA64" s="42">
        <f>Z64*(1+Summary!$R$18)*(AA$42&lt;=$C$19)</f>
        <v>0</v>
      </c>
      <c r="AB64" s="42">
        <f>AA64*(1+Summary!$R$18)*(AB$42&lt;=$C$19)</f>
        <v>0</v>
      </c>
      <c r="AC64" s="42"/>
      <c r="AD64" s="42"/>
      <c r="AE64" s="42"/>
      <c r="AF64" s="42"/>
      <c r="AG64" s="42"/>
    </row>
    <row r="65" spans="1:34" x14ac:dyDescent="0.3">
      <c r="B65" t="s">
        <v>137</v>
      </c>
      <c r="C65" s="42"/>
      <c r="D65" s="42">
        <f>Summary!$Q$27*((1+Summary!$R$18)^(D42-1))*(D42&lt;=$C$19)</f>
        <v>0</v>
      </c>
      <c r="E65" s="42">
        <f>D65*(1+Summary!$R$27)*((1+Summary!$R$18)^(E42-1))*(E42&lt;=$C$19)</f>
        <v>0</v>
      </c>
      <c r="F65" s="42">
        <f>E65*(1+Summary!$R$27)*((1+Summary!$R$18)^(F42-1))*(F42&lt;=$C$19)</f>
        <v>0</v>
      </c>
      <c r="G65" s="42">
        <f>F65*(1+Summary!$R$27)*((1+Summary!$R$18)^(G42-1))*(G42&lt;=$C$19)</f>
        <v>0</v>
      </c>
      <c r="H65" s="42">
        <f>G65*(1+Summary!$R$27)*((1+Summary!$R$18)^(H42-1))*(H42&lt;=$C$19)</f>
        <v>0</v>
      </c>
      <c r="I65" s="42">
        <f>H65*(1+Summary!$R$27)*((1+Summary!$R$18)^(I42-1))*(I42&lt;=$C$19)</f>
        <v>0</v>
      </c>
      <c r="J65" s="42">
        <f>I65*(1+Summary!$R$27)*((1+Summary!$R$18)^(J42-1))*(J42&lt;=$C$19)</f>
        <v>0</v>
      </c>
      <c r="K65" s="42">
        <f>J65*(1+Summary!$R$27)*((1+Summary!$R$18)^(K42-1))*(K42&lt;=$C$19)</f>
        <v>0</v>
      </c>
      <c r="L65" s="42">
        <f>K65*(1+Summary!$R$27)*((1+Summary!$R$18)^(L42-1))*(L42&lt;=$C$19)</f>
        <v>0</v>
      </c>
      <c r="M65" s="42">
        <f>L65*(1+Summary!$R$27)*((1+Summary!$R$18)^(M42-1))*(M42&lt;=$C$19)</f>
        <v>0</v>
      </c>
      <c r="N65" s="42">
        <f>M65*(1+Summary!$R$27)*((1+Summary!$R$18)^(N42-1))*(N42&lt;=$C$19)</f>
        <v>0</v>
      </c>
      <c r="O65" s="42">
        <f>N65*(1+Summary!$R$27)*((1+Summary!$R$18)^(O42-1))*(O42&lt;=$C$19)</f>
        <v>0</v>
      </c>
      <c r="P65" s="42">
        <f>O65*(1+Summary!$R$27)*((1+Summary!$R$18)^(P42-1))*(P42&lt;=$C$19)</f>
        <v>0</v>
      </c>
      <c r="Q65" s="42">
        <f>P65*(1+Summary!$R$27)*((1+Summary!$R$18)^(Q42-1))*(Q42&lt;=$C$19)</f>
        <v>0</v>
      </c>
      <c r="R65" s="42">
        <f>Q65*(1+Summary!$R$27)*((1+Summary!$R$18)^(R42-1))*(R42&lt;=$C$19)</f>
        <v>0</v>
      </c>
      <c r="S65" s="42">
        <f>R65*(1+Summary!$R$27)*((1+Summary!$R$18)^(S42-1))*(S42&lt;=$C$19)</f>
        <v>0</v>
      </c>
      <c r="T65" s="42">
        <f>S65*(1+Summary!$R$27)*((1+Summary!$R$18)^(T42-1))*(T42&lt;=$C$19)</f>
        <v>0</v>
      </c>
      <c r="U65" s="42">
        <f>T65*(1+Summary!$R$27)*((1+Summary!$R$18)^(U42-1))*(U42&lt;=$C$19)</f>
        <v>0</v>
      </c>
      <c r="V65" s="42">
        <f>U65*(1+Summary!$R$27)*((1+Summary!$R$18)^(V42-1))*(V42&lt;=$C$19)</f>
        <v>0</v>
      </c>
      <c r="W65" s="42">
        <f>V65*(1+Summary!$R$27)*((1+Summary!$R$18)^(W42-1))*(W42&lt;=$C$19)</f>
        <v>0</v>
      </c>
      <c r="X65" s="42">
        <f>W65*(1+Summary!$R$27)*((1+Summary!$R$18)^(X42-1))*(X42&lt;=$C$19)</f>
        <v>0</v>
      </c>
      <c r="Y65" s="42">
        <f>X65*(1+Summary!$R$27)*((1+Summary!$R$18)^(Y42-1))*(Y42&lt;=$C$19)</f>
        <v>0</v>
      </c>
      <c r="Z65" s="42">
        <f>Y65*(1+Summary!$R$27)*((1+Summary!$R$18)^(Z42-1))*(Z42&lt;=$C$19)</f>
        <v>0</v>
      </c>
      <c r="AA65" s="42">
        <f>Z65*(1+Summary!$R$27)*((1+Summary!$R$18)^(AA42-1))*(AA42&lt;=$C$19)</f>
        <v>0</v>
      </c>
      <c r="AB65" s="42">
        <f>AA65*(1+Summary!$R$27)*((1+Summary!$R$18)^(AB42-1))*(AB42&lt;=$C$19)</f>
        <v>0</v>
      </c>
      <c r="AC65" s="42"/>
      <c r="AD65" s="42"/>
      <c r="AE65" s="42"/>
      <c r="AF65" s="42"/>
      <c r="AG65" s="42"/>
    </row>
    <row r="66" spans="1:34" x14ac:dyDescent="0.3">
      <c r="B66" s="117" t="s">
        <v>138</v>
      </c>
      <c r="C66" s="118"/>
      <c r="D66" s="118">
        <f t="shared" ref="D66:AB66" si="12">SUM(D144:D145)</f>
        <v>5978.4</v>
      </c>
      <c r="E66" s="118">
        <f t="shared" si="12"/>
        <v>5749.4400000000005</v>
      </c>
      <c r="F66" s="118">
        <f t="shared" si="12"/>
        <v>5520.48</v>
      </c>
      <c r="G66" s="118">
        <f t="shared" si="12"/>
        <v>5291.52</v>
      </c>
      <c r="H66" s="118">
        <f t="shared" si="12"/>
        <v>5062.5599999999995</v>
      </c>
      <c r="I66" s="118">
        <f t="shared" si="12"/>
        <v>4833.6000000000004</v>
      </c>
      <c r="J66" s="118">
        <f t="shared" si="12"/>
        <v>4604.6399999999994</v>
      </c>
      <c r="K66" s="118">
        <f t="shared" si="12"/>
        <v>4375.68</v>
      </c>
      <c r="L66" s="118">
        <f t="shared" si="12"/>
        <v>4146.72</v>
      </c>
      <c r="M66" s="118">
        <f t="shared" si="12"/>
        <v>3917.76</v>
      </c>
      <c r="N66" s="118">
        <f t="shared" si="12"/>
        <v>3688.8</v>
      </c>
      <c r="O66" s="118">
        <f t="shared" si="12"/>
        <v>3459.84</v>
      </c>
      <c r="P66" s="118">
        <f t="shared" si="12"/>
        <v>3230.88</v>
      </c>
      <c r="Q66" s="118">
        <f t="shared" si="12"/>
        <v>3001.92</v>
      </c>
      <c r="R66" s="118">
        <f t="shared" si="12"/>
        <v>2772.96</v>
      </c>
      <c r="S66" s="118">
        <f t="shared" si="12"/>
        <v>0</v>
      </c>
      <c r="T66" s="118">
        <f t="shared" si="12"/>
        <v>0</v>
      </c>
      <c r="U66" s="118">
        <f t="shared" si="12"/>
        <v>0</v>
      </c>
      <c r="V66" s="118">
        <f t="shared" si="12"/>
        <v>0</v>
      </c>
      <c r="W66" s="118">
        <f t="shared" si="12"/>
        <v>0</v>
      </c>
      <c r="X66" s="118">
        <f t="shared" si="12"/>
        <v>0</v>
      </c>
      <c r="Y66" s="118">
        <f t="shared" si="12"/>
        <v>0</v>
      </c>
      <c r="Z66" s="118">
        <f t="shared" si="12"/>
        <v>0</v>
      </c>
      <c r="AA66" s="118">
        <f t="shared" si="12"/>
        <v>0</v>
      </c>
      <c r="AB66" s="118">
        <f t="shared" si="12"/>
        <v>0</v>
      </c>
      <c r="AC66" s="42"/>
      <c r="AD66" s="42"/>
      <c r="AE66" s="42"/>
      <c r="AF66" s="42"/>
      <c r="AG66" s="42"/>
    </row>
    <row r="67" spans="1:34" s="50" customFormat="1" x14ac:dyDescent="0.3">
      <c r="A67" s="3"/>
      <c r="B67" s="50" t="s">
        <v>139</v>
      </c>
      <c r="C67" s="51"/>
      <c r="D67" s="51">
        <f t="shared" ref="D67:AB67" si="13">D52-SUM(D55:D66)</f>
        <v>-1199.5407088113625</v>
      </c>
      <c r="E67" s="51">
        <f t="shared" si="13"/>
        <v>-871.79227039898979</v>
      </c>
      <c r="F67" s="51">
        <f t="shared" si="13"/>
        <v>-542.22369652316956</v>
      </c>
      <c r="G67" s="51">
        <f t="shared" si="13"/>
        <v>112.26479338968147</v>
      </c>
      <c r="H67" s="51">
        <f t="shared" si="13"/>
        <v>453.64865533502052</v>
      </c>
      <c r="I67" s="51">
        <f t="shared" si="13"/>
        <v>797.15403251593852</v>
      </c>
      <c r="J67" s="51">
        <f t="shared" si="13"/>
        <v>1142.820267322234</v>
      </c>
      <c r="K67" s="51">
        <f t="shared" si="13"/>
        <v>1490.6874135055541</v>
      </c>
      <c r="L67" s="51">
        <f t="shared" si="13"/>
        <v>1840.7962485535236</v>
      </c>
      <c r="M67" s="51">
        <f t="shared" si="13"/>
        <v>2193.1882862656876</v>
      </c>
      <c r="N67" s="51">
        <f t="shared" si="13"/>
        <v>3027.9057895341839</v>
      </c>
      <c r="O67" s="51">
        <f t="shared" si="13"/>
        <v>3384.9917833321169</v>
      </c>
      <c r="P67" s="51">
        <f t="shared" si="13"/>
        <v>3744.4900679125558</v>
      </c>
      <c r="Q67" s="51">
        <f t="shared" si="13"/>
        <v>4106.4452322211973</v>
      </c>
      <c r="R67" s="51">
        <f t="shared" si="13"/>
        <v>4470.9026675256973</v>
      </c>
      <c r="S67" s="51">
        <f t="shared" si="13"/>
        <v>7381.9085812647281</v>
      </c>
      <c r="T67" s="51">
        <f t="shared" si="13"/>
        <v>7522.5500111198689</v>
      </c>
      <c r="U67" s="51">
        <f t="shared" si="13"/>
        <v>7665.8348393134447</v>
      </c>
      <c r="V67" s="51">
        <f t="shared" si="13"/>
        <v>7811.8118071354329</v>
      </c>
      <c r="W67" s="51">
        <f t="shared" si="13"/>
        <v>7960.5305297026489</v>
      </c>
      <c r="X67" s="51">
        <f t="shared" si="13"/>
        <v>0</v>
      </c>
      <c r="Y67" s="51">
        <f t="shared" si="13"/>
        <v>0</v>
      </c>
      <c r="Z67" s="51">
        <f t="shared" si="13"/>
        <v>0</v>
      </c>
      <c r="AA67" s="51">
        <f t="shared" si="13"/>
        <v>0</v>
      </c>
      <c r="AB67" s="51">
        <f t="shared" si="13"/>
        <v>0</v>
      </c>
      <c r="AC67" s="51"/>
      <c r="AD67" s="51"/>
      <c r="AE67" s="51"/>
      <c r="AF67" s="51"/>
      <c r="AG67" s="51"/>
      <c r="AH67" s="51">
        <f>AH52-SUM(AH55:AH61)</f>
        <v>0</v>
      </c>
    </row>
    <row r="68" spans="1:34" x14ac:dyDescent="0.3">
      <c r="C68" s="52"/>
      <c r="D68" s="52">
        <v>0</v>
      </c>
      <c r="E68" s="52">
        <f t="shared" ref="E68:AB68" si="14">IF(ISERR(E67/E52),"n/a",E67/E52)</f>
        <v>-0.13404093260647837</v>
      </c>
      <c r="F68" s="52">
        <f t="shared" si="14"/>
        <v>-8.1744016688642826E-2</v>
      </c>
      <c r="G68" s="52">
        <f t="shared" si="14"/>
        <v>1.6594879983802355E-2</v>
      </c>
      <c r="H68" s="52">
        <f t="shared" si="14"/>
        <v>6.5751129276361203E-2</v>
      </c>
      <c r="I68" s="52">
        <f t="shared" si="14"/>
        <v>0.1132866904579533</v>
      </c>
      <c r="J68" s="52">
        <f t="shared" si="14"/>
        <v>0.15924566905040671</v>
      </c>
      <c r="K68" s="52">
        <f t="shared" si="14"/>
        <v>0.20367106505855229</v>
      </c>
      <c r="L68" s="52">
        <f t="shared" si="14"/>
        <v>0.24660479929827825</v>
      </c>
      <c r="M68" s="52">
        <f t="shared" si="14"/>
        <v>0.2880877391182281</v>
      </c>
      <c r="N68" s="52">
        <f t="shared" si="14"/>
        <v>0.3899817374905325</v>
      </c>
      <c r="O68" s="52">
        <f t="shared" si="14"/>
        <v>0.42747683394529135</v>
      </c>
      <c r="P68" s="52">
        <f t="shared" si="14"/>
        <v>0.46366114376016004</v>
      </c>
      <c r="Q68" s="52">
        <f t="shared" si="14"/>
        <v>0.49857110844126501</v>
      </c>
      <c r="R68" s="52">
        <f t="shared" si="14"/>
        <v>0.53224224492375249</v>
      </c>
      <c r="S68" s="52">
        <f t="shared" si="14"/>
        <v>0.86165982291029486</v>
      </c>
      <c r="T68" s="52">
        <f t="shared" si="14"/>
        <v>0.86096464614099999</v>
      </c>
      <c r="U68" s="52">
        <f t="shared" si="14"/>
        <v>0.86026597602110544</v>
      </c>
      <c r="V68" s="52">
        <f t="shared" si="14"/>
        <v>0.85956379499608604</v>
      </c>
      <c r="W68" s="52">
        <f t="shared" si="14"/>
        <v>0.85885808542320197</v>
      </c>
      <c r="X68" s="52" t="str">
        <f t="shared" si="14"/>
        <v>n/a</v>
      </c>
      <c r="Y68" s="52" t="str">
        <f t="shared" si="14"/>
        <v>n/a</v>
      </c>
      <c r="Z68" s="52" t="str">
        <f t="shared" si="14"/>
        <v>n/a</v>
      </c>
      <c r="AA68" s="52" t="str">
        <f t="shared" si="14"/>
        <v>n/a</v>
      </c>
      <c r="AB68" s="52" t="str">
        <f t="shared" si="14"/>
        <v>n/a</v>
      </c>
      <c r="AC68" s="52"/>
      <c r="AD68" s="52"/>
      <c r="AE68" s="52"/>
      <c r="AF68" s="52"/>
      <c r="AG68" s="52"/>
    </row>
    <row r="69" spans="1:34" x14ac:dyDescent="0.3"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</row>
    <row r="70" spans="1:34" x14ac:dyDescent="0.3">
      <c r="B70" t="s">
        <v>140</v>
      </c>
      <c r="C70" s="53"/>
      <c r="D70" s="53">
        <f t="shared" ref="D70:AB70" si="15">(D71+D74+D78)*(D42&lt;=$C$19)</f>
        <v>1526.4</v>
      </c>
      <c r="E70" s="53">
        <f t="shared" si="15"/>
        <v>1526.4</v>
      </c>
      <c r="F70" s="53">
        <f t="shared" si="15"/>
        <v>1526.4</v>
      </c>
      <c r="G70" s="53">
        <f t="shared" si="15"/>
        <v>1526.4</v>
      </c>
      <c r="H70" s="53">
        <f t="shared" si="15"/>
        <v>1526.4</v>
      </c>
      <c r="I70" s="53">
        <f t="shared" si="15"/>
        <v>1526.4</v>
      </c>
      <c r="J70" s="53">
        <f t="shared" si="15"/>
        <v>1526.4</v>
      </c>
      <c r="K70" s="53">
        <f t="shared" si="15"/>
        <v>1526.4</v>
      </c>
      <c r="L70" s="53">
        <f t="shared" si="15"/>
        <v>1526.4</v>
      </c>
      <c r="M70" s="53">
        <f t="shared" si="15"/>
        <v>1526.4</v>
      </c>
      <c r="N70" s="53">
        <f t="shared" si="15"/>
        <v>1526.4</v>
      </c>
      <c r="O70" s="53">
        <f t="shared" si="15"/>
        <v>1526.4</v>
      </c>
      <c r="P70" s="53">
        <f t="shared" si="15"/>
        <v>1526.4</v>
      </c>
      <c r="Q70" s="53">
        <f t="shared" si="15"/>
        <v>1526.4</v>
      </c>
      <c r="R70" s="53">
        <f t="shared" si="15"/>
        <v>1526.4</v>
      </c>
      <c r="S70" s="53">
        <f t="shared" si="15"/>
        <v>1526.4</v>
      </c>
      <c r="T70" s="53">
        <f t="shared" si="15"/>
        <v>1526.4</v>
      </c>
      <c r="U70" s="53">
        <f t="shared" si="15"/>
        <v>1526.4</v>
      </c>
      <c r="V70" s="53">
        <f t="shared" si="15"/>
        <v>1526.4</v>
      </c>
      <c r="W70" s="53">
        <f t="shared" si="15"/>
        <v>1526.4</v>
      </c>
      <c r="X70" s="53">
        <f t="shared" si="15"/>
        <v>0</v>
      </c>
      <c r="Y70" s="53">
        <f t="shared" si="15"/>
        <v>0</v>
      </c>
      <c r="Z70" s="53">
        <f t="shared" si="15"/>
        <v>0</v>
      </c>
      <c r="AA70" s="53">
        <f t="shared" si="15"/>
        <v>0</v>
      </c>
      <c r="AB70" s="53">
        <f t="shared" si="15"/>
        <v>0</v>
      </c>
      <c r="AC70" s="53"/>
      <c r="AD70" s="53"/>
      <c r="AE70" s="53"/>
      <c r="AF70" s="53"/>
      <c r="AG70" s="53"/>
    </row>
    <row r="71" spans="1:34" s="54" customFormat="1" outlineLevel="1" x14ac:dyDescent="0.3">
      <c r="B71" s="54" t="s">
        <v>141</v>
      </c>
      <c r="C71" s="55"/>
      <c r="D71" s="55">
        <f t="shared" ref="D71:AB71" si="16">MIN(D72,$D$72/$H$28)</f>
        <v>1526.4</v>
      </c>
      <c r="E71" s="55">
        <f t="shared" si="16"/>
        <v>1526.4</v>
      </c>
      <c r="F71" s="55">
        <f t="shared" si="16"/>
        <v>1526.4</v>
      </c>
      <c r="G71" s="55">
        <f t="shared" si="16"/>
        <v>1526.4</v>
      </c>
      <c r="H71" s="55">
        <f t="shared" si="16"/>
        <v>1526.4</v>
      </c>
      <c r="I71" s="55">
        <f t="shared" si="16"/>
        <v>1526.4</v>
      </c>
      <c r="J71" s="55">
        <f t="shared" si="16"/>
        <v>1526.4</v>
      </c>
      <c r="K71" s="55">
        <f t="shared" si="16"/>
        <v>1526.4</v>
      </c>
      <c r="L71" s="55">
        <f t="shared" si="16"/>
        <v>1526.4</v>
      </c>
      <c r="M71" s="55">
        <f t="shared" si="16"/>
        <v>1526.4</v>
      </c>
      <c r="N71" s="55">
        <f t="shared" si="16"/>
        <v>1526.4</v>
      </c>
      <c r="O71" s="55">
        <f t="shared" si="16"/>
        <v>1526.4</v>
      </c>
      <c r="P71" s="55">
        <f t="shared" si="16"/>
        <v>1526.4</v>
      </c>
      <c r="Q71" s="55">
        <f t="shared" si="16"/>
        <v>1526.4</v>
      </c>
      <c r="R71" s="55">
        <f t="shared" si="16"/>
        <v>1526.4</v>
      </c>
      <c r="S71" s="55">
        <f t="shared" si="16"/>
        <v>1526.4</v>
      </c>
      <c r="T71" s="55">
        <f t="shared" si="16"/>
        <v>1526.4</v>
      </c>
      <c r="U71" s="55">
        <f t="shared" si="16"/>
        <v>1526.4</v>
      </c>
      <c r="V71" s="55">
        <f t="shared" si="16"/>
        <v>1526.4</v>
      </c>
      <c r="W71" s="55">
        <f t="shared" si="16"/>
        <v>1526.4</v>
      </c>
      <c r="X71" s="55">
        <f t="shared" si="16"/>
        <v>1526.4</v>
      </c>
      <c r="Y71" s="55">
        <f t="shared" si="16"/>
        <v>1526.4</v>
      </c>
      <c r="Z71" s="55">
        <f t="shared" si="16"/>
        <v>1526.4</v>
      </c>
      <c r="AA71" s="55">
        <f t="shared" si="16"/>
        <v>1526.4</v>
      </c>
      <c r="AB71" s="55">
        <f t="shared" si="16"/>
        <v>1526.3999999999824</v>
      </c>
      <c r="AC71" s="55"/>
      <c r="AD71" s="55"/>
      <c r="AE71" s="55"/>
      <c r="AF71" s="55"/>
      <c r="AG71" s="55"/>
    </row>
    <row r="72" spans="1:34" s="54" customFormat="1" outlineLevel="1" x14ac:dyDescent="0.3">
      <c r="B72" s="54" t="s">
        <v>142</v>
      </c>
      <c r="C72" s="56"/>
      <c r="D72" s="56">
        <f>C127*$H$29</f>
        <v>38160</v>
      </c>
      <c r="E72" s="57">
        <f t="shared" ref="E72:AB72" si="17">D73</f>
        <v>36633.599999999999</v>
      </c>
      <c r="F72" s="57">
        <f t="shared" si="17"/>
        <v>35107.199999999997</v>
      </c>
      <c r="G72" s="57">
        <f t="shared" si="17"/>
        <v>33580.799999999996</v>
      </c>
      <c r="H72" s="57">
        <f t="shared" si="17"/>
        <v>32054.399999999994</v>
      </c>
      <c r="I72" s="57">
        <f t="shared" si="17"/>
        <v>30527.999999999993</v>
      </c>
      <c r="J72" s="57">
        <f t="shared" si="17"/>
        <v>29001.599999999991</v>
      </c>
      <c r="K72" s="57">
        <f t="shared" si="17"/>
        <v>27475.19999999999</v>
      </c>
      <c r="L72" s="57">
        <f t="shared" si="17"/>
        <v>25948.799999999988</v>
      </c>
      <c r="M72" s="57">
        <f t="shared" si="17"/>
        <v>24422.399999999987</v>
      </c>
      <c r="N72" s="57">
        <f t="shared" si="17"/>
        <v>22895.999999999985</v>
      </c>
      <c r="O72" s="57">
        <f t="shared" si="17"/>
        <v>21369.599999999984</v>
      </c>
      <c r="P72" s="57">
        <f t="shared" si="17"/>
        <v>19843.199999999983</v>
      </c>
      <c r="Q72" s="57">
        <f t="shared" si="17"/>
        <v>18316.799999999981</v>
      </c>
      <c r="R72" s="57">
        <f t="shared" si="17"/>
        <v>16790.39999999998</v>
      </c>
      <c r="S72" s="57">
        <f t="shared" si="17"/>
        <v>15263.99999999998</v>
      </c>
      <c r="T72" s="57">
        <f t="shared" si="17"/>
        <v>13737.59999999998</v>
      </c>
      <c r="U72" s="57">
        <f t="shared" si="17"/>
        <v>12211.199999999981</v>
      </c>
      <c r="V72" s="57">
        <f t="shared" si="17"/>
        <v>10684.799999999981</v>
      </c>
      <c r="W72" s="57">
        <f t="shared" si="17"/>
        <v>9158.3999999999814</v>
      </c>
      <c r="X72" s="57">
        <f t="shared" si="17"/>
        <v>7631.9999999999818</v>
      </c>
      <c r="Y72" s="57">
        <f t="shared" si="17"/>
        <v>6105.5999999999822</v>
      </c>
      <c r="Z72" s="57">
        <f t="shared" si="17"/>
        <v>4579.1999999999825</v>
      </c>
      <c r="AA72" s="57">
        <f t="shared" si="17"/>
        <v>3052.7999999999824</v>
      </c>
      <c r="AB72" s="57">
        <f t="shared" si="17"/>
        <v>1526.3999999999824</v>
      </c>
      <c r="AC72" s="57"/>
      <c r="AD72" s="57"/>
      <c r="AE72" s="57"/>
      <c r="AF72" s="57"/>
      <c r="AG72" s="57"/>
    </row>
    <row r="73" spans="1:34" s="54" customFormat="1" outlineLevel="1" x14ac:dyDescent="0.3">
      <c r="B73" s="54" t="s">
        <v>143</v>
      </c>
      <c r="C73" s="57"/>
      <c r="D73" s="57">
        <f t="shared" ref="D73:AB73" si="18">D72-D71</f>
        <v>36633.599999999999</v>
      </c>
      <c r="E73" s="57">
        <f t="shared" si="18"/>
        <v>35107.199999999997</v>
      </c>
      <c r="F73" s="57">
        <f t="shared" si="18"/>
        <v>33580.799999999996</v>
      </c>
      <c r="G73" s="57">
        <f t="shared" si="18"/>
        <v>32054.399999999994</v>
      </c>
      <c r="H73" s="57">
        <f t="shared" si="18"/>
        <v>30527.999999999993</v>
      </c>
      <c r="I73" s="57">
        <f t="shared" si="18"/>
        <v>29001.599999999991</v>
      </c>
      <c r="J73" s="57">
        <f t="shared" si="18"/>
        <v>27475.19999999999</v>
      </c>
      <c r="K73" s="57">
        <f t="shared" si="18"/>
        <v>25948.799999999988</v>
      </c>
      <c r="L73" s="57">
        <f t="shared" si="18"/>
        <v>24422.399999999987</v>
      </c>
      <c r="M73" s="57">
        <f t="shared" si="18"/>
        <v>22895.999999999985</v>
      </c>
      <c r="N73" s="57">
        <f t="shared" si="18"/>
        <v>21369.599999999984</v>
      </c>
      <c r="O73" s="57">
        <f t="shared" si="18"/>
        <v>19843.199999999983</v>
      </c>
      <c r="P73" s="57">
        <f t="shared" si="18"/>
        <v>18316.799999999981</v>
      </c>
      <c r="Q73" s="57">
        <f t="shared" si="18"/>
        <v>16790.39999999998</v>
      </c>
      <c r="R73" s="57">
        <f t="shared" si="18"/>
        <v>15263.99999999998</v>
      </c>
      <c r="S73" s="57">
        <f t="shared" si="18"/>
        <v>13737.59999999998</v>
      </c>
      <c r="T73" s="57">
        <f t="shared" si="18"/>
        <v>12211.199999999981</v>
      </c>
      <c r="U73" s="57">
        <f t="shared" si="18"/>
        <v>10684.799999999981</v>
      </c>
      <c r="V73" s="57">
        <f t="shared" si="18"/>
        <v>9158.3999999999814</v>
      </c>
      <c r="W73" s="57">
        <f t="shared" si="18"/>
        <v>7631.9999999999818</v>
      </c>
      <c r="X73" s="57">
        <f t="shared" si="18"/>
        <v>6105.5999999999822</v>
      </c>
      <c r="Y73" s="57">
        <f t="shared" si="18"/>
        <v>4579.1999999999825</v>
      </c>
      <c r="Z73" s="57">
        <f t="shared" si="18"/>
        <v>3052.7999999999824</v>
      </c>
      <c r="AA73" s="57">
        <f t="shared" si="18"/>
        <v>1526.3999999999824</v>
      </c>
      <c r="AB73" s="57">
        <f t="shared" si="18"/>
        <v>0</v>
      </c>
      <c r="AC73" s="57"/>
      <c r="AD73" s="57"/>
      <c r="AE73" s="57"/>
      <c r="AF73" s="57"/>
      <c r="AG73" s="57"/>
    </row>
    <row r="74" spans="1:34" s="54" customFormat="1" outlineLevel="1" x14ac:dyDescent="0.3">
      <c r="B74" s="58" t="s">
        <v>144</v>
      </c>
      <c r="C74" s="57"/>
      <c r="D74" s="57">
        <f t="shared" ref="D74:AB74" si="19">IF(D76&gt;0,MIN(D76,$H$11/$H$30),0)</f>
        <v>0</v>
      </c>
      <c r="E74" s="57">
        <f t="shared" si="19"/>
        <v>0</v>
      </c>
      <c r="F74" s="57">
        <f t="shared" si="19"/>
        <v>0</v>
      </c>
      <c r="G74" s="57">
        <f t="shared" si="19"/>
        <v>0</v>
      </c>
      <c r="H74" s="57">
        <f t="shared" si="19"/>
        <v>0</v>
      </c>
      <c r="I74" s="57">
        <f t="shared" si="19"/>
        <v>0</v>
      </c>
      <c r="J74" s="57">
        <f t="shared" si="19"/>
        <v>0</v>
      </c>
      <c r="K74" s="57">
        <f t="shared" si="19"/>
        <v>0</v>
      </c>
      <c r="L74" s="57">
        <f t="shared" si="19"/>
        <v>0</v>
      </c>
      <c r="M74" s="57">
        <f t="shared" si="19"/>
        <v>0</v>
      </c>
      <c r="N74" s="57">
        <f t="shared" si="19"/>
        <v>0</v>
      </c>
      <c r="O74" s="57">
        <f t="shared" si="19"/>
        <v>0</v>
      </c>
      <c r="P74" s="57">
        <f t="shared" si="19"/>
        <v>0</v>
      </c>
      <c r="Q74" s="57">
        <f t="shared" si="19"/>
        <v>0</v>
      </c>
      <c r="R74" s="57">
        <f t="shared" si="19"/>
        <v>0</v>
      </c>
      <c r="S74" s="57">
        <f t="shared" si="19"/>
        <v>0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0</v>
      </c>
      <c r="Y74" s="57">
        <f t="shared" si="19"/>
        <v>0</v>
      </c>
      <c r="Z74" s="57">
        <f t="shared" si="19"/>
        <v>0</v>
      </c>
      <c r="AA74" s="57">
        <f t="shared" si="19"/>
        <v>0</v>
      </c>
      <c r="AB74" s="57">
        <f t="shared" si="19"/>
        <v>0</v>
      </c>
      <c r="AC74" s="57"/>
      <c r="AD74" s="57"/>
      <c r="AE74" s="57"/>
      <c r="AF74" s="57"/>
      <c r="AG74" s="57"/>
    </row>
    <row r="76" spans="1:34" s="54" customFormat="1" outlineLevel="1" x14ac:dyDescent="0.3">
      <c r="B76" s="54" t="s">
        <v>142</v>
      </c>
      <c r="C76" s="57"/>
      <c r="D76" s="57">
        <f t="shared" ref="D76:AB76" si="20">IF(D133&gt;0,D133*$H$31,C77)</f>
        <v>0</v>
      </c>
      <c r="E76" s="57">
        <f t="shared" si="20"/>
        <v>0</v>
      </c>
      <c r="F76" s="57">
        <f t="shared" si="20"/>
        <v>0</v>
      </c>
      <c r="G76" s="57">
        <f t="shared" si="20"/>
        <v>0</v>
      </c>
      <c r="H76" s="57">
        <f t="shared" si="20"/>
        <v>0</v>
      </c>
      <c r="I76" s="57">
        <f t="shared" si="20"/>
        <v>0</v>
      </c>
      <c r="J76" s="57">
        <f t="shared" si="20"/>
        <v>0</v>
      </c>
      <c r="K76" s="57">
        <f t="shared" si="20"/>
        <v>0</v>
      </c>
      <c r="L76" s="57">
        <f t="shared" si="20"/>
        <v>0</v>
      </c>
      <c r="M76" s="57">
        <f t="shared" si="20"/>
        <v>0</v>
      </c>
      <c r="N76" s="57">
        <f t="shared" si="20"/>
        <v>0</v>
      </c>
      <c r="O76" s="57">
        <f t="shared" si="20"/>
        <v>0</v>
      </c>
      <c r="P76" s="57">
        <f t="shared" si="20"/>
        <v>0</v>
      </c>
      <c r="Q76" s="57">
        <f t="shared" si="20"/>
        <v>0</v>
      </c>
      <c r="R76" s="57">
        <f t="shared" si="20"/>
        <v>0</v>
      </c>
      <c r="S76" s="57">
        <f t="shared" si="20"/>
        <v>0</v>
      </c>
      <c r="T76" s="57">
        <f t="shared" si="20"/>
        <v>0</v>
      </c>
      <c r="U76" s="57">
        <f t="shared" si="20"/>
        <v>0</v>
      </c>
      <c r="V76" s="57">
        <f t="shared" si="20"/>
        <v>0</v>
      </c>
      <c r="W76" s="57">
        <f t="shared" si="20"/>
        <v>0</v>
      </c>
      <c r="X76" s="57">
        <f t="shared" si="20"/>
        <v>0</v>
      </c>
      <c r="Y76" s="57">
        <f t="shared" si="20"/>
        <v>0</v>
      </c>
      <c r="Z76" s="57">
        <f t="shared" si="20"/>
        <v>0</v>
      </c>
      <c r="AA76" s="57">
        <f t="shared" si="20"/>
        <v>0</v>
      </c>
      <c r="AB76" s="57">
        <f t="shared" si="20"/>
        <v>0</v>
      </c>
      <c r="AC76" s="57"/>
      <c r="AD76" s="57"/>
      <c r="AE76" s="57"/>
      <c r="AF76" s="57"/>
      <c r="AG76" s="57"/>
    </row>
    <row r="77" spans="1:34" s="54" customFormat="1" outlineLevel="1" x14ac:dyDescent="0.3">
      <c r="B77" s="54" t="s">
        <v>143</v>
      </c>
      <c r="C77" s="57"/>
      <c r="D77" s="57">
        <f t="shared" ref="D77:AB77" si="21">D76-D74</f>
        <v>0</v>
      </c>
      <c r="E77" s="57">
        <f t="shared" si="21"/>
        <v>0</v>
      </c>
      <c r="F77" s="57">
        <f t="shared" si="21"/>
        <v>0</v>
      </c>
      <c r="G77" s="57">
        <f t="shared" si="21"/>
        <v>0</v>
      </c>
      <c r="H77" s="57">
        <f t="shared" si="21"/>
        <v>0</v>
      </c>
      <c r="I77" s="57">
        <f t="shared" si="21"/>
        <v>0</v>
      </c>
      <c r="J77" s="57">
        <f t="shared" si="21"/>
        <v>0</v>
      </c>
      <c r="K77" s="57">
        <f t="shared" si="21"/>
        <v>0</v>
      </c>
      <c r="L77" s="57">
        <f t="shared" si="21"/>
        <v>0</v>
      </c>
      <c r="M77" s="57">
        <f t="shared" si="21"/>
        <v>0</v>
      </c>
      <c r="N77" s="57">
        <f t="shared" si="21"/>
        <v>0</v>
      </c>
      <c r="O77" s="57">
        <f t="shared" si="21"/>
        <v>0</v>
      </c>
      <c r="P77" s="57">
        <f t="shared" si="21"/>
        <v>0</v>
      </c>
      <c r="Q77" s="57">
        <f t="shared" si="21"/>
        <v>0</v>
      </c>
      <c r="R77" s="57">
        <f t="shared" si="21"/>
        <v>0</v>
      </c>
      <c r="S77" s="57">
        <f t="shared" si="21"/>
        <v>0</v>
      </c>
      <c r="T77" s="57">
        <f t="shared" si="21"/>
        <v>0</v>
      </c>
      <c r="U77" s="57">
        <f t="shared" si="21"/>
        <v>0</v>
      </c>
      <c r="V77" s="57">
        <f t="shared" si="21"/>
        <v>0</v>
      </c>
      <c r="W77" s="57">
        <f t="shared" si="21"/>
        <v>0</v>
      </c>
      <c r="X77" s="57">
        <f t="shared" si="21"/>
        <v>0</v>
      </c>
      <c r="Y77" s="57">
        <f t="shared" si="21"/>
        <v>0</v>
      </c>
      <c r="Z77" s="57">
        <f t="shared" si="21"/>
        <v>0</v>
      </c>
      <c r="AA77" s="57">
        <f t="shared" si="21"/>
        <v>0</v>
      </c>
      <c r="AB77" s="57">
        <f t="shared" si="21"/>
        <v>0</v>
      </c>
      <c r="AC77" s="57"/>
      <c r="AD77" s="57"/>
      <c r="AE77" s="57"/>
      <c r="AF77" s="57"/>
      <c r="AG77" s="57"/>
    </row>
    <row r="78" spans="1:34" s="54" customFormat="1" outlineLevel="1" x14ac:dyDescent="0.3">
      <c r="B78" s="58" t="s">
        <v>145</v>
      </c>
      <c r="C78" s="57"/>
      <c r="D78" s="57">
        <f>IF(D80&gt;0,MIN(D80,$H$13/$H$30),0)</f>
        <v>0</v>
      </c>
      <c r="E78" s="57">
        <f t="shared" ref="E78:AB78" si="22">IF(E80&gt;0,MIN(E80,$H$13/$H$28),0)</f>
        <v>0</v>
      </c>
      <c r="F78" s="57">
        <f t="shared" si="22"/>
        <v>0</v>
      </c>
      <c r="G78" s="57">
        <f t="shared" si="22"/>
        <v>0</v>
      </c>
      <c r="H78" s="57">
        <f t="shared" si="22"/>
        <v>0</v>
      </c>
      <c r="I78" s="57">
        <f t="shared" si="22"/>
        <v>0</v>
      </c>
      <c r="J78" s="57">
        <f t="shared" si="22"/>
        <v>0</v>
      </c>
      <c r="K78" s="57">
        <f t="shared" si="22"/>
        <v>0</v>
      </c>
      <c r="L78" s="57">
        <f t="shared" si="22"/>
        <v>0</v>
      </c>
      <c r="M78" s="57">
        <f t="shared" si="22"/>
        <v>0</v>
      </c>
      <c r="N78" s="57">
        <f t="shared" si="22"/>
        <v>0</v>
      </c>
      <c r="O78" s="57">
        <f t="shared" si="22"/>
        <v>0</v>
      </c>
      <c r="P78" s="57">
        <f t="shared" si="22"/>
        <v>0</v>
      </c>
      <c r="Q78" s="57">
        <f t="shared" si="22"/>
        <v>0</v>
      </c>
      <c r="R78" s="57">
        <f t="shared" si="22"/>
        <v>0</v>
      </c>
      <c r="S78" s="57">
        <f t="shared" si="22"/>
        <v>0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0</v>
      </c>
      <c r="Y78" s="57">
        <f t="shared" si="22"/>
        <v>0</v>
      </c>
      <c r="Z78" s="57">
        <f t="shared" si="22"/>
        <v>0</v>
      </c>
      <c r="AA78" s="57">
        <f t="shared" si="22"/>
        <v>0</v>
      </c>
      <c r="AB78" s="57">
        <f t="shared" si="22"/>
        <v>0</v>
      </c>
      <c r="AC78" s="57"/>
      <c r="AD78" s="57"/>
      <c r="AE78" s="57"/>
      <c r="AF78" s="57"/>
      <c r="AG78" s="57"/>
    </row>
    <row r="79" spans="1:34" s="54" customFormat="1" outlineLevel="1" x14ac:dyDescent="0.3">
      <c r="B79" s="58" t="s">
        <v>146</v>
      </c>
      <c r="C79" s="57"/>
      <c r="D79" s="57">
        <f t="shared" ref="D79:AB79" si="23">IF(D$42=$H$14,$H$13,0)</f>
        <v>0</v>
      </c>
      <c r="E79" s="57">
        <f t="shared" si="23"/>
        <v>0</v>
      </c>
      <c r="F79" s="57">
        <f t="shared" si="23"/>
        <v>0</v>
      </c>
      <c r="G79" s="57">
        <f t="shared" si="23"/>
        <v>0</v>
      </c>
      <c r="H79" s="57">
        <f t="shared" si="23"/>
        <v>0</v>
      </c>
      <c r="I79" s="57">
        <f t="shared" si="23"/>
        <v>0</v>
      </c>
      <c r="J79" s="57">
        <f t="shared" si="23"/>
        <v>0</v>
      </c>
      <c r="K79" s="57">
        <f t="shared" si="23"/>
        <v>0</v>
      </c>
      <c r="L79" s="57">
        <f t="shared" si="23"/>
        <v>0</v>
      </c>
      <c r="M79" s="57">
        <f t="shared" si="23"/>
        <v>0</v>
      </c>
      <c r="N79" s="57">
        <f t="shared" si="23"/>
        <v>0</v>
      </c>
      <c r="O79" s="57">
        <f t="shared" si="23"/>
        <v>0</v>
      </c>
      <c r="P79" s="57">
        <f t="shared" si="23"/>
        <v>0</v>
      </c>
      <c r="Q79" s="57">
        <f t="shared" si="23"/>
        <v>0</v>
      </c>
      <c r="R79" s="57">
        <f t="shared" si="23"/>
        <v>0</v>
      </c>
      <c r="S79" s="57">
        <f t="shared" si="23"/>
        <v>0</v>
      </c>
      <c r="T79" s="57">
        <f t="shared" si="23"/>
        <v>0</v>
      </c>
      <c r="U79" s="57">
        <f t="shared" si="23"/>
        <v>0</v>
      </c>
      <c r="V79" s="57">
        <f t="shared" si="23"/>
        <v>0</v>
      </c>
      <c r="W79" s="57">
        <f t="shared" si="23"/>
        <v>0</v>
      </c>
      <c r="X79" s="57">
        <f t="shared" si="23"/>
        <v>0</v>
      </c>
      <c r="Y79" s="57">
        <f t="shared" si="23"/>
        <v>0</v>
      </c>
      <c r="Z79" s="57">
        <f t="shared" si="23"/>
        <v>0</v>
      </c>
      <c r="AA79" s="57">
        <f t="shared" si="23"/>
        <v>0</v>
      </c>
      <c r="AB79" s="57">
        <f t="shared" si="23"/>
        <v>0</v>
      </c>
      <c r="AC79" s="57"/>
      <c r="AD79" s="57"/>
      <c r="AE79" s="57"/>
      <c r="AF79" s="57"/>
      <c r="AG79" s="57"/>
    </row>
    <row r="80" spans="1:34" s="54" customFormat="1" outlineLevel="1" x14ac:dyDescent="0.3">
      <c r="B80" s="54" t="s">
        <v>142</v>
      </c>
      <c r="C80" s="57"/>
      <c r="D80" s="57">
        <f t="shared" ref="D80:AB80" si="24">IF(D79&gt;0,D79*$I$31,C81)</f>
        <v>0</v>
      </c>
      <c r="E80" s="57">
        <f t="shared" si="24"/>
        <v>0</v>
      </c>
      <c r="F80" s="57">
        <f t="shared" si="24"/>
        <v>0</v>
      </c>
      <c r="G80" s="57">
        <f t="shared" si="24"/>
        <v>0</v>
      </c>
      <c r="H80" s="57">
        <f t="shared" si="24"/>
        <v>0</v>
      </c>
      <c r="I80" s="57">
        <f t="shared" si="24"/>
        <v>0</v>
      </c>
      <c r="J80" s="57">
        <f t="shared" si="24"/>
        <v>0</v>
      </c>
      <c r="K80" s="57">
        <f t="shared" si="24"/>
        <v>0</v>
      </c>
      <c r="L80" s="57">
        <f t="shared" si="24"/>
        <v>0</v>
      </c>
      <c r="M80" s="57">
        <f t="shared" si="24"/>
        <v>0</v>
      </c>
      <c r="N80" s="57">
        <f t="shared" si="24"/>
        <v>0</v>
      </c>
      <c r="O80" s="57">
        <f t="shared" si="24"/>
        <v>0</v>
      </c>
      <c r="P80" s="57">
        <f t="shared" si="24"/>
        <v>0</v>
      </c>
      <c r="Q80" s="57">
        <f t="shared" si="24"/>
        <v>0</v>
      </c>
      <c r="R80" s="57">
        <f t="shared" si="24"/>
        <v>0</v>
      </c>
      <c r="S80" s="57">
        <f t="shared" si="24"/>
        <v>0</v>
      </c>
      <c r="T80" s="57">
        <f t="shared" si="24"/>
        <v>0</v>
      </c>
      <c r="U80" s="57">
        <f t="shared" si="24"/>
        <v>0</v>
      </c>
      <c r="V80" s="57">
        <f t="shared" si="24"/>
        <v>0</v>
      </c>
      <c r="W80" s="57">
        <f t="shared" si="24"/>
        <v>0</v>
      </c>
      <c r="X80" s="57">
        <f t="shared" si="24"/>
        <v>0</v>
      </c>
      <c r="Y80" s="57">
        <f t="shared" si="24"/>
        <v>0</v>
      </c>
      <c r="Z80" s="57">
        <f t="shared" si="24"/>
        <v>0</v>
      </c>
      <c r="AA80" s="57">
        <f t="shared" si="24"/>
        <v>0</v>
      </c>
      <c r="AB80" s="57">
        <f t="shared" si="24"/>
        <v>0</v>
      </c>
      <c r="AC80" s="57"/>
      <c r="AD80" s="57"/>
      <c r="AE80" s="57"/>
      <c r="AF80" s="57"/>
      <c r="AG80" s="57"/>
    </row>
    <row r="81" spans="2:33" s="54" customFormat="1" outlineLevel="1" x14ac:dyDescent="0.3">
      <c r="B81" s="54" t="s">
        <v>143</v>
      </c>
      <c r="C81" s="57"/>
      <c r="D81" s="57">
        <f t="shared" ref="D81:AB81" si="25">D80-D78</f>
        <v>0</v>
      </c>
      <c r="E81" s="57">
        <f t="shared" si="25"/>
        <v>0</v>
      </c>
      <c r="F81" s="57">
        <f t="shared" si="25"/>
        <v>0</v>
      </c>
      <c r="G81" s="57">
        <f t="shared" si="25"/>
        <v>0</v>
      </c>
      <c r="H81" s="57">
        <f t="shared" si="25"/>
        <v>0</v>
      </c>
      <c r="I81" s="57">
        <f t="shared" si="25"/>
        <v>0</v>
      </c>
      <c r="J81" s="57">
        <f t="shared" si="25"/>
        <v>0</v>
      </c>
      <c r="K81" s="57">
        <f t="shared" si="25"/>
        <v>0</v>
      </c>
      <c r="L81" s="57">
        <f t="shared" si="25"/>
        <v>0</v>
      </c>
      <c r="M81" s="57">
        <f t="shared" si="25"/>
        <v>0</v>
      </c>
      <c r="N81" s="57">
        <f t="shared" si="25"/>
        <v>0</v>
      </c>
      <c r="O81" s="57">
        <f t="shared" si="25"/>
        <v>0</v>
      </c>
      <c r="P81" s="57">
        <f t="shared" si="25"/>
        <v>0</v>
      </c>
      <c r="Q81" s="57">
        <f t="shared" si="25"/>
        <v>0</v>
      </c>
      <c r="R81" s="57">
        <f t="shared" si="25"/>
        <v>0</v>
      </c>
      <c r="S81" s="57">
        <f t="shared" si="25"/>
        <v>0</v>
      </c>
      <c r="T81" s="57">
        <f t="shared" si="25"/>
        <v>0</v>
      </c>
      <c r="U81" s="57">
        <f t="shared" si="25"/>
        <v>0</v>
      </c>
      <c r="V81" s="57">
        <f t="shared" si="25"/>
        <v>0</v>
      </c>
      <c r="W81" s="57">
        <f t="shared" si="25"/>
        <v>0</v>
      </c>
      <c r="X81" s="57">
        <f t="shared" si="25"/>
        <v>0</v>
      </c>
      <c r="Y81" s="57">
        <f t="shared" si="25"/>
        <v>0</v>
      </c>
      <c r="Z81" s="57">
        <f t="shared" si="25"/>
        <v>0</v>
      </c>
      <c r="AA81" s="57">
        <f t="shared" si="25"/>
        <v>0</v>
      </c>
      <c r="AB81" s="57">
        <f t="shared" si="25"/>
        <v>0</v>
      </c>
      <c r="AC81" s="57"/>
      <c r="AD81" s="57"/>
      <c r="AE81" s="57"/>
      <c r="AF81" s="57"/>
      <c r="AG81" s="57"/>
    </row>
    <row r="82" spans="2:33" s="59" customFormat="1" outlineLevel="1" x14ac:dyDescent="0.3"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</row>
    <row r="83" spans="2:33" s="59" customFormat="1" x14ac:dyDescent="0.3">
      <c r="B83" t="s">
        <v>147</v>
      </c>
      <c r="C83" s="60"/>
      <c r="D83" s="53">
        <f t="shared" ref="D83:AB83" si="26">(D84+D87+D90)*(D42&lt;=$C$19)</f>
        <v>3052.8</v>
      </c>
      <c r="E83" s="53">
        <f t="shared" si="26"/>
        <v>3052.8</v>
      </c>
      <c r="F83" s="53">
        <f t="shared" si="26"/>
        <v>3052.8</v>
      </c>
      <c r="G83" s="53">
        <f t="shared" si="26"/>
        <v>3052.8</v>
      </c>
      <c r="H83" s="53">
        <f t="shared" si="26"/>
        <v>3052.8</v>
      </c>
      <c r="I83" s="53">
        <f t="shared" si="26"/>
        <v>3052.8</v>
      </c>
      <c r="J83" s="53">
        <f t="shared" si="26"/>
        <v>3052.8</v>
      </c>
      <c r="K83" s="53">
        <f t="shared" si="26"/>
        <v>3052.8</v>
      </c>
      <c r="L83" s="53">
        <f t="shared" si="26"/>
        <v>3052.8</v>
      </c>
      <c r="M83" s="53">
        <f t="shared" si="26"/>
        <v>3052.8</v>
      </c>
      <c r="N83" s="53">
        <f t="shared" si="26"/>
        <v>3052.8</v>
      </c>
      <c r="O83" s="53">
        <f t="shared" si="26"/>
        <v>3052.8</v>
      </c>
      <c r="P83" s="53">
        <f t="shared" si="26"/>
        <v>1526.4000000000024</v>
      </c>
      <c r="Q83" s="53">
        <f t="shared" si="26"/>
        <v>0</v>
      </c>
      <c r="R83" s="53">
        <f t="shared" si="26"/>
        <v>0</v>
      </c>
      <c r="S83" s="53">
        <f t="shared" si="26"/>
        <v>0</v>
      </c>
      <c r="T83" s="53">
        <f t="shared" si="26"/>
        <v>0</v>
      </c>
      <c r="U83" s="53">
        <f t="shared" si="26"/>
        <v>0</v>
      </c>
      <c r="V83" s="53">
        <f t="shared" si="26"/>
        <v>0</v>
      </c>
      <c r="W83" s="53">
        <f t="shared" si="26"/>
        <v>0</v>
      </c>
      <c r="X83" s="53">
        <f t="shared" si="26"/>
        <v>0</v>
      </c>
      <c r="Y83" s="53">
        <f t="shared" si="26"/>
        <v>0</v>
      </c>
      <c r="Z83" s="53">
        <f t="shared" si="26"/>
        <v>0</v>
      </c>
      <c r="AA83" s="53">
        <f t="shared" si="26"/>
        <v>0</v>
      </c>
      <c r="AB83" s="53">
        <f t="shared" si="26"/>
        <v>0</v>
      </c>
      <c r="AC83" s="53"/>
      <c r="AD83" s="53"/>
      <c r="AE83" s="53"/>
      <c r="AF83" s="53"/>
      <c r="AG83" s="53"/>
    </row>
    <row r="84" spans="2:33" s="54" customFormat="1" outlineLevel="1" x14ac:dyDescent="0.3">
      <c r="B84" s="54" t="s">
        <v>148</v>
      </c>
      <c r="C84" s="55"/>
      <c r="D84" s="55">
        <f t="shared" ref="D84:AB84" si="27">MIN(D85,$D$72/$I$28)</f>
        <v>3052.8</v>
      </c>
      <c r="E84" s="55">
        <f t="shared" si="27"/>
        <v>3052.8</v>
      </c>
      <c r="F84" s="55">
        <f t="shared" si="27"/>
        <v>3052.8</v>
      </c>
      <c r="G84" s="55">
        <f t="shared" si="27"/>
        <v>3052.8</v>
      </c>
      <c r="H84" s="55">
        <f t="shared" si="27"/>
        <v>3052.8</v>
      </c>
      <c r="I84" s="55">
        <f t="shared" si="27"/>
        <v>3052.8</v>
      </c>
      <c r="J84" s="55">
        <f t="shared" si="27"/>
        <v>3052.8</v>
      </c>
      <c r="K84" s="55">
        <f t="shared" si="27"/>
        <v>3052.8</v>
      </c>
      <c r="L84" s="55">
        <f t="shared" si="27"/>
        <v>3052.8</v>
      </c>
      <c r="M84" s="55">
        <f t="shared" si="27"/>
        <v>3052.8</v>
      </c>
      <c r="N84" s="55">
        <f t="shared" si="27"/>
        <v>3052.8</v>
      </c>
      <c r="O84" s="55">
        <f t="shared" si="27"/>
        <v>3052.8</v>
      </c>
      <c r="P84" s="55">
        <f t="shared" si="27"/>
        <v>1526.4000000000024</v>
      </c>
      <c r="Q84" s="55">
        <f t="shared" si="27"/>
        <v>0</v>
      </c>
      <c r="R84" s="55">
        <f t="shared" si="27"/>
        <v>0</v>
      </c>
      <c r="S84" s="55">
        <f t="shared" si="27"/>
        <v>0</v>
      </c>
      <c r="T84" s="55">
        <f t="shared" si="27"/>
        <v>0</v>
      </c>
      <c r="U84" s="55">
        <f t="shared" si="27"/>
        <v>0</v>
      </c>
      <c r="V84" s="55">
        <f t="shared" si="27"/>
        <v>0</v>
      </c>
      <c r="W84" s="55">
        <f t="shared" si="27"/>
        <v>0</v>
      </c>
      <c r="X84" s="55">
        <f t="shared" si="27"/>
        <v>0</v>
      </c>
      <c r="Y84" s="55">
        <f t="shared" si="27"/>
        <v>0</v>
      </c>
      <c r="Z84" s="55">
        <f t="shared" si="27"/>
        <v>0</v>
      </c>
      <c r="AA84" s="55">
        <f t="shared" si="27"/>
        <v>0</v>
      </c>
      <c r="AB84" s="55">
        <f t="shared" si="27"/>
        <v>0</v>
      </c>
      <c r="AC84" s="55"/>
      <c r="AD84" s="55"/>
      <c r="AE84" s="55"/>
      <c r="AF84" s="55"/>
      <c r="AG84" s="55"/>
    </row>
    <row r="85" spans="2:33" s="54" customFormat="1" outlineLevel="1" x14ac:dyDescent="0.3">
      <c r="B85" s="54" t="s">
        <v>142</v>
      </c>
      <c r="C85" s="56"/>
      <c r="D85" s="56">
        <f>C127*$H$29</f>
        <v>38160</v>
      </c>
      <c r="E85" s="57">
        <f t="shared" ref="E85:AB85" si="28">D86</f>
        <v>35107.199999999997</v>
      </c>
      <c r="F85" s="57">
        <f t="shared" si="28"/>
        <v>32054.399999999998</v>
      </c>
      <c r="G85" s="57">
        <f t="shared" si="28"/>
        <v>29001.599999999999</v>
      </c>
      <c r="H85" s="57">
        <f t="shared" si="28"/>
        <v>25948.799999999999</v>
      </c>
      <c r="I85" s="57">
        <f t="shared" si="28"/>
        <v>22896</v>
      </c>
      <c r="J85" s="57">
        <f t="shared" si="28"/>
        <v>19843.2</v>
      </c>
      <c r="K85" s="57">
        <f t="shared" si="28"/>
        <v>16790.400000000001</v>
      </c>
      <c r="L85" s="57">
        <f t="shared" si="28"/>
        <v>13737.600000000002</v>
      </c>
      <c r="M85" s="57">
        <f t="shared" si="28"/>
        <v>10684.800000000003</v>
      </c>
      <c r="N85" s="57">
        <f t="shared" si="28"/>
        <v>7632.0000000000027</v>
      </c>
      <c r="O85" s="57">
        <f t="shared" si="28"/>
        <v>4579.2000000000025</v>
      </c>
      <c r="P85" s="57">
        <f t="shared" si="28"/>
        <v>1526.4000000000024</v>
      </c>
      <c r="Q85" s="57">
        <f t="shared" si="28"/>
        <v>0</v>
      </c>
      <c r="R85" s="57">
        <f t="shared" si="28"/>
        <v>0</v>
      </c>
      <c r="S85" s="57">
        <f t="shared" si="28"/>
        <v>0</v>
      </c>
      <c r="T85" s="57">
        <f t="shared" si="28"/>
        <v>0</v>
      </c>
      <c r="U85" s="57">
        <f t="shared" si="28"/>
        <v>0</v>
      </c>
      <c r="V85" s="57">
        <f t="shared" si="28"/>
        <v>0</v>
      </c>
      <c r="W85" s="57">
        <f t="shared" si="28"/>
        <v>0</v>
      </c>
      <c r="X85" s="57">
        <f t="shared" si="28"/>
        <v>0</v>
      </c>
      <c r="Y85" s="57">
        <f t="shared" si="28"/>
        <v>0</v>
      </c>
      <c r="Z85" s="57">
        <f t="shared" si="28"/>
        <v>0</v>
      </c>
      <c r="AA85" s="57">
        <f t="shared" si="28"/>
        <v>0</v>
      </c>
      <c r="AB85" s="57">
        <f t="shared" si="28"/>
        <v>0</v>
      </c>
      <c r="AC85" s="57"/>
      <c r="AD85" s="57"/>
      <c r="AE85" s="57"/>
      <c r="AF85" s="57"/>
      <c r="AG85" s="57"/>
    </row>
    <row r="86" spans="2:33" s="54" customFormat="1" outlineLevel="1" x14ac:dyDescent="0.3">
      <c r="B86" s="54" t="s">
        <v>143</v>
      </c>
      <c r="C86" s="57"/>
      <c r="D86" s="57">
        <f t="shared" ref="D86:AB86" si="29">D85-D84</f>
        <v>35107.199999999997</v>
      </c>
      <c r="E86" s="57">
        <f t="shared" si="29"/>
        <v>32054.399999999998</v>
      </c>
      <c r="F86" s="57">
        <f t="shared" si="29"/>
        <v>29001.599999999999</v>
      </c>
      <c r="G86" s="57">
        <f t="shared" si="29"/>
        <v>25948.799999999999</v>
      </c>
      <c r="H86" s="57">
        <f t="shared" si="29"/>
        <v>22896</v>
      </c>
      <c r="I86" s="57">
        <f t="shared" si="29"/>
        <v>19843.2</v>
      </c>
      <c r="J86" s="57">
        <f t="shared" si="29"/>
        <v>16790.400000000001</v>
      </c>
      <c r="K86" s="57">
        <f t="shared" si="29"/>
        <v>13737.600000000002</v>
      </c>
      <c r="L86" s="57">
        <f t="shared" si="29"/>
        <v>10684.800000000003</v>
      </c>
      <c r="M86" s="57">
        <f t="shared" si="29"/>
        <v>7632.0000000000027</v>
      </c>
      <c r="N86" s="57">
        <f t="shared" si="29"/>
        <v>4579.2000000000025</v>
      </c>
      <c r="O86" s="57">
        <f t="shared" si="29"/>
        <v>1526.4000000000024</v>
      </c>
      <c r="P86" s="57">
        <f t="shared" si="29"/>
        <v>0</v>
      </c>
      <c r="Q86" s="57">
        <f t="shared" si="29"/>
        <v>0</v>
      </c>
      <c r="R86" s="57">
        <f t="shared" si="29"/>
        <v>0</v>
      </c>
      <c r="S86" s="57">
        <f t="shared" si="29"/>
        <v>0</v>
      </c>
      <c r="T86" s="57">
        <f t="shared" si="29"/>
        <v>0</v>
      </c>
      <c r="U86" s="57">
        <f t="shared" si="29"/>
        <v>0</v>
      </c>
      <c r="V86" s="57">
        <f t="shared" si="29"/>
        <v>0</v>
      </c>
      <c r="W86" s="57">
        <f t="shared" si="29"/>
        <v>0</v>
      </c>
      <c r="X86" s="57">
        <f t="shared" si="29"/>
        <v>0</v>
      </c>
      <c r="Y86" s="57">
        <f t="shared" si="29"/>
        <v>0</v>
      </c>
      <c r="Z86" s="57">
        <f t="shared" si="29"/>
        <v>0</v>
      </c>
      <c r="AA86" s="57">
        <f t="shared" si="29"/>
        <v>0</v>
      </c>
      <c r="AB86" s="57">
        <f t="shared" si="29"/>
        <v>0</v>
      </c>
      <c r="AC86" s="57"/>
      <c r="AD86" s="57"/>
      <c r="AE86" s="57"/>
      <c r="AF86" s="57"/>
      <c r="AG86" s="57"/>
    </row>
    <row r="87" spans="2:33" s="54" customFormat="1" outlineLevel="1" x14ac:dyDescent="0.3">
      <c r="B87" s="58" t="s">
        <v>149</v>
      </c>
      <c r="C87" s="57"/>
      <c r="D87" s="57">
        <f t="shared" ref="D87:AB87" si="30">IF(D88&gt;0,MIN(D88,$H$11/$I$30),0)</f>
        <v>0</v>
      </c>
      <c r="E87" s="57">
        <f t="shared" si="30"/>
        <v>0</v>
      </c>
      <c r="F87" s="57">
        <f t="shared" si="30"/>
        <v>0</v>
      </c>
      <c r="G87" s="57">
        <f t="shared" si="30"/>
        <v>0</v>
      </c>
      <c r="H87" s="57">
        <f t="shared" si="30"/>
        <v>0</v>
      </c>
      <c r="I87" s="57">
        <f t="shared" si="30"/>
        <v>0</v>
      </c>
      <c r="J87" s="57">
        <f t="shared" si="30"/>
        <v>0</v>
      </c>
      <c r="K87" s="57">
        <f t="shared" si="30"/>
        <v>0</v>
      </c>
      <c r="L87" s="57">
        <f t="shared" si="30"/>
        <v>0</v>
      </c>
      <c r="M87" s="57">
        <f t="shared" si="30"/>
        <v>0</v>
      </c>
      <c r="N87" s="57">
        <f t="shared" si="30"/>
        <v>0</v>
      </c>
      <c r="O87" s="57">
        <f t="shared" si="30"/>
        <v>0</v>
      </c>
      <c r="P87" s="57">
        <f t="shared" si="30"/>
        <v>0</v>
      </c>
      <c r="Q87" s="57">
        <f t="shared" si="30"/>
        <v>0</v>
      </c>
      <c r="R87" s="57">
        <f t="shared" si="30"/>
        <v>0</v>
      </c>
      <c r="S87" s="57">
        <f t="shared" si="30"/>
        <v>0</v>
      </c>
      <c r="T87" s="57">
        <f t="shared" si="30"/>
        <v>0</v>
      </c>
      <c r="U87" s="57">
        <f t="shared" si="30"/>
        <v>0</v>
      </c>
      <c r="V87" s="57">
        <f t="shared" si="30"/>
        <v>0</v>
      </c>
      <c r="W87" s="57">
        <f t="shared" si="30"/>
        <v>0</v>
      </c>
      <c r="X87" s="57">
        <f t="shared" si="30"/>
        <v>0</v>
      </c>
      <c r="Y87" s="57">
        <f t="shared" si="30"/>
        <v>0</v>
      </c>
      <c r="Z87" s="57">
        <f t="shared" si="30"/>
        <v>0</v>
      </c>
      <c r="AA87" s="57">
        <f t="shared" si="30"/>
        <v>0</v>
      </c>
      <c r="AB87" s="57">
        <f t="shared" si="30"/>
        <v>0</v>
      </c>
      <c r="AC87" s="57"/>
      <c r="AD87" s="57"/>
      <c r="AE87" s="57"/>
      <c r="AF87" s="57"/>
      <c r="AG87" s="57"/>
    </row>
    <row r="88" spans="2:33" s="54" customFormat="1" outlineLevel="1" x14ac:dyDescent="0.3">
      <c r="B88" s="54" t="s">
        <v>142</v>
      </c>
      <c r="C88" s="57"/>
      <c r="D88" s="57">
        <f t="shared" ref="D88:AB88" si="31">IF(D135&gt;0,D135*$I$31,C89)</f>
        <v>0</v>
      </c>
      <c r="E88" s="57">
        <f t="shared" si="31"/>
        <v>0</v>
      </c>
      <c r="F88" s="57">
        <f t="shared" si="31"/>
        <v>0</v>
      </c>
      <c r="G88" s="57">
        <f t="shared" si="31"/>
        <v>0</v>
      </c>
      <c r="H88" s="57">
        <f t="shared" si="31"/>
        <v>0</v>
      </c>
      <c r="I88" s="57">
        <f t="shared" si="31"/>
        <v>0</v>
      </c>
      <c r="J88" s="57">
        <f t="shared" si="31"/>
        <v>0</v>
      </c>
      <c r="K88" s="57">
        <f t="shared" si="31"/>
        <v>0</v>
      </c>
      <c r="L88" s="57">
        <f t="shared" si="31"/>
        <v>0</v>
      </c>
      <c r="M88" s="57">
        <f t="shared" si="31"/>
        <v>0</v>
      </c>
      <c r="N88" s="57">
        <f t="shared" si="31"/>
        <v>0</v>
      </c>
      <c r="O88" s="57">
        <f t="shared" si="31"/>
        <v>0</v>
      </c>
      <c r="P88" s="57">
        <f t="shared" si="31"/>
        <v>0</v>
      </c>
      <c r="Q88" s="57">
        <f t="shared" si="31"/>
        <v>0</v>
      </c>
      <c r="R88" s="57">
        <f t="shared" si="31"/>
        <v>0</v>
      </c>
      <c r="S88" s="57">
        <f t="shared" si="31"/>
        <v>0</v>
      </c>
      <c r="T88" s="57">
        <f t="shared" si="31"/>
        <v>0</v>
      </c>
      <c r="U88" s="57">
        <f t="shared" si="31"/>
        <v>0</v>
      </c>
      <c r="V88" s="57">
        <f t="shared" si="31"/>
        <v>0</v>
      </c>
      <c r="W88" s="57">
        <f t="shared" si="31"/>
        <v>0</v>
      </c>
      <c r="X88" s="57">
        <f t="shared" si="31"/>
        <v>0</v>
      </c>
      <c r="Y88" s="57">
        <f t="shared" si="31"/>
        <v>0</v>
      </c>
      <c r="Z88" s="57">
        <f t="shared" si="31"/>
        <v>0</v>
      </c>
      <c r="AA88" s="57">
        <f t="shared" si="31"/>
        <v>0</v>
      </c>
      <c r="AB88" s="57">
        <f t="shared" si="31"/>
        <v>0</v>
      </c>
      <c r="AC88" s="57"/>
      <c r="AD88" s="57"/>
      <c r="AE88" s="57"/>
      <c r="AF88" s="57"/>
      <c r="AG88" s="57"/>
    </row>
    <row r="89" spans="2:33" s="54" customFormat="1" outlineLevel="1" x14ac:dyDescent="0.3">
      <c r="B89" s="54" t="s">
        <v>143</v>
      </c>
      <c r="C89" s="57"/>
      <c r="D89" s="57">
        <f t="shared" ref="D89:AB89" si="32">D88-D87</f>
        <v>0</v>
      </c>
      <c r="E89" s="57">
        <f t="shared" si="32"/>
        <v>0</v>
      </c>
      <c r="F89" s="57">
        <f t="shared" si="32"/>
        <v>0</v>
      </c>
      <c r="G89" s="57">
        <f t="shared" si="32"/>
        <v>0</v>
      </c>
      <c r="H89" s="57">
        <f t="shared" si="32"/>
        <v>0</v>
      </c>
      <c r="I89" s="57">
        <f t="shared" si="32"/>
        <v>0</v>
      </c>
      <c r="J89" s="57">
        <f t="shared" si="32"/>
        <v>0</v>
      </c>
      <c r="K89" s="57">
        <f t="shared" si="32"/>
        <v>0</v>
      </c>
      <c r="L89" s="57">
        <f t="shared" si="32"/>
        <v>0</v>
      </c>
      <c r="M89" s="57">
        <f t="shared" si="32"/>
        <v>0</v>
      </c>
      <c r="N89" s="57">
        <f t="shared" si="32"/>
        <v>0</v>
      </c>
      <c r="O89" s="57">
        <f t="shared" si="32"/>
        <v>0</v>
      </c>
      <c r="P89" s="57">
        <f t="shared" si="32"/>
        <v>0</v>
      </c>
      <c r="Q89" s="57">
        <f t="shared" si="32"/>
        <v>0</v>
      </c>
      <c r="R89" s="57">
        <f t="shared" si="32"/>
        <v>0</v>
      </c>
      <c r="S89" s="57">
        <f t="shared" si="32"/>
        <v>0</v>
      </c>
      <c r="T89" s="57">
        <f t="shared" si="32"/>
        <v>0</v>
      </c>
      <c r="U89" s="57">
        <f t="shared" si="32"/>
        <v>0</v>
      </c>
      <c r="V89" s="57">
        <f t="shared" si="32"/>
        <v>0</v>
      </c>
      <c r="W89" s="57">
        <f t="shared" si="32"/>
        <v>0</v>
      </c>
      <c r="X89" s="57">
        <f t="shared" si="32"/>
        <v>0</v>
      </c>
      <c r="Y89" s="57">
        <f t="shared" si="32"/>
        <v>0</v>
      </c>
      <c r="Z89" s="57">
        <f t="shared" si="32"/>
        <v>0</v>
      </c>
      <c r="AA89" s="57">
        <f t="shared" si="32"/>
        <v>0</v>
      </c>
      <c r="AB89" s="57">
        <f t="shared" si="32"/>
        <v>0</v>
      </c>
      <c r="AC89" s="57"/>
      <c r="AD89" s="57"/>
      <c r="AE89" s="57"/>
      <c r="AF89" s="57"/>
      <c r="AG89" s="57"/>
    </row>
    <row r="90" spans="2:33" s="54" customFormat="1" outlineLevel="1" x14ac:dyDescent="0.3">
      <c r="B90" s="58" t="s">
        <v>150</v>
      </c>
      <c r="C90" s="57"/>
      <c r="D90" s="57">
        <f t="shared" ref="D90:AB90" si="33">IF(D92&gt;0,MIN(D92,$H$13/$I$30),0)</f>
        <v>0</v>
      </c>
      <c r="E90" s="57">
        <f t="shared" si="33"/>
        <v>0</v>
      </c>
      <c r="F90" s="57">
        <f t="shared" si="33"/>
        <v>0</v>
      </c>
      <c r="G90" s="57">
        <f t="shared" si="33"/>
        <v>0</v>
      </c>
      <c r="H90" s="57">
        <f t="shared" si="33"/>
        <v>0</v>
      </c>
      <c r="I90" s="57">
        <f t="shared" si="33"/>
        <v>0</v>
      </c>
      <c r="J90" s="57">
        <f t="shared" si="33"/>
        <v>0</v>
      </c>
      <c r="K90" s="57">
        <f t="shared" si="33"/>
        <v>0</v>
      </c>
      <c r="L90" s="57">
        <f t="shared" si="33"/>
        <v>0</v>
      </c>
      <c r="M90" s="57">
        <f t="shared" si="33"/>
        <v>0</v>
      </c>
      <c r="N90" s="57">
        <f t="shared" si="33"/>
        <v>0</v>
      </c>
      <c r="O90" s="57">
        <f t="shared" si="33"/>
        <v>0</v>
      </c>
      <c r="P90" s="57">
        <f t="shared" si="33"/>
        <v>0</v>
      </c>
      <c r="Q90" s="57">
        <f t="shared" si="33"/>
        <v>0</v>
      </c>
      <c r="R90" s="57">
        <f t="shared" si="33"/>
        <v>0</v>
      </c>
      <c r="S90" s="57">
        <f t="shared" si="33"/>
        <v>0</v>
      </c>
      <c r="T90" s="57">
        <f t="shared" si="33"/>
        <v>0</v>
      </c>
      <c r="U90" s="57">
        <f t="shared" si="33"/>
        <v>0</v>
      </c>
      <c r="V90" s="57">
        <f t="shared" si="33"/>
        <v>0</v>
      </c>
      <c r="W90" s="57">
        <f t="shared" si="33"/>
        <v>0</v>
      </c>
      <c r="X90" s="57">
        <f t="shared" si="33"/>
        <v>0</v>
      </c>
      <c r="Y90" s="57">
        <f t="shared" si="33"/>
        <v>0</v>
      </c>
      <c r="Z90" s="57">
        <f t="shared" si="33"/>
        <v>0</v>
      </c>
      <c r="AA90" s="57">
        <f t="shared" si="33"/>
        <v>0</v>
      </c>
      <c r="AB90" s="57">
        <f t="shared" si="33"/>
        <v>0</v>
      </c>
      <c r="AC90" s="57"/>
      <c r="AD90" s="57"/>
      <c r="AE90" s="57"/>
      <c r="AF90" s="57"/>
      <c r="AG90" s="57"/>
    </row>
    <row r="91" spans="2:33" s="54" customFormat="1" outlineLevel="1" x14ac:dyDescent="0.3">
      <c r="B91" s="58" t="s">
        <v>146</v>
      </c>
      <c r="C91" s="57"/>
      <c r="D91" s="57">
        <f t="shared" ref="D91:AB91" si="34">IF(D$42=$H$14,$H$13,0)</f>
        <v>0</v>
      </c>
      <c r="E91" s="57">
        <f t="shared" si="34"/>
        <v>0</v>
      </c>
      <c r="F91" s="57">
        <f t="shared" si="34"/>
        <v>0</v>
      </c>
      <c r="G91" s="57">
        <f t="shared" si="34"/>
        <v>0</v>
      </c>
      <c r="H91" s="57">
        <f t="shared" si="34"/>
        <v>0</v>
      </c>
      <c r="I91" s="57">
        <f t="shared" si="34"/>
        <v>0</v>
      </c>
      <c r="J91" s="57">
        <f t="shared" si="34"/>
        <v>0</v>
      </c>
      <c r="K91" s="57">
        <f t="shared" si="34"/>
        <v>0</v>
      </c>
      <c r="L91" s="57">
        <f t="shared" si="34"/>
        <v>0</v>
      </c>
      <c r="M91" s="57">
        <f t="shared" si="34"/>
        <v>0</v>
      </c>
      <c r="N91" s="57">
        <f t="shared" si="34"/>
        <v>0</v>
      </c>
      <c r="O91" s="57">
        <f t="shared" si="34"/>
        <v>0</v>
      </c>
      <c r="P91" s="57">
        <f t="shared" si="34"/>
        <v>0</v>
      </c>
      <c r="Q91" s="57">
        <f t="shared" si="34"/>
        <v>0</v>
      </c>
      <c r="R91" s="57">
        <f t="shared" si="34"/>
        <v>0</v>
      </c>
      <c r="S91" s="57">
        <f t="shared" si="34"/>
        <v>0</v>
      </c>
      <c r="T91" s="57">
        <f t="shared" si="34"/>
        <v>0</v>
      </c>
      <c r="U91" s="57">
        <f t="shared" si="34"/>
        <v>0</v>
      </c>
      <c r="V91" s="57">
        <f t="shared" si="34"/>
        <v>0</v>
      </c>
      <c r="W91" s="57">
        <f t="shared" si="34"/>
        <v>0</v>
      </c>
      <c r="X91" s="57">
        <f t="shared" si="34"/>
        <v>0</v>
      </c>
      <c r="Y91" s="57">
        <f t="shared" si="34"/>
        <v>0</v>
      </c>
      <c r="Z91" s="57">
        <f t="shared" si="34"/>
        <v>0</v>
      </c>
      <c r="AA91" s="57">
        <f t="shared" si="34"/>
        <v>0</v>
      </c>
      <c r="AB91" s="57">
        <f t="shared" si="34"/>
        <v>0</v>
      </c>
      <c r="AC91" s="57"/>
      <c r="AD91" s="57"/>
      <c r="AE91" s="57"/>
      <c r="AF91" s="57"/>
      <c r="AG91" s="57"/>
    </row>
    <row r="92" spans="2:33" s="54" customFormat="1" outlineLevel="1" x14ac:dyDescent="0.3">
      <c r="B92" s="54" t="s">
        <v>142</v>
      </c>
      <c r="C92" s="57"/>
      <c r="D92" s="57">
        <f t="shared" ref="D92:AB92" si="35">IF(D91&gt;0,D91*$I$31,C93)</f>
        <v>0</v>
      </c>
      <c r="E92" s="57">
        <f t="shared" si="35"/>
        <v>0</v>
      </c>
      <c r="F92" s="57">
        <f t="shared" si="35"/>
        <v>0</v>
      </c>
      <c r="G92" s="57">
        <f t="shared" si="35"/>
        <v>0</v>
      </c>
      <c r="H92" s="57">
        <f t="shared" si="35"/>
        <v>0</v>
      </c>
      <c r="I92" s="57">
        <f t="shared" si="35"/>
        <v>0</v>
      </c>
      <c r="J92" s="57">
        <f t="shared" si="35"/>
        <v>0</v>
      </c>
      <c r="K92" s="57">
        <f t="shared" si="35"/>
        <v>0</v>
      </c>
      <c r="L92" s="57">
        <f t="shared" si="35"/>
        <v>0</v>
      </c>
      <c r="M92" s="57">
        <f t="shared" si="35"/>
        <v>0</v>
      </c>
      <c r="N92" s="57">
        <f t="shared" si="35"/>
        <v>0</v>
      </c>
      <c r="O92" s="57">
        <f t="shared" si="35"/>
        <v>0</v>
      </c>
      <c r="P92" s="57">
        <f t="shared" si="35"/>
        <v>0</v>
      </c>
      <c r="Q92" s="57">
        <f t="shared" si="35"/>
        <v>0</v>
      </c>
      <c r="R92" s="57">
        <f t="shared" si="35"/>
        <v>0</v>
      </c>
      <c r="S92" s="57">
        <f t="shared" si="35"/>
        <v>0</v>
      </c>
      <c r="T92" s="57">
        <f t="shared" si="35"/>
        <v>0</v>
      </c>
      <c r="U92" s="57">
        <f t="shared" si="35"/>
        <v>0</v>
      </c>
      <c r="V92" s="57">
        <f t="shared" si="35"/>
        <v>0</v>
      </c>
      <c r="W92" s="57">
        <f t="shared" si="35"/>
        <v>0</v>
      </c>
      <c r="X92" s="57">
        <f t="shared" si="35"/>
        <v>0</v>
      </c>
      <c r="Y92" s="57">
        <f t="shared" si="35"/>
        <v>0</v>
      </c>
      <c r="Z92" s="57">
        <f t="shared" si="35"/>
        <v>0</v>
      </c>
      <c r="AA92" s="57">
        <f t="shared" si="35"/>
        <v>0</v>
      </c>
      <c r="AB92" s="57">
        <f t="shared" si="35"/>
        <v>0</v>
      </c>
      <c r="AC92" s="57"/>
      <c r="AD92" s="57"/>
      <c r="AE92" s="57"/>
      <c r="AF92" s="57"/>
      <c r="AG92" s="57"/>
    </row>
    <row r="93" spans="2:33" s="54" customFormat="1" outlineLevel="1" x14ac:dyDescent="0.3">
      <c r="B93" s="54" t="s">
        <v>143</v>
      </c>
      <c r="C93" s="57"/>
      <c r="D93" s="57">
        <f t="shared" ref="D93:AB93" si="36">D92-D90</f>
        <v>0</v>
      </c>
      <c r="E93" s="57">
        <f t="shared" si="36"/>
        <v>0</v>
      </c>
      <c r="F93" s="57">
        <f t="shared" si="36"/>
        <v>0</v>
      </c>
      <c r="G93" s="57">
        <f t="shared" si="36"/>
        <v>0</v>
      </c>
      <c r="H93" s="57">
        <f t="shared" si="36"/>
        <v>0</v>
      </c>
      <c r="I93" s="57">
        <f t="shared" si="36"/>
        <v>0</v>
      </c>
      <c r="J93" s="57">
        <f t="shared" si="36"/>
        <v>0</v>
      </c>
      <c r="K93" s="57">
        <f t="shared" si="36"/>
        <v>0</v>
      </c>
      <c r="L93" s="57">
        <f t="shared" si="36"/>
        <v>0</v>
      </c>
      <c r="M93" s="57">
        <f t="shared" si="36"/>
        <v>0</v>
      </c>
      <c r="N93" s="57">
        <f t="shared" si="36"/>
        <v>0</v>
      </c>
      <c r="O93" s="57">
        <f t="shared" si="36"/>
        <v>0</v>
      </c>
      <c r="P93" s="57">
        <f t="shared" si="36"/>
        <v>0</v>
      </c>
      <c r="Q93" s="57">
        <f t="shared" si="36"/>
        <v>0</v>
      </c>
      <c r="R93" s="57">
        <f t="shared" si="36"/>
        <v>0</v>
      </c>
      <c r="S93" s="57">
        <f t="shared" si="36"/>
        <v>0</v>
      </c>
      <c r="T93" s="57">
        <f t="shared" si="36"/>
        <v>0</v>
      </c>
      <c r="U93" s="57">
        <f t="shared" si="36"/>
        <v>0</v>
      </c>
      <c r="V93" s="57">
        <f t="shared" si="36"/>
        <v>0</v>
      </c>
      <c r="W93" s="57">
        <f t="shared" si="36"/>
        <v>0</v>
      </c>
      <c r="X93" s="57">
        <f t="shared" si="36"/>
        <v>0</v>
      </c>
      <c r="Y93" s="57">
        <f t="shared" si="36"/>
        <v>0</v>
      </c>
      <c r="Z93" s="57">
        <f t="shared" si="36"/>
        <v>0</v>
      </c>
      <c r="AA93" s="57">
        <f t="shared" si="36"/>
        <v>0</v>
      </c>
      <c r="AB93" s="57">
        <f t="shared" si="36"/>
        <v>0</v>
      </c>
      <c r="AC93" s="57"/>
      <c r="AD93" s="57"/>
      <c r="AE93" s="57"/>
      <c r="AF93" s="57"/>
      <c r="AG93" s="57"/>
    </row>
    <row r="94" spans="2:33" s="3" customFormat="1" x14ac:dyDescent="0.3">
      <c r="B94" s="3" t="s">
        <v>151</v>
      </c>
      <c r="C94" s="61"/>
      <c r="D94" s="61">
        <f t="shared" ref="D94:AB94" si="37">D67-D70</f>
        <v>-2725.9407088113626</v>
      </c>
      <c r="E94" s="61">
        <f t="shared" si="37"/>
        <v>-2398.1922703989899</v>
      </c>
      <c r="F94" s="61">
        <f t="shared" si="37"/>
        <v>-2068.6236965231697</v>
      </c>
      <c r="G94" s="61">
        <f t="shared" si="37"/>
        <v>-1414.1352066103186</v>
      </c>
      <c r="H94" s="61">
        <f t="shared" si="37"/>
        <v>-1072.7513446649796</v>
      </c>
      <c r="I94" s="61">
        <f t="shared" si="37"/>
        <v>-729.24596748406157</v>
      </c>
      <c r="J94" s="61">
        <f t="shared" si="37"/>
        <v>-383.57973267776606</v>
      </c>
      <c r="K94" s="61">
        <f t="shared" si="37"/>
        <v>-35.712586494445986</v>
      </c>
      <c r="L94" s="61">
        <f t="shared" si="37"/>
        <v>314.39624855352349</v>
      </c>
      <c r="M94" s="61">
        <f t="shared" si="37"/>
        <v>666.78828626568747</v>
      </c>
      <c r="N94" s="61">
        <f t="shared" si="37"/>
        <v>1501.5057895341838</v>
      </c>
      <c r="O94" s="61">
        <f t="shared" si="37"/>
        <v>1858.5917833321168</v>
      </c>
      <c r="P94" s="61">
        <f t="shared" si="37"/>
        <v>2218.0900679125557</v>
      </c>
      <c r="Q94" s="61">
        <f t="shared" si="37"/>
        <v>2580.0452322211972</v>
      </c>
      <c r="R94" s="61">
        <f t="shared" si="37"/>
        <v>2944.5026675256972</v>
      </c>
      <c r="S94" s="61">
        <f t="shared" si="37"/>
        <v>5855.5085812647285</v>
      </c>
      <c r="T94" s="61">
        <f t="shared" si="37"/>
        <v>5996.1500111198693</v>
      </c>
      <c r="U94" s="61">
        <f t="shared" si="37"/>
        <v>6139.4348393134442</v>
      </c>
      <c r="V94" s="61">
        <f t="shared" si="37"/>
        <v>6285.4118071354333</v>
      </c>
      <c r="W94" s="61">
        <f t="shared" si="37"/>
        <v>6434.1305297026483</v>
      </c>
      <c r="X94" s="61">
        <f t="shared" si="37"/>
        <v>0</v>
      </c>
      <c r="Y94" s="61">
        <f t="shared" si="37"/>
        <v>0</v>
      </c>
      <c r="Z94" s="61">
        <f t="shared" si="37"/>
        <v>0</v>
      </c>
      <c r="AA94" s="61">
        <f t="shared" si="37"/>
        <v>0</v>
      </c>
      <c r="AB94" s="61">
        <f t="shared" si="37"/>
        <v>0</v>
      </c>
      <c r="AC94" s="61"/>
      <c r="AD94" s="61"/>
      <c r="AE94" s="61"/>
      <c r="AF94" s="61"/>
      <c r="AG94" s="61"/>
    </row>
    <row r="95" spans="2:33" s="59" customFormat="1" x14ac:dyDescent="0.3">
      <c r="B95" s="59" t="s">
        <v>152</v>
      </c>
      <c r="C95" s="60"/>
      <c r="D95" s="60">
        <f>D94</f>
        <v>-2725.9407088113626</v>
      </c>
      <c r="E95" s="60">
        <f t="shared" ref="E95:AB95" si="38">(D95+E94)*(E42&lt;=$C$19)</f>
        <v>-5124.1329792103525</v>
      </c>
      <c r="F95" s="60">
        <f t="shared" si="38"/>
        <v>-7192.7566757335226</v>
      </c>
      <c r="G95" s="60">
        <f t="shared" si="38"/>
        <v>-8606.8918823438416</v>
      </c>
      <c r="H95" s="60">
        <f t="shared" si="38"/>
        <v>-9679.6432270088208</v>
      </c>
      <c r="I95" s="60">
        <f t="shared" si="38"/>
        <v>-10408.889194492882</v>
      </c>
      <c r="J95" s="60">
        <f t="shared" si="38"/>
        <v>-10792.468927170648</v>
      </c>
      <c r="K95" s="60">
        <f t="shared" si="38"/>
        <v>-10828.181513665095</v>
      </c>
      <c r="L95" s="60">
        <f t="shared" si="38"/>
        <v>-10513.785265111572</v>
      </c>
      <c r="M95" s="60">
        <f t="shared" si="38"/>
        <v>-9846.9969788458839</v>
      </c>
      <c r="N95" s="60">
        <f t="shared" si="38"/>
        <v>-8345.4911893117005</v>
      </c>
      <c r="O95" s="60">
        <f t="shared" si="38"/>
        <v>-6486.8994059795841</v>
      </c>
      <c r="P95" s="60">
        <f t="shared" si="38"/>
        <v>-4268.8093380670289</v>
      </c>
      <c r="Q95" s="60">
        <f t="shared" si="38"/>
        <v>-1688.7641058458316</v>
      </c>
      <c r="R95" s="60">
        <f t="shared" si="38"/>
        <v>1255.7385616798656</v>
      </c>
      <c r="S95" s="60">
        <f t="shared" si="38"/>
        <v>7111.2471429445941</v>
      </c>
      <c r="T95" s="60">
        <f t="shared" si="38"/>
        <v>13107.397154064463</v>
      </c>
      <c r="U95" s="60">
        <f t="shared" si="38"/>
        <v>19246.831993377906</v>
      </c>
      <c r="V95" s="60">
        <f t="shared" si="38"/>
        <v>25532.243800513337</v>
      </c>
      <c r="W95" s="60">
        <f t="shared" si="38"/>
        <v>31966.374330215986</v>
      </c>
      <c r="X95" s="60">
        <f t="shared" si="38"/>
        <v>0</v>
      </c>
      <c r="Y95" s="60">
        <f t="shared" si="38"/>
        <v>0</v>
      </c>
      <c r="Z95" s="60">
        <f t="shared" si="38"/>
        <v>0</v>
      </c>
      <c r="AA95" s="60">
        <f t="shared" si="38"/>
        <v>0</v>
      </c>
      <c r="AB95" s="60">
        <f t="shared" si="38"/>
        <v>0</v>
      </c>
      <c r="AC95" s="60"/>
      <c r="AD95" s="60"/>
      <c r="AE95" s="60"/>
      <c r="AF95" s="60"/>
      <c r="AG95" s="60"/>
    </row>
    <row r="96" spans="2:33" s="59" customFormat="1" x14ac:dyDescent="0.3">
      <c r="B96" s="59" t="s">
        <v>153</v>
      </c>
      <c r="C96" s="60"/>
      <c r="D96" s="60">
        <f t="shared" ref="D96:AB96" si="39">IF((C95+D94)&lt;0,0,(D94+MIN(0,C95))*$H$32)</f>
        <v>0</v>
      </c>
      <c r="E96" s="60">
        <f t="shared" si="39"/>
        <v>0</v>
      </c>
      <c r="F96" s="60">
        <f t="shared" si="39"/>
        <v>0</v>
      </c>
      <c r="G96" s="60">
        <f t="shared" si="39"/>
        <v>0</v>
      </c>
      <c r="H96" s="60">
        <f t="shared" si="39"/>
        <v>0</v>
      </c>
      <c r="I96" s="60">
        <f t="shared" si="39"/>
        <v>0</v>
      </c>
      <c r="J96" s="60">
        <f t="shared" si="39"/>
        <v>0</v>
      </c>
      <c r="K96" s="60">
        <f t="shared" si="39"/>
        <v>0</v>
      </c>
      <c r="L96" s="60">
        <f t="shared" si="39"/>
        <v>0</v>
      </c>
      <c r="M96" s="60">
        <f t="shared" si="39"/>
        <v>0</v>
      </c>
      <c r="N96" s="60">
        <f t="shared" si="39"/>
        <v>0</v>
      </c>
      <c r="O96" s="60">
        <f t="shared" si="39"/>
        <v>0</v>
      </c>
      <c r="P96" s="60">
        <f t="shared" si="39"/>
        <v>0</v>
      </c>
      <c r="Q96" s="60">
        <f t="shared" si="39"/>
        <v>0</v>
      </c>
      <c r="R96" s="60">
        <f t="shared" si="39"/>
        <v>313.9346404199664</v>
      </c>
      <c r="S96" s="60">
        <f t="shared" si="39"/>
        <v>1463.8771453161821</v>
      </c>
      <c r="T96" s="60">
        <f t="shared" si="39"/>
        <v>1499.0375027799673</v>
      </c>
      <c r="U96" s="60">
        <f t="shared" si="39"/>
        <v>1534.858709828361</v>
      </c>
      <c r="V96" s="60">
        <f t="shared" si="39"/>
        <v>1571.3529517838583</v>
      </c>
      <c r="W96" s="60">
        <f t="shared" si="39"/>
        <v>1608.5326324256621</v>
      </c>
      <c r="X96" s="60">
        <f t="shared" si="39"/>
        <v>0</v>
      </c>
      <c r="Y96" s="60">
        <f t="shared" si="39"/>
        <v>0</v>
      </c>
      <c r="Z96" s="60">
        <f t="shared" si="39"/>
        <v>0</v>
      </c>
      <c r="AA96" s="60">
        <f t="shared" si="39"/>
        <v>0</v>
      </c>
      <c r="AB96" s="60">
        <f t="shared" si="39"/>
        <v>0</v>
      </c>
      <c r="AC96" s="60"/>
      <c r="AD96" s="60"/>
      <c r="AE96" s="60"/>
      <c r="AF96" s="60"/>
      <c r="AG96" s="60"/>
    </row>
    <row r="97" spans="2:33" x14ac:dyDescent="0.3">
      <c r="C97" s="52"/>
      <c r="D97" s="52">
        <f t="shared" ref="D97:AB97" si="40">IF(ISERR(D94/D52),"n/a",D94/D52)</f>
        <v>-0.42745241812125323</v>
      </c>
      <c r="E97" s="52">
        <f t="shared" si="40"/>
        <v>-0.36872995942807441</v>
      </c>
      <c r="F97" s="52">
        <f t="shared" si="40"/>
        <v>-0.31185949831295567</v>
      </c>
      <c r="G97" s="52">
        <f t="shared" si="40"/>
        <v>-0.20903618423908069</v>
      </c>
      <c r="H97" s="52">
        <f t="shared" si="40"/>
        <v>-0.15548290844677456</v>
      </c>
      <c r="I97" s="52">
        <f t="shared" si="40"/>
        <v>-0.10363600862098851</v>
      </c>
      <c r="J97" s="52">
        <f t="shared" si="40"/>
        <v>-5.3449709382187301E-2</v>
      </c>
      <c r="K97" s="52">
        <f t="shared" si="40"/>
        <v>-4.8793734094893688E-3</v>
      </c>
      <c r="L97" s="52">
        <f t="shared" si="40"/>
        <v>4.2118525521549009E-2</v>
      </c>
      <c r="M97" s="52">
        <f t="shared" si="40"/>
        <v>8.7586428882435299E-2</v>
      </c>
      <c r="N97" s="52">
        <f t="shared" si="40"/>
        <v>0.19338773309215737</v>
      </c>
      <c r="O97" s="52">
        <f t="shared" si="40"/>
        <v>0.23471399104947066</v>
      </c>
      <c r="P97" s="52">
        <f t="shared" si="40"/>
        <v>0.27465480190863828</v>
      </c>
      <c r="Q97" s="52">
        <f t="shared" si="40"/>
        <v>0.31324806213507872</v>
      </c>
      <c r="R97" s="52">
        <f t="shared" si="40"/>
        <v>0.35053071526944551</v>
      </c>
      <c r="S97" s="52">
        <f t="shared" si="40"/>
        <v>0.68348942981868377</v>
      </c>
      <c r="T97" s="52">
        <f t="shared" si="40"/>
        <v>0.68626638106772031</v>
      </c>
      <c r="U97" s="52">
        <f t="shared" si="40"/>
        <v>0.68897217523838228</v>
      </c>
      <c r="V97" s="52">
        <f t="shared" si="40"/>
        <v>0.69160811338537587</v>
      </c>
      <c r="W97" s="52">
        <f t="shared" si="40"/>
        <v>0.69417547077855413</v>
      </c>
      <c r="X97" s="52" t="str">
        <f t="shared" si="40"/>
        <v>n/a</v>
      </c>
      <c r="Y97" s="52" t="str">
        <f t="shared" si="40"/>
        <v>n/a</v>
      </c>
      <c r="Z97" s="52" t="str">
        <f t="shared" si="40"/>
        <v>n/a</v>
      </c>
      <c r="AA97" s="52" t="str">
        <f t="shared" si="40"/>
        <v>n/a</v>
      </c>
      <c r="AB97" s="52" t="str">
        <f t="shared" si="40"/>
        <v>n/a</v>
      </c>
      <c r="AC97" s="52"/>
      <c r="AD97" s="52"/>
      <c r="AE97" s="52"/>
      <c r="AF97" s="52"/>
      <c r="AG97" s="52"/>
    </row>
    <row r="99" spans="2:33" s="151" customFormat="1" x14ac:dyDescent="0.3">
      <c r="B99" s="151" t="s">
        <v>154</v>
      </c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</row>
    <row r="100" spans="2:33" x14ac:dyDescent="0.3">
      <c r="B100" t="s">
        <v>155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</row>
    <row r="101" spans="2:33" s="3" customFormat="1" x14ac:dyDescent="0.3">
      <c r="B101" s="3" t="s">
        <v>156</v>
      </c>
      <c r="D101" s="61">
        <f t="shared" ref="D101:AB101" si="41">D94-D99+D100</f>
        <v>-2725.9407088113626</v>
      </c>
      <c r="E101" s="61">
        <f t="shared" si="41"/>
        <v>-2398.1922703989899</v>
      </c>
      <c r="F101" s="61">
        <f t="shared" si="41"/>
        <v>-2068.6236965231697</v>
      </c>
      <c r="G101" s="61">
        <f t="shared" si="41"/>
        <v>-1414.1352066103186</v>
      </c>
      <c r="H101" s="61">
        <f t="shared" si="41"/>
        <v>-1072.7513446649796</v>
      </c>
      <c r="I101" s="61">
        <f t="shared" si="41"/>
        <v>-729.24596748406157</v>
      </c>
      <c r="J101" s="61">
        <f t="shared" si="41"/>
        <v>-383.57973267776606</v>
      </c>
      <c r="K101" s="61">
        <f t="shared" si="41"/>
        <v>-35.712586494445986</v>
      </c>
      <c r="L101" s="61">
        <f t="shared" si="41"/>
        <v>314.39624855352349</v>
      </c>
      <c r="M101" s="61">
        <f t="shared" si="41"/>
        <v>666.78828626568747</v>
      </c>
      <c r="N101" s="61">
        <f t="shared" si="41"/>
        <v>1501.5057895341838</v>
      </c>
      <c r="O101" s="61">
        <f t="shared" si="41"/>
        <v>1858.5917833321168</v>
      </c>
      <c r="P101" s="61">
        <f t="shared" si="41"/>
        <v>2218.0900679125557</v>
      </c>
      <c r="Q101" s="61">
        <f t="shared" si="41"/>
        <v>2580.0452322211972</v>
      </c>
      <c r="R101" s="61">
        <f t="shared" si="41"/>
        <v>2944.5026675256972</v>
      </c>
      <c r="S101" s="61">
        <f t="shared" si="41"/>
        <v>5855.5085812647285</v>
      </c>
      <c r="T101" s="61">
        <f t="shared" si="41"/>
        <v>5996.1500111198693</v>
      </c>
      <c r="U101" s="61">
        <f t="shared" si="41"/>
        <v>6139.4348393134442</v>
      </c>
      <c r="V101" s="61">
        <f t="shared" si="41"/>
        <v>6285.4118071354333</v>
      </c>
      <c r="W101" s="61">
        <f t="shared" si="41"/>
        <v>6434.1305297026483</v>
      </c>
      <c r="X101" s="61">
        <f t="shared" si="41"/>
        <v>0</v>
      </c>
      <c r="Y101" s="61">
        <f t="shared" si="41"/>
        <v>0</v>
      </c>
      <c r="Z101" s="61">
        <f t="shared" si="41"/>
        <v>0</v>
      </c>
      <c r="AA101" s="61">
        <f t="shared" si="41"/>
        <v>0</v>
      </c>
      <c r="AB101" s="61">
        <f t="shared" si="41"/>
        <v>0</v>
      </c>
      <c r="AC101" s="61"/>
      <c r="AD101" s="61"/>
      <c r="AE101" s="61"/>
      <c r="AF101" s="61"/>
      <c r="AG101" s="61"/>
    </row>
    <row r="102" spans="2:33" s="3" customFormat="1" x14ac:dyDescent="0.3">
      <c r="B102" s="3" t="s">
        <v>157</v>
      </c>
      <c r="D102" s="61">
        <f t="shared" ref="D102:AB102" si="42">D67-D83-D99+D100</f>
        <v>-4252.3407088113627</v>
      </c>
      <c r="E102" s="61">
        <f t="shared" si="42"/>
        <v>-3924.59227039899</v>
      </c>
      <c r="F102" s="61">
        <f t="shared" si="42"/>
        <v>-3595.0236965231697</v>
      </c>
      <c r="G102" s="61">
        <f t="shared" si="42"/>
        <v>-2940.5352066103187</v>
      </c>
      <c r="H102" s="61">
        <f t="shared" si="42"/>
        <v>-2599.1513446649797</v>
      </c>
      <c r="I102" s="61">
        <f t="shared" si="42"/>
        <v>-2255.6459674840617</v>
      </c>
      <c r="J102" s="61">
        <f t="shared" si="42"/>
        <v>-1909.9797326777662</v>
      </c>
      <c r="K102" s="61">
        <f t="shared" si="42"/>
        <v>-1562.1125864944461</v>
      </c>
      <c r="L102" s="61">
        <f t="shared" si="42"/>
        <v>-1212.0037514464766</v>
      </c>
      <c r="M102" s="61">
        <f t="shared" si="42"/>
        <v>-859.61171373431262</v>
      </c>
      <c r="N102" s="61">
        <f t="shared" si="42"/>
        <v>-24.894210465816286</v>
      </c>
      <c r="O102" s="61">
        <f t="shared" si="42"/>
        <v>332.19178333211676</v>
      </c>
      <c r="P102" s="61">
        <f t="shared" si="42"/>
        <v>2218.0900679125534</v>
      </c>
      <c r="Q102" s="61">
        <f t="shared" si="42"/>
        <v>4106.4452322211973</v>
      </c>
      <c r="R102" s="61">
        <f t="shared" si="42"/>
        <v>4470.9026675256973</v>
      </c>
      <c r="S102" s="61">
        <f t="shared" si="42"/>
        <v>7381.9085812647281</v>
      </c>
      <c r="T102" s="61">
        <f t="shared" si="42"/>
        <v>7522.5500111198689</v>
      </c>
      <c r="U102" s="61">
        <f t="shared" si="42"/>
        <v>7665.8348393134447</v>
      </c>
      <c r="V102" s="61">
        <f t="shared" si="42"/>
        <v>7811.8118071354329</v>
      </c>
      <c r="W102" s="61">
        <f t="shared" si="42"/>
        <v>7960.5305297026489</v>
      </c>
      <c r="X102" s="61">
        <f t="shared" si="42"/>
        <v>0</v>
      </c>
      <c r="Y102" s="61">
        <f t="shared" si="42"/>
        <v>0</v>
      </c>
      <c r="Z102" s="61">
        <f t="shared" si="42"/>
        <v>0</v>
      </c>
      <c r="AA102" s="61">
        <f t="shared" si="42"/>
        <v>0</v>
      </c>
      <c r="AB102" s="61">
        <f t="shared" si="42"/>
        <v>0</v>
      </c>
      <c r="AC102" s="61"/>
      <c r="AD102" s="61"/>
      <c r="AE102" s="61"/>
      <c r="AF102" s="61"/>
      <c r="AG102" s="61"/>
    </row>
    <row r="103" spans="2:33" x14ac:dyDescent="0.3">
      <c r="B103" t="s">
        <v>158</v>
      </c>
      <c r="C103" s="42"/>
      <c r="D103" s="42">
        <f t="shared" ref="D103:AB103" si="43">IF((C105+D102)&lt;0,0,MAX(0,(D102+(MIN(0,C105)))*$H$32))</f>
        <v>0</v>
      </c>
      <c r="E103" s="42">
        <f t="shared" si="43"/>
        <v>0</v>
      </c>
      <c r="F103" s="42">
        <f t="shared" si="43"/>
        <v>0</v>
      </c>
      <c r="G103" s="42">
        <f t="shared" si="43"/>
        <v>0</v>
      </c>
      <c r="H103" s="42">
        <f t="shared" si="43"/>
        <v>0</v>
      </c>
      <c r="I103" s="42">
        <f t="shared" si="43"/>
        <v>0</v>
      </c>
      <c r="J103" s="42">
        <f t="shared" si="43"/>
        <v>0</v>
      </c>
      <c r="K103" s="42">
        <f t="shared" si="43"/>
        <v>0</v>
      </c>
      <c r="L103" s="42">
        <f t="shared" si="43"/>
        <v>0</v>
      </c>
      <c r="M103" s="42">
        <f t="shared" si="43"/>
        <v>0</v>
      </c>
      <c r="N103" s="42">
        <f t="shared" si="43"/>
        <v>0</v>
      </c>
      <c r="O103" s="42">
        <f t="shared" si="43"/>
        <v>0</v>
      </c>
      <c r="P103" s="42">
        <f t="shared" si="43"/>
        <v>0</v>
      </c>
      <c r="Q103" s="42">
        <f t="shared" si="43"/>
        <v>0</v>
      </c>
      <c r="R103" s="42">
        <f t="shared" si="43"/>
        <v>0</v>
      </c>
      <c r="S103" s="42">
        <f t="shared" si="43"/>
        <v>0</v>
      </c>
      <c r="T103" s="42">
        <f t="shared" si="43"/>
        <v>224.0492885161143</v>
      </c>
      <c r="U103" s="42">
        <f t="shared" si="43"/>
        <v>1916.4587098283612</v>
      </c>
      <c r="V103" s="42">
        <f t="shared" si="43"/>
        <v>1952.9529517838582</v>
      </c>
      <c r="W103" s="42">
        <f t="shared" si="43"/>
        <v>1990.1326324256622</v>
      </c>
      <c r="X103" s="42">
        <f t="shared" si="43"/>
        <v>0</v>
      </c>
      <c r="Y103" s="42">
        <f t="shared" si="43"/>
        <v>0</v>
      </c>
      <c r="Z103" s="42">
        <f t="shared" si="43"/>
        <v>0</v>
      </c>
      <c r="AA103" s="42">
        <f t="shared" si="43"/>
        <v>0</v>
      </c>
      <c r="AB103" s="42">
        <f t="shared" si="43"/>
        <v>0</v>
      </c>
      <c r="AC103" s="42"/>
      <c r="AD103" s="42"/>
      <c r="AE103" s="42"/>
      <c r="AF103" s="42"/>
      <c r="AG103" s="42"/>
    </row>
    <row r="104" spans="2:33" s="62" customFormat="1" hidden="1" outlineLevel="1" x14ac:dyDescent="0.3">
      <c r="B104" s="62" t="s">
        <v>159</v>
      </c>
      <c r="C104" s="63"/>
      <c r="D104" s="63">
        <f t="shared" ref="D104:AB104" si="44">D102-D103</f>
        <v>-4252.3407088113627</v>
      </c>
      <c r="E104" s="63">
        <f t="shared" si="44"/>
        <v>-3924.59227039899</v>
      </c>
      <c r="F104" s="63">
        <f t="shared" si="44"/>
        <v>-3595.0236965231697</v>
      </c>
      <c r="G104" s="63">
        <f t="shared" si="44"/>
        <v>-2940.5352066103187</v>
      </c>
      <c r="H104" s="63">
        <f t="shared" si="44"/>
        <v>-2599.1513446649797</v>
      </c>
      <c r="I104" s="63">
        <f t="shared" si="44"/>
        <v>-2255.6459674840617</v>
      </c>
      <c r="J104" s="63">
        <f t="shared" si="44"/>
        <v>-1909.9797326777662</v>
      </c>
      <c r="K104" s="63">
        <f t="shared" si="44"/>
        <v>-1562.1125864944461</v>
      </c>
      <c r="L104" s="63">
        <f t="shared" si="44"/>
        <v>-1212.0037514464766</v>
      </c>
      <c r="M104" s="63">
        <f t="shared" si="44"/>
        <v>-859.61171373431262</v>
      </c>
      <c r="N104" s="63">
        <f t="shared" si="44"/>
        <v>-24.894210465816286</v>
      </c>
      <c r="O104" s="63">
        <f t="shared" si="44"/>
        <v>332.19178333211676</v>
      </c>
      <c r="P104" s="63">
        <f t="shared" si="44"/>
        <v>2218.0900679125534</v>
      </c>
      <c r="Q104" s="63">
        <f t="shared" si="44"/>
        <v>4106.4452322211973</v>
      </c>
      <c r="R104" s="63">
        <f t="shared" si="44"/>
        <v>4470.9026675256973</v>
      </c>
      <c r="S104" s="63">
        <f t="shared" si="44"/>
        <v>7381.9085812647281</v>
      </c>
      <c r="T104" s="63">
        <f t="shared" si="44"/>
        <v>7298.5007226037542</v>
      </c>
      <c r="U104" s="63">
        <f t="shared" si="44"/>
        <v>5749.3761294850838</v>
      </c>
      <c r="V104" s="63">
        <f t="shared" si="44"/>
        <v>5858.8588553515747</v>
      </c>
      <c r="W104" s="63">
        <f t="shared" si="44"/>
        <v>5970.3978972769864</v>
      </c>
      <c r="X104" s="63">
        <f t="shared" si="44"/>
        <v>0</v>
      </c>
      <c r="Y104" s="63">
        <f t="shared" si="44"/>
        <v>0</v>
      </c>
      <c r="Z104" s="63">
        <f t="shared" si="44"/>
        <v>0</v>
      </c>
      <c r="AA104" s="63">
        <f t="shared" si="44"/>
        <v>0</v>
      </c>
      <c r="AB104" s="63">
        <f t="shared" si="44"/>
        <v>0</v>
      </c>
      <c r="AC104" s="63"/>
      <c r="AD104" s="63"/>
      <c r="AE104" s="63"/>
      <c r="AF104" s="63"/>
      <c r="AG104" s="63"/>
    </row>
    <row r="105" spans="2:33" s="62" customFormat="1" hidden="1" outlineLevel="1" x14ac:dyDescent="0.3">
      <c r="B105" s="62" t="s">
        <v>160</v>
      </c>
      <c r="C105" s="63">
        <v>0</v>
      </c>
      <c r="D105" s="64">
        <f>D104</f>
        <v>-4252.3407088113627</v>
      </c>
      <c r="E105" s="64">
        <f t="shared" ref="E105:AB105" si="45">(D105+E104)*(E42&lt;=$C$19)</f>
        <v>-8176.9329792103526</v>
      </c>
      <c r="F105" s="64">
        <f t="shared" si="45"/>
        <v>-11771.956675733523</v>
      </c>
      <c r="G105" s="64">
        <f t="shared" si="45"/>
        <v>-14712.491882343842</v>
      </c>
      <c r="H105" s="64">
        <f t="shared" si="45"/>
        <v>-17311.643227008823</v>
      </c>
      <c r="I105" s="64">
        <f t="shared" si="45"/>
        <v>-19567.289194492885</v>
      </c>
      <c r="J105" s="64">
        <f t="shared" si="45"/>
        <v>-21477.268927170651</v>
      </c>
      <c r="K105" s="64">
        <f t="shared" si="45"/>
        <v>-23039.381513665096</v>
      </c>
      <c r="L105" s="64">
        <f t="shared" si="45"/>
        <v>-24251.385265111574</v>
      </c>
      <c r="M105" s="64">
        <f t="shared" si="45"/>
        <v>-25110.996978845887</v>
      </c>
      <c r="N105" s="64">
        <f t="shared" si="45"/>
        <v>-25135.891189311704</v>
      </c>
      <c r="O105" s="64">
        <f t="shared" si="45"/>
        <v>-24803.699405979587</v>
      </c>
      <c r="P105" s="64">
        <f t="shared" si="45"/>
        <v>-22585.609338067035</v>
      </c>
      <c r="Q105" s="64">
        <f t="shared" si="45"/>
        <v>-18479.164105845837</v>
      </c>
      <c r="R105" s="64">
        <f t="shared" si="45"/>
        <v>-14008.26143832014</v>
      </c>
      <c r="S105" s="64">
        <f t="shared" si="45"/>
        <v>-6626.3528570554117</v>
      </c>
      <c r="T105" s="64">
        <f t="shared" si="45"/>
        <v>672.14786554834245</v>
      </c>
      <c r="U105" s="64">
        <f t="shared" si="45"/>
        <v>6421.5239950334262</v>
      </c>
      <c r="V105" s="64">
        <f t="shared" si="45"/>
        <v>12280.382850385002</v>
      </c>
      <c r="W105" s="64">
        <f t="shared" si="45"/>
        <v>18250.780747661989</v>
      </c>
      <c r="X105" s="64">
        <f t="shared" si="45"/>
        <v>0</v>
      </c>
      <c r="Y105" s="64">
        <f t="shared" si="45"/>
        <v>0</v>
      </c>
      <c r="Z105" s="64">
        <f t="shared" si="45"/>
        <v>0</v>
      </c>
      <c r="AA105" s="64">
        <f t="shared" si="45"/>
        <v>0</v>
      </c>
      <c r="AB105" s="64">
        <f t="shared" si="45"/>
        <v>0</v>
      </c>
      <c r="AC105" s="64"/>
      <c r="AD105" s="64"/>
      <c r="AE105" s="64"/>
      <c r="AF105" s="64"/>
      <c r="AG105" s="64"/>
    </row>
    <row r="106" spans="2:33" s="62" customFormat="1" hidden="1" outlineLevel="1" x14ac:dyDescent="0.3">
      <c r="B106" s="62" t="s">
        <v>161</v>
      </c>
      <c r="C106" s="63"/>
      <c r="D106" s="64">
        <f t="shared" ref="D106:AB106" si="46">D102+D99</f>
        <v>-4252.3407088113627</v>
      </c>
      <c r="E106" s="64">
        <f t="shared" si="46"/>
        <v>-3924.59227039899</v>
      </c>
      <c r="F106" s="64">
        <f t="shared" si="46"/>
        <v>-3595.0236965231697</v>
      </c>
      <c r="G106" s="64">
        <f t="shared" si="46"/>
        <v>-2940.5352066103187</v>
      </c>
      <c r="H106" s="64">
        <f t="shared" si="46"/>
        <v>-2599.1513446649797</v>
      </c>
      <c r="I106" s="64">
        <f t="shared" si="46"/>
        <v>-2255.6459674840617</v>
      </c>
      <c r="J106" s="64">
        <f t="shared" si="46"/>
        <v>-1909.9797326777662</v>
      </c>
      <c r="K106" s="64">
        <f t="shared" si="46"/>
        <v>-1562.1125864944461</v>
      </c>
      <c r="L106" s="64">
        <f t="shared" si="46"/>
        <v>-1212.0037514464766</v>
      </c>
      <c r="M106" s="64">
        <f t="shared" si="46"/>
        <v>-859.61171373431262</v>
      </c>
      <c r="N106" s="64">
        <f t="shared" si="46"/>
        <v>-24.894210465816286</v>
      </c>
      <c r="O106" s="64">
        <f t="shared" si="46"/>
        <v>332.19178333211676</v>
      </c>
      <c r="P106" s="64">
        <f t="shared" si="46"/>
        <v>2218.0900679125534</v>
      </c>
      <c r="Q106" s="64">
        <f t="shared" si="46"/>
        <v>4106.4452322211973</v>
      </c>
      <c r="R106" s="64">
        <f t="shared" si="46"/>
        <v>4470.9026675256973</v>
      </c>
      <c r="S106" s="64">
        <f t="shared" si="46"/>
        <v>7381.9085812647281</v>
      </c>
      <c r="T106" s="64">
        <f t="shared" si="46"/>
        <v>7522.5500111198689</v>
      </c>
      <c r="U106" s="64">
        <f t="shared" si="46"/>
        <v>7665.8348393134447</v>
      </c>
      <c r="V106" s="64">
        <f t="shared" si="46"/>
        <v>7811.8118071354329</v>
      </c>
      <c r="W106" s="64">
        <f t="shared" si="46"/>
        <v>7960.5305297026489</v>
      </c>
      <c r="X106" s="64">
        <f t="shared" si="46"/>
        <v>0</v>
      </c>
      <c r="Y106" s="64">
        <f t="shared" si="46"/>
        <v>0</v>
      </c>
      <c r="Z106" s="64">
        <f t="shared" si="46"/>
        <v>0</v>
      </c>
      <c r="AA106" s="64">
        <f t="shared" si="46"/>
        <v>0</v>
      </c>
      <c r="AB106" s="64">
        <f t="shared" si="46"/>
        <v>0</v>
      </c>
      <c r="AC106" s="64"/>
      <c r="AD106" s="64"/>
      <c r="AE106" s="64"/>
      <c r="AF106" s="64"/>
      <c r="AG106" s="64"/>
    </row>
    <row r="107" spans="2:33" s="62" customFormat="1" hidden="1" outlineLevel="1" x14ac:dyDescent="0.3">
      <c r="B107" s="62" t="s">
        <v>162</v>
      </c>
      <c r="C107" s="63"/>
      <c r="D107" s="63">
        <f t="shared" ref="D107:AB107" si="47">IF((C109+D106)&lt;0,0,MAX(0,(D106+(MIN(0,C109)))*$H$32))</f>
        <v>0</v>
      </c>
      <c r="E107" s="63">
        <f t="shared" si="47"/>
        <v>0</v>
      </c>
      <c r="F107" s="63">
        <f t="shared" si="47"/>
        <v>0</v>
      </c>
      <c r="G107" s="63">
        <f t="shared" si="47"/>
        <v>0</v>
      </c>
      <c r="H107" s="63">
        <f t="shared" si="47"/>
        <v>0</v>
      </c>
      <c r="I107" s="63">
        <f t="shared" si="47"/>
        <v>0</v>
      </c>
      <c r="J107" s="63">
        <f t="shared" si="47"/>
        <v>0</v>
      </c>
      <c r="K107" s="63">
        <f t="shared" si="47"/>
        <v>0</v>
      </c>
      <c r="L107" s="63">
        <f t="shared" si="47"/>
        <v>0</v>
      </c>
      <c r="M107" s="63">
        <f t="shared" si="47"/>
        <v>0</v>
      </c>
      <c r="N107" s="63">
        <f t="shared" si="47"/>
        <v>0</v>
      </c>
      <c r="O107" s="63">
        <f t="shared" si="47"/>
        <v>0</v>
      </c>
      <c r="P107" s="63">
        <f t="shared" si="47"/>
        <v>0</v>
      </c>
      <c r="Q107" s="63">
        <f t="shared" si="47"/>
        <v>0</v>
      </c>
      <c r="R107" s="63">
        <f t="shared" si="47"/>
        <v>0</v>
      </c>
      <c r="S107" s="63">
        <f t="shared" si="47"/>
        <v>0</v>
      </c>
      <c r="T107" s="63">
        <f t="shared" si="47"/>
        <v>224.0492885161143</v>
      </c>
      <c r="U107" s="63">
        <f t="shared" si="47"/>
        <v>1916.4587098283612</v>
      </c>
      <c r="V107" s="63">
        <f t="shared" si="47"/>
        <v>1952.9529517838582</v>
      </c>
      <c r="W107" s="63">
        <f t="shared" si="47"/>
        <v>1990.1326324256622</v>
      </c>
      <c r="X107" s="63">
        <f t="shared" si="47"/>
        <v>0</v>
      </c>
      <c r="Y107" s="63">
        <f t="shared" si="47"/>
        <v>0</v>
      </c>
      <c r="Z107" s="63">
        <f t="shared" si="47"/>
        <v>0</v>
      </c>
      <c r="AA107" s="63">
        <f t="shared" si="47"/>
        <v>0</v>
      </c>
      <c r="AB107" s="63">
        <f t="shared" si="47"/>
        <v>0</v>
      </c>
      <c r="AC107" s="63"/>
      <c r="AD107" s="63"/>
      <c r="AE107" s="63"/>
      <c r="AF107" s="63"/>
      <c r="AG107" s="63"/>
    </row>
    <row r="108" spans="2:33" s="62" customFormat="1" hidden="1" outlineLevel="1" x14ac:dyDescent="0.3">
      <c r="B108" s="62" t="s">
        <v>163</v>
      </c>
      <c r="C108" s="63"/>
      <c r="D108" s="63">
        <f t="shared" ref="D108:AB108" si="48">D106-D107</f>
        <v>-4252.3407088113627</v>
      </c>
      <c r="E108" s="63">
        <f t="shared" si="48"/>
        <v>-3924.59227039899</v>
      </c>
      <c r="F108" s="63">
        <f t="shared" si="48"/>
        <v>-3595.0236965231697</v>
      </c>
      <c r="G108" s="63">
        <f t="shared" si="48"/>
        <v>-2940.5352066103187</v>
      </c>
      <c r="H108" s="63">
        <f t="shared" si="48"/>
        <v>-2599.1513446649797</v>
      </c>
      <c r="I108" s="63">
        <f t="shared" si="48"/>
        <v>-2255.6459674840617</v>
      </c>
      <c r="J108" s="63">
        <f t="shared" si="48"/>
        <v>-1909.9797326777662</v>
      </c>
      <c r="K108" s="63">
        <f t="shared" si="48"/>
        <v>-1562.1125864944461</v>
      </c>
      <c r="L108" s="63">
        <f t="shared" si="48"/>
        <v>-1212.0037514464766</v>
      </c>
      <c r="M108" s="63">
        <f t="shared" si="48"/>
        <v>-859.61171373431262</v>
      </c>
      <c r="N108" s="63">
        <f t="shared" si="48"/>
        <v>-24.894210465816286</v>
      </c>
      <c r="O108" s="63">
        <f t="shared" si="48"/>
        <v>332.19178333211676</v>
      </c>
      <c r="P108" s="63">
        <f t="shared" si="48"/>
        <v>2218.0900679125534</v>
      </c>
      <c r="Q108" s="63">
        <f t="shared" si="48"/>
        <v>4106.4452322211973</v>
      </c>
      <c r="R108" s="63">
        <f t="shared" si="48"/>
        <v>4470.9026675256973</v>
      </c>
      <c r="S108" s="63">
        <f t="shared" si="48"/>
        <v>7381.9085812647281</v>
      </c>
      <c r="T108" s="63">
        <f t="shared" si="48"/>
        <v>7298.5007226037542</v>
      </c>
      <c r="U108" s="63">
        <f t="shared" si="48"/>
        <v>5749.3761294850838</v>
      </c>
      <c r="V108" s="63">
        <f t="shared" si="48"/>
        <v>5858.8588553515747</v>
      </c>
      <c r="W108" s="63">
        <f t="shared" si="48"/>
        <v>5970.3978972769864</v>
      </c>
      <c r="X108" s="63">
        <f t="shared" si="48"/>
        <v>0</v>
      </c>
      <c r="Y108" s="63">
        <f t="shared" si="48"/>
        <v>0</v>
      </c>
      <c r="Z108" s="63">
        <f t="shared" si="48"/>
        <v>0</v>
      </c>
      <c r="AA108" s="63">
        <f t="shared" si="48"/>
        <v>0</v>
      </c>
      <c r="AB108" s="63">
        <f t="shared" si="48"/>
        <v>0</v>
      </c>
      <c r="AC108" s="63"/>
      <c r="AD108" s="63"/>
      <c r="AE108" s="63"/>
      <c r="AF108" s="63"/>
      <c r="AG108" s="63"/>
    </row>
    <row r="109" spans="2:33" s="62" customFormat="1" hidden="1" outlineLevel="1" x14ac:dyDescent="0.3">
      <c r="B109" s="62" t="s">
        <v>164</v>
      </c>
      <c r="C109" s="63"/>
      <c r="D109" s="64">
        <f>D108</f>
        <v>-4252.3407088113627</v>
      </c>
      <c r="E109" s="64">
        <f t="shared" ref="E109:AB109" si="49">(D109+E108)*(E42&lt;=$C$19)</f>
        <v>-8176.9329792103526</v>
      </c>
      <c r="F109" s="64">
        <f t="shared" si="49"/>
        <v>-11771.956675733523</v>
      </c>
      <c r="G109" s="64">
        <f t="shared" si="49"/>
        <v>-14712.491882343842</v>
      </c>
      <c r="H109" s="64">
        <f t="shared" si="49"/>
        <v>-17311.643227008823</v>
      </c>
      <c r="I109" s="64">
        <f t="shared" si="49"/>
        <v>-19567.289194492885</v>
      </c>
      <c r="J109" s="64">
        <f t="shared" si="49"/>
        <v>-21477.268927170651</v>
      </c>
      <c r="K109" s="64">
        <f t="shared" si="49"/>
        <v>-23039.381513665096</v>
      </c>
      <c r="L109" s="64">
        <f t="shared" si="49"/>
        <v>-24251.385265111574</v>
      </c>
      <c r="M109" s="64">
        <f t="shared" si="49"/>
        <v>-25110.996978845887</v>
      </c>
      <c r="N109" s="64">
        <f t="shared" si="49"/>
        <v>-25135.891189311704</v>
      </c>
      <c r="O109" s="64">
        <f t="shared" si="49"/>
        <v>-24803.699405979587</v>
      </c>
      <c r="P109" s="64">
        <f t="shared" si="49"/>
        <v>-22585.609338067035</v>
      </c>
      <c r="Q109" s="64">
        <f t="shared" si="49"/>
        <v>-18479.164105845837</v>
      </c>
      <c r="R109" s="64">
        <f t="shared" si="49"/>
        <v>-14008.26143832014</v>
      </c>
      <c r="S109" s="64">
        <f t="shared" si="49"/>
        <v>-6626.3528570554117</v>
      </c>
      <c r="T109" s="64">
        <f t="shared" si="49"/>
        <v>672.14786554834245</v>
      </c>
      <c r="U109" s="64">
        <f t="shared" si="49"/>
        <v>6421.5239950334262</v>
      </c>
      <c r="V109" s="64">
        <f t="shared" si="49"/>
        <v>12280.382850385002</v>
      </c>
      <c r="W109" s="64">
        <f t="shared" si="49"/>
        <v>18250.780747661989</v>
      </c>
      <c r="X109" s="64">
        <f t="shared" si="49"/>
        <v>0</v>
      </c>
      <c r="Y109" s="64">
        <f t="shared" si="49"/>
        <v>0</v>
      </c>
      <c r="Z109" s="64">
        <f t="shared" si="49"/>
        <v>0</v>
      </c>
      <c r="AA109" s="64">
        <f t="shared" si="49"/>
        <v>0</v>
      </c>
      <c r="AB109" s="64">
        <f t="shared" si="49"/>
        <v>0</v>
      </c>
      <c r="AC109" s="64"/>
      <c r="AD109" s="64"/>
      <c r="AE109" s="64"/>
      <c r="AF109" s="64"/>
      <c r="AG109" s="64"/>
    </row>
    <row r="110" spans="2:33" s="62" customFormat="1" hidden="1" outlineLevel="1" x14ac:dyDescent="0.3">
      <c r="B110" s="62" t="s">
        <v>165</v>
      </c>
      <c r="C110" s="63"/>
      <c r="D110" s="64">
        <f t="shared" ref="D110:AB110" si="50">MAX(0,D107-D103)</f>
        <v>0</v>
      </c>
      <c r="E110" s="64">
        <f t="shared" si="50"/>
        <v>0</v>
      </c>
      <c r="F110" s="64">
        <f t="shared" si="50"/>
        <v>0</v>
      </c>
      <c r="G110" s="64">
        <f t="shared" si="50"/>
        <v>0</v>
      </c>
      <c r="H110" s="64">
        <f t="shared" si="50"/>
        <v>0</v>
      </c>
      <c r="I110" s="64">
        <f t="shared" si="50"/>
        <v>0</v>
      </c>
      <c r="J110" s="64">
        <f t="shared" si="50"/>
        <v>0</v>
      </c>
      <c r="K110" s="64">
        <f t="shared" si="50"/>
        <v>0</v>
      </c>
      <c r="L110" s="64">
        <f t="shared" si="50"/>
        <v>0</v>
      </c>
      <c r="M110" s="64">
        <f t="shared" si="50"/>
        <v>0</v>
      </c>
      <c r="N110" s="64">
        <f t="shared" si="50"/>
        <v>0</v>
      </c>
      <c r="O110" s="64">
        <f t="shared" si="50"/>
        <v>0</v>
      </c>
      <c r="P110" s="64">
        <f t="shared" si="50"/>
        <v>0</v>
      </c>
      <c r="Q110" s="64">
        <f t="shared" si="50"/>
        <v>0</v>
      </c>
      <c r="R110" s="64">
        <f t="shared" si="50"/>
        <v>0</v>
      </c>
      <c r="S110" s="64">
        <f t="shared" si="50"/>
        <v>0</v>
      </c>
      <c r="T110" s="64">
        <f t="shared" si="50"/>
        <v>0</v>
      </c>
      <c r="U110" s="64">
        <f t="shared" si="50"/>
        <v>0</v>
      </c>
      <c r="V110" s="64">
        <f t="shared" si="50"/>
        <v>0</v>
      </c>
      <c r="W110" s="64">
        <f t="shared" si="50"/>
        <v>0</v>
      </c>
      <c r="X110" s="64">
        <f t="shared" si="50"/>
        <v>0</v>
      </c>
      <c r="Y110" s="64">
        <f t="shared" si="50"/>
        <v>0</v>
      </c>
      <c r="Z110" s="64">
        <f t="shared" si="50"/>
        <v>0</v>
      </c>
      <c r="AA110" s="64">
        <f t="shared" si="50"/>
        <v>0</v>
      </c>
      <c r="AB110" s="64">
        <f t="shared" si="50"/>
        <v>0</v>
      </c>
      <c r="AC110" s="64"/>
      <c r="AD110" s="64"/>
      <c r="AE110" s="64"/>
      <c r="AF110" s="64"/>
      <c r="AG110" s="64"/>
    </row>
    <row r="111" spans="2:33" s="3" customFormat="1" collapsed="1" x14ac:dyDescent="0.3">
      <c r="B111" s="65" t="s">
        <v>166</v>
      </c>
      <c r="C111" s="66"/>
      <c r="D111" s="66">
        <f t="shared" ref="D111:AB111" si="51">D101-D103</f>
        <v>-2725.9407088113626</v>
      </c>
      <c r="E111" s="61">
        <f t="shared" si="51"/>
        <v>-2398.1922703989899</v>
      </c>
      <c r="F111" s="61">
        <f t="shared" si="51"/>
        <v>-2068.6236965231697</v>
      </c>
      <c r="G111" s="61">
        <f t="shared" si="51"/>
        <v>-1414.1352066103186</v>
      </c>
      <c r="H111" s="61">
        <f t="shared" si="51"/>
        <v>-1072.7513446649796</v>
      </c>
      <c r="I111" s="61">
        <f t="shared" si="51"/>
        <v>-729.24596748406157</v>
      </c>
      <c r="J111" s="61">
        <f t="shared" si="51"/>
        <v>-383.57973267776606</v>
      </c>
      <c r="K111" s="61">
        <f t="shared" si="51"/>
        <v>-35.712586494445986</v>
      </c>
      <c r="L111" s="61">
        <f t="shared" si="51"/>
        <v>314.39624855352349</v>
      </c>
      <c r="M111" s="61">
        <f t="shared" si="51"/>
        <v>666.78828626568747</v>
      </c>
      <c r="N111" s="61">
        <f t="shared" si="51"/>
        <v>1501.5057895341838</v>
      </c>
      <c r="O111" s="61">
        <f t="shared" si="51"/>
        <v>1858.5917833321168</v>
      </c>
      <c r="P111" s="61">
        <f t="shared" si="51"/>
        <v>2218.0900679125557</v>
      </c>
      <c r="Q111" s="61">
        <f t="shared" si="51"/>
        <v>2580.0452322211972</v>
      </c>
      <c r="R111" s="61">
        <f t="shared" si="51"/>
        <v>2944.5026675256972</v>
      </c>
      <c r="S111" s="61">
        <f t="shared" si="51"/>
        <v>5855.5085812647285</v>
      </c>
      <c r="T111" s="61">
        <f t="shared" si="51"/>
        <v>5772.1007226037545</v>
      </c>
      <c r="U111" s="61">
        <f t="shared" si="51"/>
        <v>4222.9761294850832</v>
      </c>
      <c r="V111" s="61">
        <f t="shared" si="51"/>
        <v>4332.458855351575</v>
      </c>
      <c r="W111" s="61">
        <f t="shared" si="51"/>
        <v>4443.9978972769859</v>
      </c>
      <c r="X111" s="61">
        <f t="shared" si="51"/>
        <v>0</v>
      </c>
      <c r="Y111" s="61">
        <f t="shared" si="51"/>
        <v>0</v>
      </c>
      <c r="Z111" s="61">
        <f t="shared" si="51"/>
        <v>0</v>
      </c>
      <c r="AA111" s="61">
        <f t="shared" si="51"/>
        <v>0</v>
      </c>
      <c r="AB111" s="61">
        <f t="shared" si="51"/>
        <v>0</v>
      </c>
      <c r="AC111" s="61"/>
      <c r="AD111" s="61"/>
      <c r="AE111" s="61"/>
      <c r="AF111" s="61"/>
      <c r="AG111" s="61"/>
    </row>
    <row r="112" spans="2:33" s="3" customFormat="1" x14ac:dyDescent="0.3">
      <c r="B112" t="s">
        <v>152</v>
      </c>
      <c r="C112" s="61"/>
      <c r="D112" s="38">
        <f>D111</f>
        <v>-2725.9407088113626</v>
      </c>
      <c r="E112" s="38">
        <f t="shared" ref="E112:AB112" si="52">(D112+E111)*(E42&lt;=$C$19)</f>
        <v>-5124.1329792103525</v>
      </c>
      <c r="F112" s="38">
        <f t="shared" si="52"/>
        <v>-7192.7566757335226</v>
      </c>
      <c r="G112" s="38">
        <f t="shared" si="52"/>
        <v>-8606.8918823438416</v>
      </c>
      <c r="H112" s="38">
        <f t="shared" si="52"/>
        <v>-9679.6432270088208</v>
      </c>
      <c r="I112" s="38">
        <f t="shared" si="52"/>
        <v>-10408.889194492882</v>
      </c>
      <c r="J112" s="38">
        <f t="shared" si="52"/>
        <v>-10792.468927170648</v>
      </c>
      <c r="K112" s="38">
        <f t="shared" si="52"/>
        <v>-10828.181513665095</v>
      </c>
      <c r="L112" s="38">
        <f t="shared" si="52"/>
        <v>-10513.785265111572</v>
      </c>
      <c r="M112" s="38">
        <f t="shared" si="52"/>
        <v>-9846.9969788458839</v>
      </c>
      <c r="N112" s="38">
        <f t="shared" si="52"/>
        <v>-8345.4911893117005</v>
      </c>
      <c r="O112" s="38">
        <f t="shared" si="52"/>
        <v>-6486.8994059795841</v>
      </c>
      <c r="P112" s="38">
        <f t="shared" si="52"/>
        <v>-4268.8093380670289</v>
      </c>
      <c r="Q112" s="38">
        <f t="shared" si="52"/>
        <v>-1688.7641058458316</v>
      </c>
      <c r="R112" s="38">
        <f t="shared" si="52"/>
        <v>1255.7385616798656</v>
      </c>
      <c r="S112" s="38">
        <f t="shared" si="52"/>
        <v>7111.2471429445941</v>
      </c>
      <c r="T112" s="38">
        <f t="shared" si="52"/>
        <v>12883.347865548349</v>
      </c>
      <c r="U112" s="38">
        <f t="shared" si="52"/>
        <v>17106.323995033432</v>
      </c>
      <c r="V112" s="38">
        <f t="shared" si="52"/>
        <v>21438.782850385007</v>
      </c>
      <c r="W112" s="38">
        <f t="shared" si="52"/>
        <v>25882.780747661993</v>
      </c>
      <c r="X112" s="38">
        <f t="shared" si="52"/>
        <v>0</v>
      </c>
      <c r="Y112" s="38">
        <f t="shared" si="52"/>
        <v>0</v>
      </c>
      <c r="Z112" s="38">
        <f t="shared" si="52"/>
        <v>0</v>
      </c>
      <c r="AA112" s="38">
        <f t="shared" si="52"/>
        <v>0</v>
      </c>
      <c r="AB112" s="38">
        <f t="shared" si="52"/>
        <v>0</v>
      </c>
      <c r="AC112" s="38"/>
      <c r="AD112" s="38"/>
      <c r="AE112" s="38"/>
      <c r="AF112" s="38"/>
      <c r="AG112" s="38"/>
    </row>
    <row r="113" spans="1:33" x14ac:dyDescent="0.3">
      <c r="C113" s="52"/>
      <c r="D113" s="52">
        <f t="shared" ref="D113:AB113" si="53">IF(ISERR(D111/D52),"n/a",D111/D52)</f>
        <v>-0.42745241812125323</v>
      </c>
      <c r="E113" s="52">
        <f t="shared" si="53"/>
        <v>-0.36872995942807441</v>
      </c>
      <c r="F113" s="52">
        <f t="shared" si="53"/>
        <v>-0.31185949831295567</v>
      </c>
      <c r="G113" s="52">
        <f t="shared" si="53"/>
        <v>-0.20903618423908069</v>
      </c>
      <c r="H113" s="52">
        <f t="shared" si="53"/>
        <v>-0.15548290844677456</v>
      </c>
      <c r="I113" s="52">
        <f t="shared" si="53"/>
        <v>-0.10363600862098851</v>
      </c>
      <c r="J113" s="52">
        <f t="shared" si="53"/>
        <v>-5.3449709382187301E-2</v>
      </c>
      <c r="K113" s="52">
        <f t="shared" si="53"/>
        <v>-4.8793734094893688E-3</v>
      </c>
      <c r="L113" s="52">
        <f t="shared" si="53"/>
        <v>4.2118525521549009E-2</v>
      </c>
      <c r="M113" s="52">
        <f t="shared" si="53"/>
        <v>8.7586428882435299E-2</v>
      </c>
      <c r="N113" s="52">
        <f t="shared" si="53"/>
        <v>0.19338773309215737</v>
      </c>
      <c r="O113" s="52">
        <f t="shared" si="53"/>
        <v>0.23471399104947066</v>
      </c>
      <c r="P113" s="52">
        <f t="shared" si="53"/>
        <v>0.27465480190863828</v>
      </c>
      <c r="Q113" s="52">
        <f t="shared" si="53"/>
        <v>0.31324806213507872</v>
      </c>
      <c r="R113" s="52">
        <f t="shared" si="53"/>
        <v>0.35053071526944551</v>
      </c>
      <c r="S113" s="52">
        <f t="shared" si="53"/>
        <v>0.68348942981868377</v>
      </c>
      <c r="T113" s="52">
        <f t="shared" si="53"/>
        <v>0.66062367797897037</v>
      </c>
      <c r="U113" s="52">
        <f t="shared" si="53"/>
        <v>0.47390568123310595</v>
      </c>
      <c r="V113" s="52">
        <f t="shared" si="53"/>
        <v>0.47671716463635433</v>
      </c>
      <c r="W113" s="52">
        <f t="shared" si="53"/>
        <v>0.47946094942275358</v>
      </c>
      <c r="X113" s="52" t="str">
        <f t="shared" si="53"/>
        <v>n/a</v>
      </c>
      <c r="Y113" s="52" t="str">
        <f t="shared" si="53"/>
        <v>n/a</v>
      </c>
      <c r="Z113" s="52" t="str">
        <f t="shared" si="53"/>
        <v>n/a</v>
      </c>
      <c r="AA113" s="52" t="str">
        <f t="shared" si="53"/>
        <v>n/a</v>
      </c>
      <c r="AB113" s="52" t="str">
        <f t="shared" si="53"/>
        <v>n/a</v>
      </c>
      <c r="AC113" s="52"/>
      <c r="AD113" s="52"/>
      <c r="AE113" s="52"/>
      <c r="AF113" s="52"/>
      <c r="AG113" s="52"/>
    </row>
    <row r="114" spans="1:33" x14ac:dyDescent="0.3"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</row>
    <row r="115" spans="1:33" x14ac:dyDescent="0.3">
      <c r="B115" t="s">
        <v>167</v>
      </c>
      <c r="C115" s="52"/>
      <c r="D115" s="42">
        <f t="shared" ref="D115:AB115" si="54">MAX(0,D111*$C$31)*(D42&lt;=$C$19)</f>
        <v>0</v>
      </c>
      <c r="E115" s="42">
        <f t="shared" si="54"/>
        <v>0</v>
      </c>
      <c r="F115" s="42">
        <f t="shared" si="54"/>
        <v>0</v>
      </c>
      <c r="G115" s="42">
        <f t="shared" si="54"/>
        <v>0</v>
      </c>
      <c r="H115" s="42">
        <f t="shared" si="54"/>
        <v>0</v>
      </c>
      <c r="I115" s="42">
        <f t="shared" si="54"/>
        <v>0</v>
      </c>
      <c r="J115" s="42">
        <f t="shared" si="54"/>
        <v>0</v>
      </c>
      <c r="K115" s="42">
        <f t="shared" si="54"/>
        <v>0</v>
      </c>
      <c r="L115" s="42">
        <f t="shared" si="54"/>
        <v>0</v>
      </c>
      <c r="M115" s="42">
        <f t="shared" si="54"/>
        <v>0</v>
      </c>
      <c r="N115" s="42">
        <f t="shared" si="54"/>
        <v>0</v>
      </c>
      <c r="O115" s="42">
        <f t="shared" si="54"/>
        <v>0</v>
      </c>
      <c r="P115" s="42">
        <f t="shared" si="54"/>
        <v>0</v>
      </c>
      <c r="Q115" s="42">
        <f t="shared" si="54"/>
        <v>0</v>
      </c>
      <c r="R115" s="42">
        <f t="shared" si="54"/>
        <v>0</v>
      </c>
      <c r="S115" s="42">
        <f t="shared" si="54"/>
        <v>0</v>
      </c>
      <c r="T115" s="42">
        <f t="shared" si="54"/>
        <v>0</v>
      </c>
      <c r="U115" s="42">
        <f t="shared" si="54"/>
        <v>0</v>
      </c>
      <c r="V115" s="42">
        <f t="shared" si="54"/>
        <v>0</v>
      </c>
      <c r="W115" s="42">
        <f t="shared" si="54"/>
        <v>0</v>
      </c>
      <c r="X115" s="42">
        <f t="shared" si="54"/>
        <v>0</v>
      </c>
      <c r="Y115" s="42">
        <f t="shared" si="54"/>
        <v>0</v>
      </c>
      <c r="Z115" s="42">
        <f t="shared" si="54"/>
        <v>0</v>
      </c>
      <c r="AA115" s="42">
        <f t="shared" si="54"/>
        <v>0</v>
      </c>
      <c r="AB115" s="42">
        <f t="shared" si="54"/>
        <v>0</v>
      </c>
      <c r="AC115" s="42"/>
      <c r="AD115" s="42"/>
      <c r="AE115" s="42"/>
      <c r="AF115" s="42"/>
      <c r="AG115" s="42"/>
    </row>
    <row r="116" spans="1:33" s="3" customFormat="1" x14ac:dyDescent="0.3">
      <c r="B116" s="3" t="s">
        <v>168</v>
      </c>
      <c r="C116" s="61"/>
      <c r="D116" s="61">
        <f t="shared" ref="D116:AB116" si="55">D111-D115</f>
        <v>-2725.9407088113626</v>
      </c>
      <c r="E116" s="61">
        <f t="shared" si="55"/>
        <v>-2398.1922703989899</v>
      </c>
      <c r="F116" s="61">
        <f t="shared" si="55"/>
        <v>-2068.6236965231697</v>
      </c>
      <c r="G116" s="61">
        <f t="shared" si="55"/>
        <v>-1414.1352066103186</v>
      </c>
      <c r="H116" s="61">
        <f t="shared" si="55"/>
        <v>-1072.7513446649796</v>
      </c>
      <c r="I116" s="61">
        <f t="shared" si="55"/>
        <v>-729.24596748406157</v>
      </c>
      <c r="J116" s="61">
        <f t="shared" si="55"/>
        <v>-383.57973267776606</v>
      </c>
      <c r="K116" s="61">
        <f t="shared" si="55"/>
        <v>-35.712586494445986</v>
      </c>
      <c r="L116" s="61">
        <f t="shared" si="55"/>
        <v>314.39624855352349</v>
      </c>
      <c r="M116" s="61">
        <f t="shared" si="55"/>
        <v>666.78828626568747</v>
      </c>
      <c r="N116" s="61">
        <f t="shared" si="55"/>
        <v>1501.5057895341838</v>
      </c>
      <c r="O116" s="61">
        <f t="shared" si="55"/>
        <v>1858.5917833321168</v>
      </c>
      <c r="P116" s="61">
        <f t="shared" si="55"/>
        <v>2218.0900679125557</v>
      </c>
      <c r="Q116" s="61">
        <f t="shared" si="55"/>
        <v>2580.0452322211972</v>
      </c>
      <c r="R116" s="61">
        <f t="shared" si="55"/>
        <v>2944.5026675256972</v>
      </c>
      <c r="S116" s="61">
        <f t="shared" si="55"/>
        <v>5855.5085812647285</v>
      </c>
      <c r="T116" s="61">
        <f t="shared" si="55"/>
        <v>5772.1007226037545</v>
      </c>
      <c r="U116" s="61">
        <f t="shared" si="55"/>
        <v>4222.9761294850832</v>
      </c>
      <c r="V116" s="61">
        <f t="shared" si="55"/>
        <v>4332.458855351575</v>
      </c>
      <c r="W116" s="61">
        <f t="shared" si="55"/>
        <v>4443.9978972769859</v>
      </c>
      <c r="X116" s="61">
        <f t="shared" si="55"/>
        <v>0</v>
      </c>
      <c r="Y116" s="61">
        <f t="shared" si="55"/>
        <v>0</v>
      </c>
      <c r="Z116" s="61">
        <f t="shared" si="55"/>
        <v>0</v>
      </c>
      <c r="AA116" s="61">
        <f t="shared" si="55"/>
        <v>0</v>
      </c>
      <c r="AB116" s="61">
        <f t="shared" si="55"/>
        <v>0</v>
      </c>
      <c r="AC116" s="61"/>
      <c r="AD116" s="61"/>
      <c r="AE116" s="61"/>
      <c r="AF116" s="61"/>
      <c r="AG116" s="61"/>
    </row>
    <row r="117" spans="1:33" s="3" customFormat="1" x14ac:dyDescent="0.3">
      <c r="C117" s="61"/>
      <c r="D117" s="61">
        <f>SUM(D116*40%)</f>
        <v>-1090.376283524545</v>
      </c>
      <c r="E117" s="61">
        <f>SUM(E116*40%)</f>
        <v>-959.27690815959602</v>
      </c>
      <c r="F117" s="61">
        <f>SUM(F116*40%)</f>
        <v>-827.44947860926789</v>
      </c>
      <c r="G117" s="61">
        <f>SUM(D117:F117)</f>
        <v>-2877.1026702934087</v>
      </c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</row>
    <row r="118" spans="1:33" x14ac:dyDescent="0.3">
      <c r="D118" s="49">
        <f>SUM(D117/3)</f>
        <v>-363.45876117484835</v>
      </c>
      <c r="E118" s="49">
        <f>SUM(E117/3)</f>
        <v>-319.75896938653199</v>
      </c>
      <c r="F118" s="49">
        <f>SUM(F117/3)</f>
        <v>-275.81649286975596</v>
      </c>
      <c r="G118" s="49">
        <f>SUM(D118:F118)</f>
        <v>-959.0342234311363</v>
      </c>
      <c r="H118" s="67">
        <v>423000</v>
      </c>
      <c r="I118" s="68">
        <f>SUM(AB176*70%*40%/3)</f>
        <v>0</v>
      </c>
      <c r="J118" s="69">
        <f>SUM(I118*5)</f>
        <v>0</v>
      </c>
    </row>
    <row r="119" spans="1:33" x14ac:dyDescent="0.3">
      <c r="B119" s="2" t="s">
        <v>169</v>
      </c>
      <c r="C119" s="2">
        <v>0</v>
      </c>
      <c r="D119" s="2">
        <v>1</v>
      </c>
      <c r="E119" s="2">
        <v>2</v>
      </c>
      <c r="F119" s="2">
        <v>3</v>
      </c>
      <c r="G119" s="2">
        <v>4</v>
      </c>
      <c r="H119" s="2">
        <v>5</v>
      </c>
      <c r="I119" s="2">
        <v>6</v>
      </c>
      <c r="J119" s="2">
        <v>7</v>
      </c>
      <c r="K119" s="2">
        <v>8</v>
      </c>
      <c r="L119" s="2">
        <v>9</v>
      </c>
      <c r="M119" s="2">
        <v>10</v>
      </c>
      <c r="N119" s="2">
        <v>11</v>
      </c>
      <c r="O119" s="2">
        <v>12</v>
      </c>
      <c r="P119" s="2">
        <v>13</v>
      </c>
      <c r="Q119" s="2">
        <v>14</v>
      </c>
      <c r="R119" s="2">
        <v>15</v>
      </c>
      <c r="S119" s="2">
        <v>16</v>
      </c>
      <c r="T119" s="2">
        <v>17</v>
      </c>
      <c r="U119" s="2">
        <v>18</v>
      </c>
      <c r="V119" s="2">
        <v>19</v>
      </c>
      <c r="W119" s="2">
        <v>20</v>
      </c>
      <c r="X119" s="2">
        <v>21</v>
      </c>
      <c r="Y119" s="2">
        <v>22</v>
      </c>
      <c r="Z119" s="2">
        <v>23</v>
      </c>
      <c r="AA119" s="2">
        <v>24</v>
      </c>
      <c r="AB119" s="2">
        <v>25</v>
      </c>
      <c r="AC119" s="2"/>
      <c r="AD119" s="2"/>
      <c r="AE119" s="2"/>
      <c r="AF119" s="2"/>
      <c r="AG119" s="2"/>
    </row>
    <row r="121" spans="1:33" x14ac:dyDescent="0.3">
      <c r="B121" t="s">
        <v>166</v>
      </c>
      <c r="C121" s="42"/>
      <c r="D121" s="42">
        <f t="shared" ref="D121:AB121" si="56">D111</f>
        <v>-2725.9407088113626</v>
      </c>
      <c r="E121" s="42">
        <f t="shared" si="56"/>
        <v>-2398.1922703989899</v>
      </c>
      <c r="F121" s="42">
        <f t="shared" si="56"/>
        <v>-2068.6236965231697</v>
      </c>
      <c r="G121" s="42">
        <f t="shared" si="56"/>
        <v>-1414.1352066103186</v>
      </c>
      <c r="H121" s="42">
        <f t="shared" si="56"/>
        <v>-1072.7513446649796</v>
      </c>
      <c r="I121" s="42">
        <f t="shared" si="56"/>
        <v>-729.24596748406157</v>
      </c>
      <c r="J121" s="42">
        <f t="shared" si="56"/>
        <v>-383.57973267776606</v>
      </c>
      <c r="K121" s="42">
        <f t="shared" si="56"/>
        <v>-35.712586494445986</v>
      </c>
      <c r="L121" s="42">
        <f t="shared" si="56"/>
        <v>314.39624855352349</v>
      </c>
      <c r="M121" s="42">
        <f t="shared" si="56"/>
        <v>666.78828626568747</v>
      </c>
      <c r="N121" s="42">
        <f t="shared" si="56"/>
        <v>1501.5057895341838</v>
      </c>
      <c r="O121" s="42">
        <f t="shared" si="56"/>
        <v>1858.5917833321168</v>
      </c>
      <c r="P121" s="42">
        <f t="shared" si="56"/>
        <v>2218.0900679125557</v>
      </c>
      <c r="Q121" s="42">
        <f t="shared" si="56"/>
        <v>2580.0452322211972</v>
      </c>
      <c r="R121" s="42">
        <f t="shared" si="56"/>
        <v>2944.5026675256972</v>
      </c>
      <c r="S121" s="42">
        <f t="shared" si="56"/>
        <v>5855.5085812647285</v>
      </c>
      <c r="T121" s="42">
        <f t="shared" si="56"/>
        <v>5772.1007226037545</v>
      </c>
      <c r="U121" s="42">
        <f t="shared" si="56"/>
        <v>4222.9761294850832</v>
      </c>
      <c r="V121" s="42">
        <f t="shared" si="56"/>
        <v>4332.458855351575</v>
      </c>
      <c r="W121" s="42">
        <f t="shared" si="56"/>
        <v>4443.9978972769859</v>
      </c>
      <c r="X121" s="42">
        <f t="shared" si="56"/>
        <v>0</v>
      </c>
      <c r="Y121" s="42">
        <f t="shared" si="56"/>
        <v>0</v>
      </c>
      <c r="Z121" s="42">
        <f t="shared" si="56"/>
        <v>0</v>
      </c>
      <c r="AA121" s="42">
        <f t="shared" si="56"/>
        <v>0</v>
      </c>
      <c r="AB121" s="42">
        <f t="shared" si="56"/>
        <v>0</v>
      </c>
      <c r="AC121" s="42"/>
      <c r="AD121" s="42"/>
      <c r="AE121" s="42"/>
      <c r="AF121" s="42"/>
      <c r="AG121" s="42"/>
    </row>
    <row r="122" spans="1:33" x14ac:dyDescent="0.3">
      <c r="B122" t="s">
        <v>170</v>
      </c>
      <c r="C122" s="42"/>
      <c r="D122" s="42">
        <f t="shared" ref="D122:AB122" si="57">D99</f>
        <v>0</v>
      </c>
      <c r="E122" s="42">
        <f t="shared" si="57"/>
        <v>0</v>
      </c>
      <c r="F122" s="42">
        <f t="shared" si="57"/>
        <v>0</v>
      </c>
      <c r="G122" s="42">
        <f t="shared" si="57"/>
        <v>0</v>
      </c>
      <c r="H122" s="42">
        <f t="shared" si="57"/>
        <v>0</v>
      </c>
      <c r="I122" s="42">
        <f t="shared" si="57"/>
        <v>0</v>
      </c>
      <c r="J122" s="42">
        <f t="shared" si="57"/>
        <v>0</v>
      </c>
      <c r="K122" s="42">
        <f t="shared" si="57"/>
        <v>0</v>
      </c>
      <c r="L122" s="42">
        <f t="shared" si="57"/>
        <v>0</v>
      </c>
      <c r="M122" s="42">
        <f t="shared" si="57"/>
        <v>0</v>
      </c>
      <c r="N122" s="42">
        <f t="shared" si="57"/>
        <v>0</v>
      </c>
      <c r="O122" s="42">
        <f t="shared" si="57"/>
        <v>0</v>
      </c>
      <c r="P122" s="42">
        <f t="shared" si="57"/>
        <v>0</v>
      </c>
      <c r="Q122" s="42">
        <f t="shared" si="57"/>
        <v>0</v>
      </c>
      <c r="R122" s="42">
        <f t="shared" si="57"/>
        <v>0</v>
      </c>
      <c r="S122" s="42">
        <f t="shared" si="57"/>
        <v>0</v>
      </c>
      <c r="T122" s="42">
        <f t="shared" si="57"/>
        <v>0</v>
      </c>
      <c r="U122" s="42">
        <f t="shared" si="57"/>
        <v>0</v>
      </c>
      <c r="V122" s="42">
        <f t="shared" si="57"/>
        <v>0</v>
      </c>
      <c r="W122" s="42">
        <f t="shared" si="57"/>
        <v>0</v>
      </c>
      <c r="X122" s="42">
        <f t="shared" si="57"/>
        <v>0</v>
      </c>
      <c r="Y122" s="42">
        <f t="shared" si="57"/>
        <v>0</v>
      </c>
      <c r="Z122" s="42">
        <f t="shared" si="57"/>
        <v>0</v>
      </c>
      <c r="AA122" s="42">
        <f t="shared" si="57"/>
        <v>0</v>
      </c>
      <c r="AB122" s="42">
        <f t="shared" si="57"/>
        <v>0</v>
      </c>
      <c r="AC122" s="42"/>
      <c r="AD122" s="42"/>
      <c r="AE122" s="42"/>
      <c r="AF122" s="42"/>
      <c r="AG122" s="42"/>
    </row>
    <row r="123" spans="1:33" x14ac:dyDescent="0.3">
      <c r="B123" t="s">
        <v>171</v>
      </c>
      <c r="C123" s="42"/>
      <c r="D123" s="42">
        <f t="shared" ref="D123:AB123" si="58">D100</f>
        <v>0</v>
      </c>
      <c r="E123" s="42">
        <f t="shared" si="58"/>
        <v>0</v>
      </c>
      <c r="F123" s="42">
        <f t="shared" si="58"/>
        <v>0</v>
      </c>
      <c r="G123" s="42">
        <f t="shared" si="58"/>
        <v>0</v>
      </c>
      <c r="H123" s="42">
        <f t="shared" si="58"/>
        <v>0</v>
      </c>
      <c r="I123" s="42">
        <f t="shared" si="58"/>
        <v>0</v>
      </c>
      <c r="J123" s="42">
        <f t="shared" si="58"/>
        <v>0</v>
      </c>
      <c r="K123" s="42">
        <f t="shared" si="58"/>
        <v>0</v>
      </c>
      <c r="L123" s="42">
        <f t="shared" si="58"/>
        <v>0</v>
      </c>
      <c r="M123" s="42">
        <f t="shared" si="58"/>
        <v>0</v>
      </c>
      <c r="N123" s="42">
        <f t="shared" si="58"/>
        <v>0</v>
      </c>
      <c r="O123" s="42">
        <f t="shared" si="58"/>
        <v>0</v>
      </c>
      <c r="P123" s="42">
        <f t="shared" si="58"/>
        <v>0</v>
      </c>
      <c r="Q123" s="42">
        <f t="shared" si="58"/>
        <v>0</v>
      </c>
      <c r="R123" s="42">
        <f t="shared" si="58"/>
        <v>0</v>
      </c>
      <c r="S123" s="42">
        <f t="shared" si="58"/>
        <v>0</v>
      </c>
      <c r="T123" s="42">
        <f t="shared" si="58"/>
        <v>0</v>
      </c>
      <c r="U123" s="42">
        <f t="shared" si="58"/>
        <v>0</v>
      </c>
      <c r="V123" s="42">
        <f t="shared" si="58"/>
        <v>0</v>
      </c>
      <c r="W123" s="42">
        <f t="shared" si="58"/>
        <v>0</v>
      </c>
      <c r="X123" s="42">
        <f t="shared" si="58"/>
        <v>0</v>
      </c>
      <c r="Y123" s="42">
        <f t="shared" si="58"/>
        <v>0</v>
      </c>
      <c r="Z123" s="42">
        <f t="shared" si="58"/>
        <v>0</v>
      </c>
      <c r="AA123" s="42">
        <f t="shared" si="58"/>
        <v>0</v>
      </c>
      <c r="AB123" s="42">
        <f t="shared" si="58"/>
        <v>0</v>
      </c>
      <c r="AC123" s="42"/>
      <c r="AD123" s="42"/>
      <c r="AE123" s="42"/>
      <c r="AF123" s="42"/>
      <c r="AG123" s="42"/>
    </row>
    <row r="124" spans="1:33" x14ac:dyDescent="0.3">
      <c r="B124" t="s">
        <v>172</v>
      </c>
      <c r="C124" s="42"/>
      <c r="D124" s="42">
        <f t="shared" ref="D124:AB124" si="59">D110</f>
        <v>0</v>
      </c>
      <c r="E124" s="42">
        <f t="shared" si="59"/>
        <v>0</v>
      </c>
      <c r="F124" s="42">
        <f t="shared" si="59"/>
        <v>0</v>
      </c>
      <c r="G124" s="42">
        <f t="shared" si="59"/>
        <v>0</v>
      </c>
      <c r="H124" s="42">
        <f t="shared" si="59"/>
        <v>0</v>
      </c>
      <c r="I124" s="42">
        <f t="shared" si="59"/>
        <v>0</v>
      </c>
      <c r="J124" s="42">
        <f t="shared" si="59"/>
        <v>0</v>
      </c>
      <c r="K124" s="42">
        <f t="shared" si="59"/>
        <v>0</v>
      </c>
      <c r="L124" s="42">
        <f t="shared" si="59"/>
        <v>0</v>
      </c>
      <c r="M124" s="42">
        <f t="shared" si="59"/>
        <v>0</v>
      </c>
      <c r="N124" s="42">
        <f t="shared" si="59"/>
        <v>0</v>
      </c>
      <c r="O124" s="42">
        <f t="shared" si="59"/>
        <v>0</v>
      </c>
      <c r="P124" s="42">
        <f t="shared" si="59"/>
        <v>0</v>
      </c>
      <c r="Q124" s="42">
        <f t="shared" si="59"/>
        <v>0</v>
      </c>
      <c r="R124" s="42">
        <f t="shared" si="59"/>
        <v>0</v>
      </c>
      <c r="S124" s="42">
        <f t="shared" si="59"/>
        <v>0</v>
      </c>
      <c r="T124" s="42">
        <f t="shared" si="59"/>
        <v>0</v>
      </c>
      <c r="U124" s="42">
        <f t="shared" si="59"/>
        <v>0</v>
      </c>
      <c r="V124" s="42">
        <f t="shared" si="59"/>
        <v>0</v>
      </c>
      <c r="W124" s="42">
        <f t="shared" si="59"/>
        <v>0</v>
      </c>
      <c r="X124" s="42">
        <f t="shared" si="59"/>
        <v>0</v>
      </c>
      <c r="Y124" s="42">
        <f t="shared" si="59"/>
        <v>0</v>
      </c>
      <c r="Z124" s="42">
        <f t="shared" si="59"/>
        <v>0</v>
      </c>
      <c r="AA124" s="42">
        <f t="shared" si="59"/>
        <v>0</v>
      </c>
      <c r="AB124" s="42">
        <f t="shared" si="59"/>
        <v>0</v>
      </c>
      <c r="AC124" s="42"/>
      <c r="AD124" s="42"/>
      <c r="AE124" s="42"/>
      <c r="AF124" s="42"/>
      <c r="AG124" s="42"/>
    </row>
    <row r="125" spans="1:33" x14ac:dyDescent="0.3">
      <c r="B125" t="s">
        <v>173</v>
      </c>
      <c r="C125" s="42"/>
      <c r="D125" s="42">
        <f t="shared" ref="D125:AB125" si="60">D70</f>
        <v>1526.4</v>
      </c>
      <c r="E125" s="42">
        <f t="shared" si="60"/>
        <v>1526.4</v>
      </c>
      <c r="F125" s="42">
        <f t="shared" si="60"/>
        <v>1526.4</v>
      </c>
      <c r="G125" s="42">
        <f t="shared" si="60"/>
        <v>1526.4</v>
      </c>
      <c r="H125" s="42">
        <f t="shared" si="60"/>
        <v>1526.4</v>
      </c>
      <c r="I125" s="42">
        <f t="shared" si="60"/>
        <v>1526.4</v>
      </c>
      <c r="J125" s="42">
        <f t="shared" si="60"/>
        <v>1526.4</v>
      </c>
      <c r="K125" s="42">
        <f t="shared" si="60"/>
        <v>1526.4</v>
      </c>
      <c r="L125" s="42">
        <f t="shared" si="60"/>
        <v>1526.4</v>
      </c>
      <c r="M125" s="42">
        <f t="shared" si="60"/>
        <v>1526.4</v>
      </c>
      <c r="N125" s="42">
        <f t="shared" si="60"/>
        <v>1526.4</v>
      </c>
      <c r="O125" s="42">
        <f t="shared" si="60"/>
        <v>1526.4</v>
      </c>
      <c r="P125" s="42">
        <f t="shared" si="60"/>
        <v>1526.4</v>
      </c>
      <c r="Q125" s="42">
        <f t="shared" si="60"/>
        <v>1526.4</v>
      </c>
      <c r="R125" s="42">
        <f t="shared" si="60"/>
        <v>1526.4</v>
      </c>
      <c r="S125" s="42">
        <f t="shared" si="60"/>
        <v>1526.4</v>
      </c>
      <c r="T125" s="42">
        <f t="shared" si="60"/>
        <v>1526.4</v>
      </c>
      <c r="U125" s="42">
        <f t="shared" si="60"/>
        <v>1526.4</v>
      </c>
      <c r="V125" s="42">
        <f t="shared" si="60"/>
        <v>1526.4</v>
      </c>
      <c r="W125" s="42">
        <f t="shared" si="60"/>
        <v>1526.4</v>
      </c>
      <c r="X125" s="42">
        <f t="shared" si="60"/>
        <v>0</v>
      </c>
      <c r="Y125" s="42">
        <f t="shared" si="60"/>
        <v>0</v>
      </c>
      <c r="Z125" s="42">
        <f t="shared" si="60"/>
        <v>0</v>
      </c>
      <c r="AA125" s="42">
        <f t="shared" si="60"/>
        <v>0</v>
      </c>
      <c r="AB125" s="42">
        <f t="shared" si="60"/>
        <v>0</v>
      </c>
      <c r="AC125" s="42"/>
      <c r="AD125" s="42"/>
      <c r="AE125" s="42"/>
      <c r="AF125" s="42"/>
      <c r="AG125" s="42"/>
    </row>
    <row r="126" spans="1:33" s="3" customFormat="1" x14ac:dyDescent="0.3">
      <c r="A126" s="70"/>
      <c r="B126" s="3" t="s">
        <v>174</v>
      </c>
      <c r="C126" s="48"/>
      <c r="D126" s="48">
        <f t="shared" ref="D126:AB126" si="61">D121+D125+D122-D123-D124</f>
        <v>-1199.5407088113625</v>
      </c>
      <c r="E126" s="48">
        <f t="shared" si="61"/>
        <v>-871.79227039898979</v>
      </c>
      <c r="F126" s="48">
        <f t="shared" si="61"/>
        <v>-542.22369652316956</v>
      </c>
      <c r="G126" s="48">
        <f t="shared" si="61"/>
        <v>112.26479338968147</v>
      </c>
      <c r="H126" s="48">
        <f t="shared" si="61"/>
        <v>453.64865533502052</v>
      </c>
      <c r="I126" s="48">
        <f t="shared" si="61"/>
        <v>797.15403251593852</v>
      </c>
      <c r="J126" s="48">
        <f t="shared" si="61"/>
        <v>1142.820267322234</v>
      </c>
      <c r="K126" s="48">
        <f t="shared" si="61"/>
        <v>1490.6874135055541</v>
      </c>
      <c r="L126" s="48">
        <f t="shared" si="61"/>
        <v>1840.7962485535236</v>
      </c>
      <c r="M126" s="48">
        <f t="shared" si="61"/>
        <v>2193.1882862656876</v>
      </c>
      <c r="N126" s="48">
        <f t="shared" si="61"/>
        <v>3027.9057895341839</v>
      </c>
      <c r="O126" s="48">
        <f t="shared" si="61"/>
        <v>3384.9917833321169</v>
      </c>
      <c r="P126" s="48">
        <f t="shared" si="61"/>
        <v>3744.4900679125558</v>
      </c>
      <c r="Q126" s="48">
        <f t="shared" si="61"/>
        <v>4106.4452322211973</v>
      </c>
      <c r="R126" s="48">
        <f t="shared" si="61"/>
        <v>4470.9026675256973</v>
      </c>
      <c r="S126" s="48">
        <f t="shared" si="61"/>
        <v>7381.9085812647281</v>
      </c>
      <c r="T126" s="48">
        <f t="shared" si="61"/>
        <v>7298.5007226037542</v>
      </c>
      <c r="U126" s="48">
        <f t="shared" si="61"/>
        <v>5749.3761294850829</v>
      </c>
      <c r="V126" s="48">
        <f t="shared" si="61"/>
        <v>5858.8588553515747</v>
      </c>
      <c r="W126" s="48">
        <f t="shared" si="61"/>
        <v>5970.3978972769855</v>
      </c>
      <c r="X126" s="48">
        <f t="shared" si="61"/>
        <v>0</v>
      </c>
      <c r="Y126" s="48">
        <f t="shared" si="61"/>
        <v>0</v>
      </c>
      <c r="Z126" s="48">
        <f t="shared" si="61"/>
        <v>0</v>
      </c>
      <c r="AA126" s="48">
        <f t="shared" si="61"/>
        <v>0</v>
      </c>
      <c r="AB126" s="48">
        <f t="shared" si="61"/>
        <v>0</v>
      </c>
      <c r="AC126" s="48"/>
      <c r="AD126" s="48"/>
      <c r="AE126" s="48"/>
      <c r="AF126" s="48"/>
      <c r="AG126" s="48"/>
    </row>
    <row r="127" spans="1:33" x14ac:dyDescent="0.3">
      <c r="B127" t="s">
        <v>66</v>
      </c>
      <c r="C127" s="47">
        <f>I4+H7</f>
        <v>38160</v>
      </c>
      <c r="D127" s="47">
        <f t="shared" ref="D127:AB127" si="62">(D42=$H$6)*(($C$7*$H$8)+$H$7)</f>
        <v>0</v>
      </c>
      <c r="E127" s="47">
        <f t="shared" si="62"/>
        <v>0</v>
      </c>
      <c r="F127" s="47">
        <f t="shared" si="62"/>
        <v>0</v>
      </c>
      <c r="G127" s="47">
        <f t="shared" si="62"/>
        <v>0</v>
      </c>
      <c r="H127" s="47">
        <f t="shared" si="62"/>
        <v>0</v>
      </c>
      <c r="I127" s="47">
        <f t="shared" si="62"/>
        <v>0</v>
      </c>
      <c r="J127" s="47">
        <f t="shared" si="62"/>
        <v>0</v>
      </c>
      <c r="K127" s="47">
        <f t="shared" si="62"/>
        <v>0</v>
      </c>
      <c r="L127" s="47">
        <f t="shared" si="62"/>
        <v>0</v>
      </c>
      <c r="M127" s="47">
        <f t="shared" si="62"/>
        <v>0</v>
      </c>
      <c r="N127" s="47">
        <f t="shared" si="62"/>
        <v>0</v>
      </c>
      <c r="O127" s="47">
        <f t="shared" si="62"/>
        <v>0</v>
      </c>
      <c r="P127" s="47">
        <f t="shared" si="62"/>
        <v>0</v>
      </c>
      <c r="Q127" s="47">
        <f t="shared" si="62"/>
        <v>0</v>
      </c>
      <c r="R127" s="47">
        <f t="shared" si="62"/>
        <v>0</v>
      </c>
      <c r="S127" s="47">
        <f t="shared" si="62"/>
        <v>0</v>
      </c>
      <c r="T127" s="47">
        <f t="shared" si="62"/>
        <v>0</v>
      </c>
      <c r="U127" s="47">
        <f t="shared" si="62"/>
        <v>0</v>
      </c>
      <c r="V127" s="47">
        <f t="shared" si="62"/>
        <v>0</v>
      </c>
      <c r="W127" s="47">
        <f t="shared" si="62"/>
        <v>0</v>
      </c>
      <c r="X127" s="47">
        <f t="shared" si="62"/>
        <v>0</v>
      </c>
      <c r="Y127" s="47">
        <f t="shared" si="62"/>
        <v>0</v>
      </c>
      <c r="Z127" s="47">
        <f t="shared" si="62"/>
        <v>0</v>
      </c>
      <c r="AA127" s="47">
        <f t="shared" si="62"/>
        <v>0</v>
      </c>
      <c r="AB127" s="47">
        <f t="shared" si="62"/>
        <v>0</v>
      </c>
      <c r="AC127" s="47"/>
      <c r="AD127" s="47"/>
      <c r="AE127" s="47"/>
      <c r="AF127" s="47"/>
      <c r="AG127" s="47"/>
    </row>
    <row r="128" spans="1:33" x14ac:dyDescent="0.3">
      <c r="B128" t="s">
        <v>175</v>
      </c>
      <c r="C128" s="47"/>
      <c r="D128" s="47">
        <f t="shared" ref="D128:AB128" si="63">-D133</f>
        <v>0</v>
      </c>
      <c r="E128" s="47">
        <f t="shared" si="63"/>
        <v>0</v>
      </c>
      <c r="F128" s="47">
        <f t="shared" si="63"/>
        <v>0</v>
      </c>
      <c r="G128" s="47">
        <f t="shared" si="63"/>
        <v>0</v>
      </c>
      <c r="H128" s="47">
        <f t="shared" si="63"/>
        <v>0</v>
      </c>
      <c r="I128" s="47">
        <f t="shared" si="63"/>
        <v>0</v>
      </c>
      <c r="J128" s="47">
        <f t="shared" si="63"/>
        <v>0</v>
      </c>
      <c r="K128" s="47">
        <f t="shared" si="63"/>
        <v>0</v>
      </c>
      <c r="L128" s="47">
        <f t="shared" si="63"/>
        <v>0</v>
      </c>
      <c r="M128" s="47">
        <f t="shared" si="63"/>
        <v>0</v>
      </c>
      <c r="N128" s="47">
        <f t="shared" si="63"/>
        <v>0</v>
      </c>
      <c r="O128" s="47">
        <f t="shared" si="63"/>
        <v>0</v>
      </c>
      <c r="P128" s="47">
        <f t="shared" si="63"/>
        <v>0</v>
      </c>
      <c r="Q128" s="47">
        <f t="shared" si="63"/>
        <v>0</v>
      </c>
      <c r="R128" s="47">
        <f t="shared" si="63"/>
        <v>0</v>
      </c>
      <c r="S128" s="47">
        <f t="shared" si="63"/>
        <v>0</v>
      </c>
      <c r="T128" s="47">
        <f t="shared" si="63"/>
        <v>0</v>
      </c>
      <c r="U128" s="47">
        <f t="shared" si="63"/>
        <v>0</v>
      </c>
      <c r="V128" s="47">
        <f t="shared" si="63"/>
        <v>0</v>
      </c>
      <c r="W128" s="47">
        <f t="shared" si="63"/>
        <v>0</v>
      </c>
      <c r="X128" s="47">
        <f t="shared" si="63"/>
        <v>0</v>
      </c>
      <c r="Y128" s="47">
        <f t="shared" si="63"/>
        <v>0</v>
      </c>
      <c r="Z128" s="47">
        <f t="shared" si="63"/>
        <v>0</v>
      </c>
      <c r="AA128" s="47">
        <f t="shared" si="63"/>
        <v>0</v>
      </c>
      <c r="AB128" s="47">
        <f t="shared" si="63"/>
        <v>0</v>
      </c>
      <c r="AC128" s="47"/>
      <c r="AD128" s="47"/>
      <c r="AE128" s="47"/>
      <c r="AF128" s="47"/>
      <c r="AG128" s="47"/>
    </row>
    <row r="129" spans="1:33" s="14" customFormat="1" x14ac:dyDescent="0.3">
      <c r="B129" s="14" t="s">
        <v>176</v>
      </c>
      <c r="C129" s="71"/>
      <c r="D129" s="71">
        <f t="shared" ref="D129:AB129" si="64">-D135</f>
        <v>0</v>
      </c>
      <c r="E129" s="71">
        <f t="shared" si="64"/>
        <v>0</v>
      </c>
      <c r="F129" s="71">
        <f t="shared" si="64"/>
        <v>0</v>
      </c>
      <c r="G129" s="71">
        <f t="shared" si="64"/>
        <v>0</v>
      </c>
      <c r="H129" s="71">
        <f t="shared" si="64"/>
        <v>0</v>
      </c>
      <c r="I129" s="71">
        <f t="shared" si="64"/>
        <v>0</v>
      </c>
      <c r="J129" s="71">
        <f t="shared" si="64"/>
        <v>0</v>
      </c>
      <c r="K129" s="71">
        <f t="shared" si="64"/>
        <v>0</v>
      </c>
      <c r="L129" s="71">
        <f t="shared" si="64"/>
        <v>0</v>
      </c>
      <c r="M129" s="71">
        <f t="shared" si="64"/>
        <v>0</v>
      </c>
      <c r="N129" s="71">
        <f t="shared" si="64"/>
        <v>0</v>
      </c>
      <c r="O129" s="71">
        <f t="shared" si="64"/>
        <v>0</v>
      </c>
      <c r="P129" s="71">
        <f t="shared" si="64"/>
        <v>0</v>
      </c>
      <c r="Q129" s="71">
        <f t="shared" si="64"/>
        <v>0</v>
      </c>
      <c r="R129" s="71">
        <f t="shared" si="64"/>
        <v>0</v>
      </c>
      <c r="S129" s="71">
        <f t="shared" si="64"/>
        <v>0</v>
      </c>
      <c r="T129" s="71">
        <f t="shared" si="64"/>
        <v>0</v>
      </c>
      <c r="U129" s="71">
        <f t="shared" si="64"/>
        <v>0</v>
      </c>
      <c r="V129" s="71">
        <f t="shared" si="64"/>
        <v>0</v>
      </c>
      <c r="W129" s="71">
        <f t="shared" si="64"/>
        <v>0</v>
      </c>
      <c r="X129" s="71">
        <f t="shared" si="64"/>
        <v>0</v>
      </c>
      <c r="Y129" s="71">
        <f t="shared" si="64"/>
        <v>0</v>
      </c>
      <c r="Z129" s="71">
        <f t="shared" si="64"/>
        <v>0</v>
      </c>
      <c r="AA129" s="71">
        <f t="shared" si="64"/>
        <v>0</v>
      </c>
      <c r="AB129" s="71">
        <f t="shared" si="64"/>
        <v>0</v>
      </c>
      <c r="AC129" s="71"/>
      <c r="AD129" s="71"/>
      <c r="AE129" s="71"/>
      <c r="AF129" s="71"/>
      <c r="AG129" s="71"/>
    </row>
    <row r="130" spans="1:33" s="3" customFormat="1" x14ac:dyDescent="0.3">
      <c r="B130" s="3" t="s">
        <v>177</v>
      </c>
      <c r="C130" s="48">
        <f t="shared" ref="C130:AB130" si="65">SUM(C127:C129)</f>
        <v>38160</v>
      </c>
      <c r="D130" s="48">
        <f t="shared" si="65"/>
        <v>0</v>
      </c>
      <c r="E130" s="48">
        <f t="shared" si="65"/>
        <v>0</v>
      </c>
      <c r="F130" s="48">
        <f t="shared" si="65"/>
        <v>0</v>
      </c>
      <c r="G130" s="48">
        <f t="shared" si="65"/>
        <v>0</v>
      </c>
      <c r="H130" s="48">
        <f t="shared" si="65"/>
        <v>0</v>
      </c>
      <c r="I130" s="48">
        <f t="shared" si="65"/>
        <v>0</v>
      </c>
      <c r="J130" s="48">
        <f t="shared" si="65"/>
        <v>0</v>
      </c>
      <c r="K130" s="48">
        <f t="shared" si="65"/>
        <v>0</v>
      </c>
      <c r="L130" s="48">
        <f t="shared" si="65"/>
        <v>0</v>
      </c>
      <c r="M130" s="48">
        <f t="shared" si="65"/>
        <v>0</v>
      </c>
      <c r="N130" s="48">
        <f t="shared" si="65"/>
        <v>0</v>
      </c>
      <c r="O130" s="48">
        <f t="shared" si="65"/>
        <v>0</v>
      </c>
      <c r="P130" s="48">
        <f t="shared" si="65"/>
        <v>0</v>
      </c>
      <c r="Q130" s="48">
        <f t="shared" si="65"/>
        <v>0</v>
      </c>
      <c r="R130" s="48">
        <f t="shared" si="65"/>
        <v>0</v>
      </c>
      <c r="S130" s="48">
        <f t="shared" si="65"/>
        <v>0</v>
      </c>
      <c r="T130" s="48">
        <f t="shared" si="65"/>
        <v>0</v>
      </c>
      <c r="U130" s="48">
        <f t="shared" si="65"/>
        <v>0</v>
      </c>
      <c r="V130" s="48">
        <f t="shared" si="65"/>
        <v>0</v>
      </c>
      <c r="W130" s="48">
        <f t="shared" si="65"/>
        <v>0</v>
      </c>
      <c r="X130" s="48">
        <f t="shared" si="65"/>
        <v>0</v>
      </c>
      <c r="Y130" s="48">
        <f t="shared" si="65"/>
        <v>0</v>
      </c>
      <c r="Z130" s="48">
        <f t="shared" si="65"/>
        <v>0</v>
      </c>
      <c r="AA130" s="48">
        <f t="shared" si="65"/>
        <v>0</v>
      </c>
      <c r="AB130" s="48">
        <f t="shared" si="65"/>
        <v>0</v>
      </c>
      <c r="AC130" s="48"/>
      <c r="AD130" s="48"/>
      <c r="AE130" s="48"/>
      <c r="AF130" s="48"/>
      <c r="AG130" s="48"/>
    </row>
    <row r="131" spans="1:33" s="3" customFormat="1" x14ac:dyDescent="0.3"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</row>
    <row r="132" spans="1:33" s="14" customFormat="1" x14ac:dyDescent="0.3">
      <c r="B132" s="14" t="s">
        <v>178</v>
      </c>
      <c r="C132" s="71"/>
      <c r="D132" s="71">
        <f t="shared" ref="D132:AB132" si="66">IF(D42&lt;=$H$12,$H$15,0)</f>
        <v>0</v>
      </c>
      <c r="E132" s="71">
        <f t="shared" si="66"/>
        <v>0</v>
      </c>
      <c r="F132" s="71">
        <f t="shared" si="66"/>
        <v>0</v>
      </c>
      <c r="G132" s="71">
        <f t="shared" si="66"/>
        <v>0</v>
      </c>
      <c r="H132" s="71">
        <f t="shared" si="66"/>
        <v>0</v>
      </c>
      <c r="I132" s="71">
        <f t="shared" si="66"/>
        <v>0</v>
      </c>
      <c r="J132" s="71">
        <f t="shared" si="66"/>
        <v>0</v>
      </c>
      <c r="K132" s="71">
        <f t="shared" si="66"/>
        <v>0</v>
      </c>
      <c r="L132" s="71">
        <f t="shared" si="66"/>
        <v>0</v>
      </c>
      <c r="M132" s="71">
        <f t="shared" si="66"/>
        <v>0</v>
      </c>
      <c r="N132" s="71">
        <f t="shared" si="66"/>
        <v>0</v>
      </c>
      <c r="O132" s="71">
        <f t="shared" si="66"/>
        <v>0</v>
      </c>
      <c r="P132" s="71">
        <f t="shared" si="66"/>
        <v>0</v>
      </c>
      <c r="Q132" s="71">
        <f t="shared" si="66"/>
        <v>0</v>
      </c>
      <c r="R132" s="71">
        <f t="shared" si="66"/>
        <v>0</v>
      </c>
      <c r="S132" s="71">
        <f t="shared" si="66"/>
        <v>0</v>
      </c>
      <c r="T132" s="71">
        <f t="shared" si="66"/>
        <v>0</v>
      </c>
      <c r="U132" s="71">
        <f t="shared" si="66"/>
        <v>0</v>
      </c>
      <c r="V132" s="71">
        <f t="shared" si="66"/>
        <v>0</v>
      </c>
      <c r="W132" s="71">
        <f t="shared" si="66"/>
        <v>0</v>
      </c>
      <c r="X132" s="71">
        <f t="shared" si="66"/>
        <v>0</v>
      </c>
      <c r="Y132" s="71">
        <f t="shared" si="66"/>
        <v>0</v>
      </c>
      <c r="Z132" s="71">
        <f t="shared" si="66"/>
        <v>0</v>
      </c>
      <c r="AA132" s="71">
        <f t="shared" si="66"/>
        <v>0</v>
      </c>
      <c r="AB132" s="71">
        <f t="shared" si="66"/>
        <v>0</v>
      </c>
      <c r="AC132" s="71"/>
      <c r="AD132" s="71"/>
      <c r="AE132" s="71"/>
      <c r="AF132" s="71"/>
      <c r="AG132" s="71"/>
    </row>
    <row r="133" spans="1:33" s="72" customFormat="1" x14ac:dyDescent="0.3">
      <c r="B133" s="14" t="s">
        <v>179</v>
      </c>
      <c r="C133" s="73"/>
      <c r="D133" s="73">
        <f t="shared" ref="D133:AB133" si="67">-IF(D$42=$H$12,$H$11,0)</f>
        <v>0</v>
      </c>
      <c r="E133" s="73">
        <f t="shared" si="67"/>
        <v>0</v>
      </c>
      <c r="F133" s="73">
        <f t="shared" si="67"/>
        <v>0</v>
      </c>
      <c r="G133" s="73">
        <f t="shared" si="67"/>
        <v>0</v>
      </c>
      <c r="H133" s="73">
        <f t="shared" si="67"/>
        <v>0</v>
      </c>
      <c r="I133" s="73">
        <f t="shared" si="67"/>
        <v>0</v>
      </c>
      <c r="J133" s="73">
        <f t="shared" si="67"/>
        <v>0</v>
      </c>
      <c r="K133" s="73">
        <f t="shared" si="67"/>
        <v>0</v>
      </c>
      <c r="L133" s="73">
        <f t="shared" si="67"/>
        <v>0</v>
      </c>
      <c r="M133" s="73">
        <f t="shared" si="67"/>
        <v>0</v>
      </c>
      <c r="N133" s="73">
        <f t="shared" si="67"/>
        <v>0</v>
      </c>
      <c r="O133" s="73">
        <f t="shared" si="67"/>
        <v>0</v>
      </c>
      <c r="P133" s="73">
        <f t="shared" si="67"/>
        <v>0</v>
      </c>
      <c r="Q133" s="73">
        <f t="shared" si="67"/>
        <v>0</v>
      </c>
      <c r="R133" s="73">
        <f t="shared" si="67"/>
        <v>0</v>
      </c>
      <c r="S133" s="73">
        <f t="shared" si="67"/>
        <v>0</v>
      </c>
      <c r="T133" s="73">
        <f t="shared" si="67"/>
        <v>0</v>
      </c>
      <c r="U133" s="73">
        <f t="shared" si="67"/>
        <v>0</v>
      </c>
      <c r="V133" s="73">
        <f t="shared" si="67"/>
        <v>0</v>
      </c>
      <c r="W133" s="73">
        <f t="shared" si="67"/>
        <v>0</v>
      </c>
      <c r="X133" s="73">
        <f t="shared" si="67"/>
        <v>0</v>
      </c>
      <c r="Y133" s="73">
        <f t="shared" si="67"/>
        <v>0</v>
      </c>
      <c r="Z133" s="73">
        <f t="shared" si="67"/>
        <v>0</v>
      </c>
      <c r="AA133" s="73">
        <f t="shared" si="67"/>
        <v>0</v>
      </c>
      <c r="AB133" s="73">
        <f t="shared" si="67"/>
        <v>0</v>
      </c>
      <c r="AC133" s="73"/>
      <c r="AD133" s="73"/>
      <c r="AE133" s="73"/>
      <c r="AF133" s="73"/>
      <c r="AG133" s="73"/>
    </row>
    <row r="134" spans="1:33" s="14" customFormat="1" x14ac:dyDescent="0.3">
      <c r="B134" s="14" t="s">
        <v>180</v>
      </c>
      <c r="C134" s="71"/>
      <c r="D134" s="71">
        <f t="shared" ref="D134:AB134" si="68">IF(D42&lt;=$H$14,$H$16,0)</f>
        <v>0</v>
      </c>
      <c r="E134" s="71">
        <f t="shared" si="68"/>
        <v>0</v>
      </c>
      <c r="F134" s="71">
        <f t="shared" si="68"/>
        <v>0</v>
      </c>
      <c r="G134" s="71">
        <f t="shared" si="68"/>
        <v>0</v>
      </c>
      <c r="H134" s="71">
        <f t="shared" si="68"/>
        <v>0</v>
      </c>
      <c r="I134" s="71">
        <f t="shared" si="68"/>
        <v>0</v>
      </c>
      <c r="J134" s="71">
        <f t="shared" si="68"/>
        <v>0</v>
      </c>
      <c r="K134" s="71">
        <f t="shared" si="68"/>
        <v>0</v>
      </c>
      <c r="L134" s="71">
        <f t="shared" si="68"/>
        <v>0</v>
      </c>
      <c r="M134" s="71">
        <f t="shared" si="68"/>
        <v>0</v>
      </c>
      <c r="N134" s="71">
        <f t="shared" si="68"/>
        <v>0</v>
      </c>
      <c r="O134" s="71">
        <f t="shared" si="68"/>
        <v>0</v>
      </c>
      <c r="P134" s="71">
        <f t="shared" si="68"/>
        <v>0</v>
      </c>
      <c r="Q134" s="71">
        <f t="shared" si="68"/>
        <v>0</v>
      </c>
      <c r="R134" s="71">
        <f t="shared" si="68"/>
        <v>0</v>
      </c>
      <c r="S134" s="71">
        <f t="shared" si="68"/>
        <v>0</v>
      </c>
      <c r="T134" s="71">
        <f t="shared" si="68"/>
        <v>0</v>
      </c>
      <c r="U134" s="71">
        <f t="shared" si="68"/>
        <v>0</v>
      </c>
      <c r="V134" s="71">
        <f t="shared" si="68"/>
        <v>0</v>
      </c>
      <c r="W134" s="71">
        <f t="shared" si="68"/>
        <v>0</v>
      </c>
      <c r="X134" s="71">
        <f t="shared" si="68"/>
        <v>0</v>
      </c>
      <c r="Y134" s="71">
        <f t="shared" si="68"/>
        <v>0</v>
      </c>
      <c r="Z134" s="71">
        <f t="shared" si="68"/>
        <v>0</v>
      </c>
      <c r="AA134" s="71">
        <f t="shared" si="68"/>
        <v>0</v>
      </c>
      <c r="AB134" s="71">
        <f t="shared" si="68"/>
        <v>0</v>
      </c>
      <c r="AC134" s="71"/>
      <c r="AD134" s="71"/>
      <c r="AE134" s="71"/>
      <c r="AF134" s="71"/>
      <c r="AG134" s="71"/>
    </row>
    <row r="135" spans="1:33" s="72" customFormat="1" x14ac:dyDescent="0.3">
      <c r="B135" s="14" t="s">
        <v>181</v>
      </c>
      <c r="C135" s="73"/>
      <c r="D135" s="73">
        <f t="shared" ref="D135:AB135" si="69">-IF(D$42=$H$14,$H$13,0)</f>
        <v>0</v>
      </c>
      <c r="E135" s="73">
        <f t="shared" si="69"/>
        <v>0</v>
      </c>
      <c r="F135" s="73">
        <f t="shared" si="69"/>
        <v>0</v>
      </c>
      <c r="G135" s="73">
        <f t="shared" si="69"/>
        <v>0</v>
      </c>
      <c r="H135" s="73">
        <f t="shared" si="69"/>
        <v>0</v>
      </c>
      <c r="I135" s="73">
        <f t="shared" si="69"/>
        <v>0</v>
      </c>
      <c r="J135" s="73">
        <f t="shared" si="69"/>
        <v>0</v>
      </c>
      <c r="K135" s="73">
        <f t="shared" si="69"/>
        <v>0</v>
      </c>
      <c r="L135" s="73">
        <f t="shared" si="69"/>
        <v>0</v>
      </c>
      <c r="M135" s="73">
        <f t="shared" si="69"/>
        <v>0</v>
      </c>
      <c r="N135" s="73">
        <f t="shared" si="69"/>
        <v>0</v>
      </c>
      <c r="O135" s="73">
        <f t="shared" si="69"/>
        <v>0</v>
      </c>
      <c r="P135" s="73">
        <f t="shared" si="69"/>
        <v>0</v>
      </c>
      <c r="Q135" s="73">
        <f t="shared" si="69"/>
        <v>0</v>
      </c>
      <c r="R135" s="73">
        <f t="shared" si="69"/>
        <v>0</v>
      </c>
      <c r="S135" s="73">
        <f t="shared" si="69"/>
        <v>0</v>
      </c>
      <c r="T135" s="73">
        <f t="shared" si="69"/>
        <v>0</v>
      </c>
      <c r="U135" s="73">
        <f t="shared" si="69"/>
        <v>0</v>
      </c>
      <c r="V135" s="73">
        <f t="shared" si="69"/>
        <v>0</v>
      </c>
      <c r="W135" s="73">
        <f t="shared" si="69"/>
        <v>0</v>
      </c>
      <c r="X135" s="73">
        <f t="shared" si="69"/>
        <v>0</v>
      </c>
      <c r="Y135" s="73">
        <f t="shared" si="69"/>
        <v>0</v>
      </c>
      <c r="Z135" s="73">
        <f t="shared" si="69"/>
        <v>0</v>
      </c>
      <c r="AA135" s="73">
        <f t="shared" si="69"/>
        <v>0</v>
      </c>
      <c r="AB135" s="73">
        <f t="shared" si="69"/>
        <v>0</v>
      </c>
      <c r="AC135" s="73"/>
      <c r="AD135" s="73"/>
      <c r="AE135" s="73"/>
      <c r="AF135" s="73"/>
      <c r="AG135" s="73"/>
    </row>
    <row r="136" spans="1:33" s="72" customFormat="1" x14ac:dyDescent="0.3">
      <c r="B136" s="14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</row>
    <row r="137" spans="1:33" s="3" customFormat="1" x14ac:dyDescent="0.3">
      <c r="A137" s="74">
        <f>SUM(C137:AB137)</f>
        <v>18250.780747661986</v>
      </c>
      <c r="B137" s="3" t="s">
        <v>182</v>
      </c>
      <c r="C137" s="48">
        <f t="shared" ref="C137:AB137" si="70">-C130+C126-SUM(C132:C135)</f>
        <v>-38160</v>
      </c>
      <c r="D137" s="48">
        <f t="shared" si="70"/>
        <v>-1199.5407088113625</v>
      </c>
      <c r="E137" s="48">
        <f t="shared" si="70"/>
        <v>-871.79227039898979</v>
      </c>
      <c r="F137" s="48">
        <f t="shared" si="70"/>
        <v>-542.22369652316956</v>
      </c>
      <c r="G137" s="48">
        <f t="shared" si="70"/>
        <v>112.26479338968147</v>
      </c>
      <c r="H137" s="48">
        <f t="shared" si="70"/>
        <v>453.64865533502052</v>
      </c>
      <c r="I137" s="48">
        <f t="shared" si="70"/>
        <v>797.15403251593852</v>
      </c>
      <c r="J137" s="48">
        <f t="shared" si="70"/>
        <v>1142.820267322234</v>
      </c>
      <c r="K137" s="48">
        <f t="shared" si="70"/>
        <v>1490.6874135055541</v>
      </c>
      <c r="L137" s="48">
        <f t="shared" si="70"/>
        <v>1840.7962485535236</v>
      </c>
      <c r="M137" s="48">
        <f t="shared" si="70"/>
        <v>2193.1882862656876</v>
      </c>
      <c r="N137" s="48">
        <f t="shared" si="70"/>
        <v>3027.9057895341839</v>
      </c>
      <c r="O137" s="48">
        <f t="shared" si="70"/>
        <v>3384.9917833321169</v>
      </c>
      <c r="P137" s="48">
        <f t="shared" si="70"/>
        <v>3744.4900679125558</v>
      </c>
      <c r="Q137" s="48">
        <f t="shared" si="70"/>
        <v>4106.4452322211973</v>
      </c>
      <c r="R137" s="48">
        <f t="shared" si="70"/>
        <v>4470.9026675256973</v>
      </c>
      <c r="S137" s="48">
        <f t="shared" si="70"/>
        <v>7381.9085812647281</v>
      </c>
      <c r="T137" s="48">
        <f t="shared" si="70"/>
        <v>7298.5007226037542</v>
      </c>
      <c r="U137" s="48">
        <f t="shared" si="70"/>
        <v>5749.3761294850829</v>
      </c>
      <c r="V137" s="48">
        <f t="shared" si="70"/>
        <v>5858.8588553515747</v>
      </c>
      <c r="W137" s="48">
        <f t="shared" si="70"/>
        <v>5970.3978972769855</v>
      </c>
      <c r="X137" s="48">
        <f t="shared" si="70"/>
        <v>0</v>
      </c>
      <c r="Y137" s="48">
        <f t="shared" si="70"/>
        <v>0</v>
      </c>
      <c r="Z137" s="48">
        <f t="shared" si="70"/>
        <v>0</v>
      </c>
      <c r="AA137" s="48">
        <f t="shared" si="70"/>
        <v>0</v>
      </c>
      <c r="AB137" s="48">
        <f t="shared" si="70"/>
        <v>0</v>
      </c>
      <c r="AC137" s="48"/>
      <c r="AD137" s="48"/>
      <c r="AE137" s="48"/>
      <c r="AF137" s="48"/>
      <c r="AG137" s="48"/>
    </row>
    <row r="138" spans="1:33" s="72" customFormat="1" x14ac:dyDescent="0.3">
      <c r="A138" s="75">
        <f>SUM(C138:AB138)</f>
        <v>0</v>
      </c>
      <c r="B138" s="72" t="s">
        <v>183</v>
      </c>
      <c r="C138" s="76">
        <f t="shared" ref="C138:AB138" si="71">-C142-C152-C147</f>
        <v>0</v>
      </c>
      <c r="D138" s="76">
        <f t="shared" si="71"/>
        <v>0</v>
      </c>
      <c r="E138" s="76">
        <f t="shared" si="71"/>
        <v>0</v>
      </c>
      <c r="F138" s="76">
        <f t="shared" si="71"/>
        <v>0</v>
      </c>
      <c r="G138" s="76">
        <f t="shared" si="71"/>
        <v>0</v>
      </c>
      <c r="H138" s="76">
        <f t="shared" si="71"/>
        <v>0</v>
      </c>
      <c r="I138" s="76">
        <f t="shared" si="71"/>
        <v>0</v>
      </c>
      <c r="J138" s="76">
        <f t="shared" si="71"/>
        <v>0</v>
      </c>
      <c r="K138" s="76">
        <f t="shared" si="71"/>
        <v>0</v>
      </c>
      <c r="L138" s="76">
        <f t="shared" si="71"/>
        <v>0</v>
      </c>
      <c r="M138" s="76">
        <f t="shared" si="71"/>
        <v>0</v>
      </c>
      <c r="N138" s="76">
        <f t="shared" si="71"/>
        <v>0</v>
      </c>
      <c r="O138" s="76">
        <f t="shared" si="71"/>
        <v>0</v>
      </c>
      <c r="P138" s="76">
        <f t="shared" si="71"/>
        <v>0</v>
      </c>
      <c r="Q138" s="76">
        <f t="shared" si="71"/>
        <v>0</v>
      </c>
      <c r="R138" s="76">
        <f t="shared" si="71"/>
        <v>0</v>
      </c>
      <c r="S138" s="76">
        <f t="shared" si="71"/>
        <v>0</v>
      </c>
      <c r="T138" s="76">
        <f t="shared" si="71"/>
        <v>0</v>
      </c>
      <c r="U138" s="76">
        <f t="shared" si="71"/>
        <v>0</v>
      </c>
      <c r="V138" s="76">
        <f t="shared" si="71"/>
        <v>0</v>
      </c>
      <c r="W138" s="76">
        <f t="shared" si="71"/>
        <v>0</v>
      </c>
      <c r="X138" s="76">
        <f t="shared" si="71"/>
        <v>0</v>
      </c>
      <c r="Y138" s="76">
        <f t="shared" si="71"/>
        <v>0</v>
      </c>
      <c r="Z138" s="76">
        <f t="shared" si="71"/>
        <v>0</v>
      </c>
      <c r="AA138" s="76">
        <f t="shared" si="71"/>
        <v>0</v>
      </c>
      <c r="AB138" s="76">
        <f t="shared" si="71"/>
        <v>0</v>
      </c>
      <c r="AC138" s="76"/>
      <c r="AD138" s="76"/>
      <c r="AE138" s="76"/>
      <c r="AF138" s="76"/>
      <c r="AG138" s="76"/>
    </row>
    <row r="139" spans="1:33" s="59" customFormat="1" x14ac:dyDescent="0.3">
      <c r="B139" s="59" t="s">
        <v>184</v>
      </c>
      <c r="C139" s="77">
        <f>C137</f>
        <v>-38160</v>
      </c>
      <c r="D139" s="77">
        <f t="shared" ref="D139:AB139" si="72">(C139+D137)*(D42&lt;=$C$19)</f>
        <v>-39359.540708811364</v>
      </c>
      <c r="E139" s="77">
        <f t="shared" si="72"/>
        <v>-40231.332979210354</v>
      </c>
      <c r="F139" s="77">
        <f t="shared" si="72"/>
        <v>-40773.556675733525</v>
      </c>
      <c r="G139" s="77">
        <f t="shared" si="72"/>
        <v>-40661.291882343845</v>
      </c>
      <c r="H139" s="77">
        <f t="shared" si="72"/>
        <v>-40207.643227008826</v>
      </c>
      <c r="I139" s="77">
        <f t="shared" si="72"/>
        <v>-39410.48919449289</v>
      </c>
      <c r="J139" s="77">
        <f t="shared" si="72"/>
        <v>-38267.668927170656</v>
      </c>
      <c r="K139" s="77">
        <f t="shared" si="72"/>
        <v>-36776.981513665101</v>
      </c>
      <c r="L139" s="77">
        <f t="shared" si="72"/>
        <v>-34936.185265111577</v>
      </c>
      <c r="M139" s="77">
        <f t="shared" si="72"/>
        <v>-32742.996978845891</v>
      </c>
      <c r="N139" s="77">
        <f t="shared" si="72"/>
        <v>-29715.091189311708</v>
      </c>
      <c r="O139" s="77">
        <f t="shared" si="72"/>
        <v>-26330.099405979592</v>
      </c>
      <c r="P139" s="77">
        <f t="shared" si="72"/>
        <v>-22585.609338067035</v>
      </c>
      <c r="Q139" s="77">
        <f t="shared" si="72"/>
        <v>-18479.164105845837</v>
      </c>
      <c r="R139" s="77">
        <f t="shared" si="72"/>
        <v>-14008.26143832014</v>
      </c>
      <c r="S139" s="77">
        <f t="shared" si="72"/>
        <v>-6626.3528570554117</v>
      </c>
      <c r="T139" s="77">
        <f t="shared" si="72"/>
        <v>672.14786554834245</v>
      </c>
      <c r="U139" s="77">
        <f t="shared" si="72"/>
        <v>6421.5239950334253</v>
      </c>
      <c r="V139" s="77">
        <f t="shared" si="72"/>
        <v>12280.382850385</v>
      </c>
      <c r="W139" s="77">
        <f t="shared" si="72"/>
        <v>18250.780747661986</v>
      </c>
      <c r="X139" s="77">
        <f t="shared" si="72"/>
        <v>0</v>
      </c>
      <c r="Y139" s="77">
        <f t="shared" si="72"/>
        <v>0</v>
      </c>
      <c r="Z139" s="77">
        <f t="shared" si="72"/>
        <v>0</v>
      </c>
      <c r="AA139" s="77">
        <f t="shared" si="72"/>
        <v>0</v>
      </c>
      <c r="AB139" s="77">
        <f t="shared" si="72"/>
        <v>0</v>
      </c>
      <c r="AC139" s="77"/>
      <c r="AD139" s="77"/>
      <c r="AE139" s="77"/>
      <c r="AF139" s="77"/>
      <c r="AG139" s="77"/>
    </row>
    <row r="140" spans="1:33" s="59" customFormat="1" x14ac:dyDescent="0.3">
      <c r="B140" s="78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1:33" x14ac:dyDescent="0.3"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</row>
    <row r="142" spans="1:33" x14ac:dyDescent="0.3">
      <c r="B142" t="s">
        <v>185</v>
      </c>
      <c r="C142" s="42">
        <f>C130*Finance!E22</f>
        <v>0</v>
      </c>
      <c r="D142" s="42">
        <f t="shared" ref="D142:AB142" si="73">MAX(0,D130-D143)</f>
        <v>0</v>
      </c>
      <c r="E142" s="42">
        <f t="shared" si="73"/>
        <v>0</v>
      </c>
      <c r="F142" s="42">
        <f t="shared" si="73"/>
        <v>0</v>
      </c>
      <c r="G142" s="42">
        <f t="shared" si="73"/>
        <v>0</v>
      </c>
      <c r="H142" s="42">
        <f t="shared" si="73"/>
        <v>0</v>
      </c>
      <c r="I142" s="42">
        <f t="shared" si="73"/>
        <v>0</v>
      </c>
      <c r="J142" s="42">
        <f t="shared" si="73"/>
        <v>0</v>
      </c>
      <c r="K142" s="42">
        <f t="shared" si="73"/>
        <v>0</v>
      </c>
      <c r="L142" s="42">
        <f t="shared" si="73"/>
        <v>0</v>
      </c>
      <c r="M142" s="42">
        <f t="shared" si="73"/>
        <v>0</v>
      </c>
      <c r="N142" s="42">
        <f t="shared" si="73"/>
        <v>0</v>
      </c>
      <c r="O142" s="42">
        <f t="shared" si="73"/>
        <v>0</v>
      </c>
      <c r="P142" s="42">
        <f t="shared" si="73"/>
        <v>0</v>
      </c>
      <c r="Q142" s="42">
        <f t="shared" si="73"/>
        <v>0</v>
      </c>
      <c r="R142" s="42">
        <f t="shared" si="73"/>
        <v>0</v>
      </c>
      <c r="S142" s="42">
        <f t="shared" si="73"/>
        <v>0</v>
      </c>
      <c r="T142" s="42">
        <f t="shared" si="73"/>
        <v>0</v>
      </c>
      <c r="U142" s="42">
        <f t="shared" si="73"/>
        <v>0</v>
      </c>
      <c r="V142" s="42">
        <f t="shared" si="73"/>
        <v>0</v>
      </c>
      <c r="W142" s="42">
        <f t="shared" si="73"/>
        <v>0</v>
      </c>
      <c r="X142" s="42">
        <f t="shared" si="73"/>
        <v>0</v>
      </c>
      <c r="Y142" s="42">
        <f t="shared" si="73"/>
        <v>0</v>
      </c>
      <c r="Z142" s="42">
        <f t="shared" si="73"/>
        <v>0</v>
      </c>
      <c r="AA142" s="42">
        <f t="shared" si="73"/>
        <v>0</v>
      </c>
      <c r="AB142" s="42">
        <f t="shared" si="73"/>
        <v>0</v>
      </c>
      <c r="AC142" s="42"/>
      <c r="AD142" s="42"/>
      <c r="AE142" s="42"/>
      <c r="AF142" s="42"/>
      <c r="AG142" s="42"/>
    </row>
    <row r="143" spans="1:33" s="117" customFormat="1" x14ac:dyDescent="0.3">
      <c r="B143" s="117" t="s">
        <v>186</v>
      </c>
      <c r="C143" s="118">
        <f>C130*Finance!E19</f>
        <v>38160</v>
      </c>
      <c r="D143" s="118">
        <f>(C143-D145)*(D$42&lt;=Finance!$E$20)</f>
        <v>35616</v>
      </c>
      <c r="E143" s="118">
        <f>(D143-E145)*(E$42&lt;=Finance!$E$20)</f>
        <v>33072</v>
      </c>
      <c r="F143" s="118">
        <f>(E143-F145)*(F$42&lt;=Finance!$E$20)</f>
        <v>30528</v>
      </c>
      <c r="G143" s="118">
        <f>(F143-G145)*(G$42&lt;=Finance!$E$20)</f>
        <v>27984</v>
      </c>
      <c r="H143" s="118">
        <f>(G143-H145)*(H$42&lt;=Finance!$E$20)</f>
        <v>25440</v>
      </c>
      <c r="I143" s="118">
        <f>(H143-I145)*(I$42&lt;=Finance!$E$20)</f>
        <v>22896</v>
      </c>
      <c r="J143" s="118">
        <f>(I143-J145)*(J$42&lt;=Finance!$E$20)</f>
        <v>20352</v>
      </c>
      <c r="K143" s="118">
        <f>(J143-K145)*(K$42&lt;=Finance!$E$20)</f>
        <v>17808</v>
      </c>
      <c r="L143" s="118">
        <f>(K143-L145)*(L$42&lt;=Finance!$E$20)</f>
        <v>15264</v>
      </c>
      <c r="M143" s="118">
        <f>(L143-M145)*(M$42&lt;=Finance!$E$20)</f>
        <v>12720</v>
      </c>
      <c r="N143" s="118">
        <f>(M143-N145)*(N$42&lt;=Finance!$E$20)</f>
        <v>10176</v>
      </c>
      <c r="O143" s="118">
        <f>(N143-O145)*(O$42&lt;=Finance!$E$20)</f>
        <v>7632</v>
      </c>
      <c r="P143" s="118">
        <f>(O143-P145)*(P$42&lt;=Finance!$E$20)</f>
        <v>5088</v>
      </c>
      <c r="Q143" s="118">
        <f>(P143-Q145)*(Q$42&lt;=Finance!$E$20)</f>
        <v>2544</v>
      </c>
      <c r="R143" s="118">
        <f>(Q143-R145)*(R$42&lt;=Finance!$E$20)</f>
        <v>0</v>
      </c>
      <c r="S143" s="118">
        <f>(R143-S145)*(S$42&lt;=Finance!$E$20)</f>
        <v>0</v>
      </c>
      <c r="T143" s="118">
        <f>(S143-T145)*(T$42&lt;=Finance!$E$20)</f>
        <v>0</v>
      </c>
      <c r="U143" s="118">
        <f>(T143-U145)*(U$42&lt;=Finance!$E$20)</f>
        <v>0</v>
      </c>
      <c r="V143" s="118">
        <f>(U143-V145)*(V$42&lt;=Finance!$E$20)</f>
        <v>0</v>
      </c>
      <c r="W143" s="118">
        <f>(V143-W145)*(W$42&lt;=Finance!$E$20)</f>
        <v>0</v>
      </c>
      <c r="X143" s="118">
        <f>(W143-X145)*(X$42&lt;=Finance!$E$20)</f>
        <v>0</v>
      </c>
      <c r="Y143" s="118">
        <f>(X143-Y145)*(Y$42&lt;=Finance!$E$20)</f>
        <v>0</v>
      </c>
      <c r="Z143" s="118">
        <f>(Y143-Z145)*(Z$42&lt;=Finance!$E$20)</f>
        <v>0</v>
      </c>
      <c r="AA143" s="118">
        <f>(Z143-AA145)*(AA$42&lt;=Finance!$E$20)</f>
        <v>0</v>
      </c>
      <c r="AB143" s="118">
        <f>(AA143-AB145)*(AB$42&lt;=Finance!$E$20)</f>
        <v>0</v>
      </c>
      <c r="AC143" s="118"/>
      <c r="AD143" s="118"/>
      <c r="AE143" s="118"/>
      <c r="AF143" s="118"/>
      <c r="AG143" s="118"/>
    </row>
    <row r="144" spans="1:33" x14ac:dyDescent="0.3">
      <c r="B144" s="117" t="s">
        <v>187</v>
      </c>
      <c r="C144" s="117"/>
      <c r="D144" s="118">
        <f>C143*Finance!E21</f>
        <v>3434.4</v>
      </c>
      <c r="E144" s="118">
        <f>D143*Finance!$E$21</f>
        <v>3205.44</v>
      </c>
      <c r="F144" s="118">
        <f>E143*Finance!$E$21</f>
        <v>2976.48</v>
      </c>
      <c r="G144" s="118">
        <f>F143*Finance!$E$21</f>
        <v>2747.52</v>
      </c>
      <c r="H144" s="118">
        <f>G143*Finance!$E$21</f>
        <v>2518.56</v>
      </c>
      <c r="I144" s="118">
        <f>H143*Finance!$E$21</f>
        <v>2289.6</v>
      </c>
      <c r="J144" s="118">
        <f>I143*Finance!$E$21</f>
        <v>2060.64</v>
      </c>
      <c r="K144" s="118">
        <f>J143*Finance!$E$21</f>
        <v>1831.6799999999998</v>
      </c>
      <c r="L144" s="118">
        <f>K143*Finance!$E$21</f>
        <v>1602.72</v>
      </c>
      <c r="M144" s="118">
        <f>L143*Finance!$E$21</f>
        <v>1373.76</v>
      </c>
      <c r="N144" s="118">
        <f>M143*Finance!$E$21</f>
        <v>1144.8</v>
      </c>
      <c r="O144" s="118">
        <f>N143*Finance!$E$21</f>
        <v>915.83999999999992</v>
      </c>
      <c r="P144" s="118">
        <f>O143*Finance!$E$21</f>
        <v>686.88</v>
      </c>
      <c r="Q144" s="118">
        <f>P143*Finance!$E$21</f>
        <v>457.91999999999996</v>
      </c>
      <c r="R144" s="118">
        <f>Q143*Finance!$E$21</f>
        <v>228.95999999999998</v>
      </c>
      <c r="S144" s="118">
        <f>R143*Finance!$E$21</f>
        <v>0</v>
      </c>
      <c r="T144" s="118">
        <f>S143*Finance!$E$21</f>
        <v>0</v>
      </c>
      <c r="U144" s="118">
        <f>T143*Finance!$E$21</f>
        <v>0</v>
      </c>
      <c r="V144" s="118">
        <f>U143*Finance!$E$21</f>
        <v>0</v>
      </c>
      <c r="W144" s="118">
        <f>V143*Finance!$E$21</f>
        <v>0</v>
      </c>
      <c r="X144" s="118">
        <f>W143*Finance!$E$21</f>
        <v>0</v>
      </c>
      <c r="Y144" s="118">
        <f>X143*Finance!$E$21</f>
        <v>0</v>
      </c>
      <c r="Z144" s="118">
        <f>Y143*Finance!$E$21</f>
        <v>0</v>
      </c>
      <c r="AA144" s="118">
        <f>Z143*Finance!$E$21</f>
        <v>0</v>
      </c>
      <c r="AB144" s="118">
        <f>AA143*Finance!$E$21</f>
        <v>0</v>
      </c>
      <c r="AC144" s="42"/>
      <c r="AD144" s="42"/>
      <c r="AE144" s="42"/>
      <c r="AF144" s="42"/>
      <c r="AG144" s="42"/>
    </row>
    <row r="145" spans="1:33" x14ac:dyDescent="0.3">
      <c r="B145" s="117" t="s">
        <v>188</v>
      </c>
      <c r="C145" s="117"/>
      <c r="D145" s="118">
        <f>C143/Finance!E20</f>
        <v>2544</v>
      </c>
      <c r="E145" s="118">
        <f>D145*(E$42&lt;=Finance!$E$20)</f>
        <v>2544</v>
      </c>
      <c r="F145" s="118">
        <f>E145*(F$42&lt;=Finance!$E$20)</f>
        <v>2544</v>
      </c>
      <c r="G145" s="118">
        <f>F145*(G$42&lt;=Finance!$E$20)</f>
        <v>2544</v>
      </c>
      <c r="H145" s="118">
        <f>G145*(H$42&lt;=Finance!$E$20)</f>
        <v>2544</v>
      </c>
      <c r="I145" s="118">
        <f>H145*(I$42&lt;=Finance!$E$20)</f>
        <v>2544</v>
      </c>
      <c r="J145" s="118">
        <f>I145*(J$42&lt;=Finance!$E$20)</f>
        <v>2544</v>
      </c>
      <c r="K145" s="118">
        <f>J145*(K$42&lt;=Finance!$E$20)</f>
        <v>2544</v>
      </c>
      <c r="L145" s="118">
        <f>K145*(L$42&lt;=Finance!$E$20)</f>
        <v>2544</v>
      </c>
      <c r="M145" s="118">
        <f>L145*(M$42&lt;=Finance!$E$20)</f>
        <v>2544</v>
      </c>
      <c r="N145" s="118">
        <f>M145*(N$42&lt;=Finance!$E$20)</f>
        <v>2544</v>
      </c>
      <c r="O145" s="118">
        <f>N145*(O$42&lt;=Finance!$E$20)</f>
        <v>2544</v>
      </c>
      <c r="P145" s="118">
        <f>O145*(P$42&lt;=Finance!$E$20)</f>
        <v>2544</v>
      </c>
      <c r="Q145" s="118">
        <f>P145*(Q$42&lt;=Finance!$E$20)</f>
        <v>2544</v>
      </c>
      <c r="R145" s="118">
        <f>Q145*(R$42&lt;=Finance!$E$20)</f>
        <v>2544</v>
      </c>
      <c r="S145" s="118">
        <f>R145*(S$42&lt;=Finance!$E$20)</f>
        <v>0</v>
      </c>
      <c r="T145" s="118">
        <f>S145*(T$42&lt;=Finance!$E$20)</f>
        <v>0</v>
      </c>
      <c r="U145" s="118">
        <f>T145*(U$42&lt;=Finance!$E$20)</f>
        <v>0</v>
      </c>
      <c r="V145" s="118">
        <f>U145*(V$42&lt;=Finance!$E$20)</f>
        <v>0</v>
      </c>
      <c r="W145" s="118">
        <f>V145*(W$42&lt;=Finance!$E$20)</f>
        <v>0</v>
      </c>
      <c r="X145" s="118">
        <f>W145*(X$42&lt;=Finance!$E$20)</f>
        <v>0</v>
      </c>
      <c r="Y145" s="118">
        <f>X145*(Y$42&lt;=Finance!$E$20)</f>
        <v>0</v>
      </c>
      <c r="Z145" s="118">
        <f>Y145*(Z$42&lt;=Finance!$E$20)</f>
        <v>0</v>
      </c>
      <c r="AA145" s="118">
        <f>Z145*(AA$42&lt;=Finance!$E$20)</f>
        <v>0</v>
      </c>
      <c r="AB145" s="118">
        <f>AA145*(AB$42&lt;=Finance!$E$20)</f>
        <v>0</v>
      </c>
      <c r="AC145" s="42"/>
      <c r="AD145" s="42"/>
      <c r="AE145" s="42"/>
      <c r="AF145" s="42"/>
      <c r="AG145" s="42"/>
    </row>
    <row r="146" spans="1:33" x14ac:dyDescent="0.3"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</row>
    <row r="147" spans="1:33" s="151" customFormat="1" x14ac:dyDescent="0.3">
      <c r="B147" s="151" t="s">
        <v>189</v>
      </c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</row>
    <row r="148" spans="1:33" s="151" customFormat="1" x14ac:dyDescent="0.3">
      <c r="B148" s="151" t="s">
        <v>190</v>
      </c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</row>
    <row r="149" spans="1:33" s="151" customFormat="1" x14ac:dyDescent="0.3">
      <c r="A149" s="154">
        <f>SUM(C149:AB149)</f>
        <v>0</v>
      </c>
      <c r="B149" s="151" t="s">
        <v>191</v>
      </c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</row>
    <row r="150" spans="1:33" s="151" customFormat="1" x14ac:dyDescent="0.3">
      <c r="B150" s="151" t="s">
        <v>192</v>
      </c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</row>
    <row r="151" spans="1:33" x14ac:dyDescent="0.3">
      <c r="B151" t="s">
        <v>193</v>
      </c>
      <c r="C151" s="42">
        <f t="shared" ref="C151:AB151" si="74">C124</f>
        <v>0</v>
      </c>
      <c r="D151" s="42">
        <f t="shared" si="74"/>
        <v>0</v>
      </c>
      <c r="E151" s="42">
        <f t="shared" si="74"/>
        <v>0</v>
      </c>
      <c r="F151" s="42">
        <f t="shared" si="74"/>
        <v>0</v>
      </c>
      <c r="G151" s="42">
        <f t="shared" si="74"/>
        <v>0</v>
      </c>
      <c r="H151" s="42">
        <f t="shared" si="74"/>
        <v>0</v>
      </c>
      <c r="I151" s="42">
        <f t="shared" si="74"/>
        <v>0</v>
      </c>
      <c r="J151" s="42">
        <f t="shared" si="74"/>
        <v>0</v>
      </c>
      <c r="K151" s="42">
        <f t="shared" si="74"/>
        <v>0</v>
      </c>
      <c r="L151" s="42">
        <f t="shared" si="74"/>
        <v>0</v>
      </c>
      <c r="M151" s="42">
        <f t="shared" si="74"/>
        <v>0</v>
      </c>
      <c r="N151" s="42">
        <f t="shared" si="74"/>
        <v>0</v>
      </c>
      <c r="O151" s="42">
        <f t="shared" si="74"/>
        <v>0</v>
      </c>
      <c r="P151" s="42">
        <f t="shared" si="74"/>
        <v>0</v>
      </c>
      <c r="Q151" s="42">
        <f t="shared" si="74"/>
        <v>0</v>
      </c>
      <c r="R151" s="42">
        <f t="shared" si="74"/>
        <v>0</v>
      </c>
      <c r="S151" s="42">
        <f t="shared" si="74"/>
        <v>0</v>
      </c>
      <c r="T151" s="42">
        <f t="shared" si="74"/>
        <v>0</v>
      </c>
      <c r="U151" s="42">
        <f t="shared" si="74"/>
        <v>0</v>
      </c>
      <c r="V151" s="42">
        <f t="shared" si="74"/>
        <v>0</v>
      </c>
      <c r="W151" s="42">
        <f t="shared" si="74"/>
        <v>0</v>
      </c>
      <c r="X151" s="42">
        <f t="shared" si="74"/>
        <v>0</v>
      </c>
      <c r="Y151" s="42">
        <f t="shared" si="74"/>
        <v>0</v>
      </c>
      <c r="Z151" s="42">
        <f t="shared" si="74"/>
        <v>0</v>
      </c>
      <c r="AA151" s="42">
        <f t="shared" si="74"/>
        <v>0</v>
      </c>
      <c r="AB151" s="42">
        <f t="shared" si="74"/>
        <v>0</v>
      </c>
      <c r="AC151" s="42"/>
      <c r="AD151" s="42"/>
      <c r="AE151" s="42"/>
      <c r="AF151" s="42"/>
      <c r="AG151" s="42"/>
    </row>
    <row r="152" spans="1:33" x14ac:dyDescent="0.3">
      <c r="B152" t="s">
        <v>194</v>
      </c>
      <c r="C152" s="42"/>
      <c r="D152" s="42">
        <f t="shared" ref="D152:AB152" si="75">MIN(0,$C$33-$C$32*(D137+D147+D148+D149+D150+D151+C165))*(D42&lt;=$C$19)*(C165&gt;$C$33)</f>
        <v>0</v>
      </c>
      <c r="E152" s="42">
        <f t="shared" si="75"/>
        <v>0</v>
      </c>
      <c r="F152" s="42">
        <f t="shared" si="75"/>
        <v>0</v>
      </c>
      <c r="G152" s="42">
        <f t="shared" si="75"/>
        <v>0</v>
      </c>
      <c r="H152" s="42">
        <f t="shared" si="75"/>
        <v>0</v>
      </c>
      <c r="I152" s="42">
        <f t="shared" si="75"/>
        <v>0</v>
      </c>
      <c r="J152" s="42">
        <f t="shared" si="75"/>
        <v>0</v>
      </c>
      <c r="K152" s="42">
        <f t="shared" si="75"/>
        <v>0</v>
      </c>
      <c r="L152" s="42">
        <f t="shared" si="75"/>
        <v>0</v>
      </c>
      <c r="M152" s="42">
        <f t="shared" si="75"/>
        <v>0</v>
      </c>
      <c r="N152" s="42">
        <f t="shared" si="75"/>
        <v>0</v>
      </c>
      <c r="O152" s="42">
        <f t="shared" si="75"/>
        <v>0</v>
      </c>
      <c r="P152" s="42">
        <f t="shared" si="75"/>
        <v>0</v>
      </c>
      <c r="Q152" s="42">
        <f t="shared" si="75"/>
        <v>0</v>
      </c>
      <c r="R152" s="42">
        <f t="shared" si="75"/>
        <v>0</v>
      </c>
      <c r="S152" s="42">
        <f t="shared" si="75"/>
        <v>0</v>
      </c>
      <c r="T152" s="42">
        <f t="shared" si="75"/>
        <v>0</v>
      </c>
      <c r="U152" s="42">
        <f t="shared" si="75"/>
        <v>0</v>
      </c>
      <c r="V152" s="42">
        <f t="shared" si="75"/>
        <v>0</v>
      </c>
      <c r="W152" s="42">
        <f t="shared" si="75"/>
        <v>0</v>
      </c>
      <c r="X152" s="42">
        <f t="shared" si="75"/>
        <v>0</v>
      </c>
      <c r="Y152" s="42">
        <f t="shared" si="75"/>
        <v>0</v>
      </c>
      <c r="Z152" s="42">
        <f t="shared" si="75"/>
        <v>0</v>
      </c>
      <c r="AA152" s="42">
        <f t="shared" si="75"/>
        <v>0</v>
      </c>
      <c r="AB152" s="42">
        <f t="shared" si="75"/>
        <v>0</v>
      </c>
      <c r="AC152" s="42"/>
      <c r="AD152" s="42"/>
      <c r="AE152" s="42"/>
      <c r="AF152" s="42"/>
      <c r="AG152" s="42"/>
    </row>
    <row r="153" spans="1:33" x14ac:dyDescent="0.3">
      <c r="B153" s="3" t="s">
        <v>195</v>
      </c>
      <c r="C153" s="48">
        <f t="shared" ref="C153:AB153" si="76">C137+SUM(C142:C152)</f>
        <v>0</v>
      </c>
      <c r="D153" s="48">
        <f t="shared" si="76"/>
        <v>40394.859291188637</v>
      </c>
      <c r="E153" s="48">
        <f t="shared" si="76"/>
        <v>37949.647729601013</v>
      </c>
      <c r="F153" s="48">
        <f t="shared" si="76"/>
        <v>35506.256303476832</v>
      </c>
      <c r="G153" s="48">
        <f t="shared" si="76"/>
        <v>33387.784793389685</v>
      </c>
      <c r="H153" s="48">
        <f t="shared" si="76"/>
        <v>30956.208655335024</v>
      </c>
      <c r="I153" s="48">
        <f t="shared" si="76"/>
        <v>28526.754032515935</v>
      </c>
      <c r="J153" s="48">
        <f t="shared" si="76"/>
        <v>26099.460267322233</v>
      </c>
      <c r="K153" s="48">
        <f t="shared" si="76"/>
        <v>23674.367413505555</v>
      </c>
      <c r="L153" s="48">
        <f t="shared" si="76"/>
        <v>21251.516248553526</v>
      </c>
      <c r="M153" s="48">
        <f t="shared" si="76"/>
        <v>18830.948286265688</v>
      </c>
      <c r="N153" s="48">
        <f t="shared" si="76"/>
        <v>16892.705789534182</v>
      </c>
      <c r="O153" s="48">
        <f t="shared" si="76"/>
        <v>14476.831783332116</v>
      </c>
      <c r="P153" s="48">
        <f t="shared" si="76"/>
        <v>12063.370067912558</v>
      </c>
      <c r="Q153" s="48">
        <f t="shared" si="76"/>
        <v>9652.3652322211965</v>
      </c>
      <c r="R153" s="48">
        <f t="shared" si="76"/>
        <v>7243.8626675256974</v>
      </c>
      <c r="S153" s="48">
        <f t="shared" si="76"/>
        <v>7381.9085812647281</v>
      </c>
      <c r="T153" s="48">
        <f t="shared" si="76"/>
        <v>7298.5007226037542</v>
      </c>
      <c r="U153" s="48">
        <f t="shared" si="76"/>
        <v>5749.3761294850829</v>
      </c>
      <c r="V153" s="48">
        <f t="shared" si="76"/>
        <v>5858.8588553515747</v>
      </c>
      <c r="W153" s="48">
        <f t="shared" si="76"/>
        <v>5970.3978972769855</v>
      </c>
      <c r="X153" s="48">
        <f t="shared" si="76"/>
        <v>0</v>
      </c>
      <c r="Y153" s="48">
        <f t="shared" si="76"/>
        <v>0</v>
      </c>
      <c r="Z153" s="48">
        <f t="shared" si="76"/>
        <v>0</v>
      </c>
      <c r="AA153" s="48">
        <f t="shared" si="76"/>
        <v>0</v>
      </c>
      <c r="AB153" s="48">
        <f t="shared" si="76"/>
        <v>0</v>
      </c>
      <c r="AC153" s="48"/>
      <c r="AD153" s="48"/>
      <c r="AE153" s="48"/>
      <c r="AF153" s="48"/>
      <c r="AG153" s="48"/>
    </row>
    <row r="154" spans="1:33" x14ac:dyDescent="0.3">
      <c r="C154" s="79">
        <f t="shared" ref="C154:AB154" si="77">C153/MAX($C$127:$AB$127)</f>
        <v>0</v>
      </c>
      <c r="D154" s="79">
        <f t="shared" si="77"/>
        <v>1.0585654950521131</v>
      </c>
      <c r="E154" s="79">
        <f t="shared" si="77"/>
        <v>0.99448762394132628</v>
      </c>
      <c r="F154" s="79">
        <f t="shared" si="77"/>
        <v>0.93045745030075555</v>
      </c>
      <c r="G154" s="79">
        <f t="shared" si="77"/>
        <v>0.8749419495123083</v>
      </c>
      <c r="H154" s="79">
        <f t="shared" si="77"/>
        <v>0.81122140082114846</v>
      </c>
      <c r="I154" s="79">
        <f t="shared" si="77"/>
        <v>0.74755644739297522</v>
      </c>
      <c r="J154" s="79">
        <f t="shared" si="77"/>
        <v>0.68394812021284679</v>
      </c>
      <c r="K154" s="79">
        <f t="shared" si="77"/>
        <v>0.62039746890737824</v>
      </c>
      <c r="L154" s="79">
        <f t="shared" si="77"/>
        <v>0.55690556206901276</v>
      </c>
      <c r="M154" s="79">
        <f t="shared" si="77"/>
        <v>0.4934734875855788</v>
      </c>
      <c r="N154" s="79">
        <f t="shared" si="77"/>
        <v>0.44268096932741569</v>
      </c>
      <c r="O154" s="79">
        <f t="shared" si="77"/>
        <v>0.37937190207893384</v>
      </c>
      <c r="P154" s="79">
        <f t="shared" si="77"/>
        <v>0.31612604999770855</v>
      </c>
      <c r="Q154" s="79">
        <f t="shared" si="77"/>
        <v>0.25294458155715926</v>
      </c>
      <c r="R154" s="79">
        <f t="shared" si="77"/>
        <v>0.18982868625591451</v>
      </c>
      <c r="S154" s="79">
        <f t="shared" si="77"/>
        <v>0.19344624164739854</v>
      </c>
      <c r="T154" s="79">
        <f t="shared" si="77"/>
        <v>0.19126050111645057</v>
      </c>
      <c r="U154" s="79">
        <f t="shared" si="77"/>
        <v>0.15066499291103466</v>
      </c>
      <c r="V154" s="79">
        <f t="shared" si="77"/>
        <v>0.15353403708992597</v>
      </c>
      <c r="W154" s="79">
        <f t="shared" si="77"/>
        <v>0.15645696795799227</v>
      </c>
      <c r="X154" s="79">
        <f t="shared" si="77"/>
        <v>0</v>
      </c>
      <c r="Y154" s="79">
        <f t="shared" si="77"/>
        <v>0</v>
      </c>
      <c r="Z154" s="79">
        <f t="shared" si="77"/>
        <v>0</v>
      </c>
      <c r="AA154" s="79">
        <f t="shared" si="77"/>
        <v>0</v>
      </c>
      <c r="AB154" s="79">
        <f t="shared" si="77"/>
        <v>0</v>
      </c>
      <c r="AC154" s="79"/>
      <c r="AD154" s="79"/>
      <c r="AE154" s="79"/>
      <c r="AF154" s="79"/>
      <c r="AG154" s="79"/>
    </row>
    <row r="155" spans="1:33" x14ac:dyDescent="0.3">
      <c r="B155" s="11" t="s">
        <v>196</v>
      </c>
      <c r="C155" s="80">
        <f>C137</f>
        <v>-38160</v>
      </c>
      <c r="D155" s="80">
        <f t="shared" ref="D155:AB155" si="78">+D137+D103</f>
        <v>-1199.5407088113625</v>
      </c>
      <c r="E155" s="80">
        <f t="shared" si="78"/>
        <v>-871.79227039898979</v>
      </c>
      <c r="F155" s="80">
        <f t="shared" si="78"/>
        <v>-542.22369652316956</v>
      </c>
      <c r="G155" s="80">
        <f t="shared" si="78"/>
        <v>112.26479338968147</v>
      </c>
      <c r="H155" s="80">
        <f t="shared" si="78"/>
        <v>453.64865533502052</v>
      </c>
      <c r="I155" s="80">
        <f t="shared" si="78"/>
        <v>797.15403251593852</v>
      </c>
      <c r="J155" s="80">
        <f t="shared" si="78"/>
        <v>1142.820267322234</v>
      </c>
      <c r="K155" s="80">
        <f t="shared" si="78"/>
        <v>1490.6874135055541</v>
      </c>
      <c r="L155" s="80">
        <f t="shared" si="78"/>
        <v>1840.7962485535236</v>
      </c>
      <c r="M155" s="80">
        <f t="shared" si="78"/>
        <v>2193.1882862656876</v>
      </c>
      <c r="N155" s="80">
        <f t="shared" si="78"/>
        <v>3027.9057895341839</v>
      </c>
      <c r="O155" s="80">
        <f t="shared" si="78"/>
        <v>3384.9917833321169</v>
      </c>
      <c r="P155" s="80">
        <f t="shared" si="78"/>
        <v>3744.4900679125558</v>
      </c>
      <c r="Q155" s="80">
        <f t="shared" si="78"/>
        <v>4106.4452322211973</v>
      </c>
      <c r="R155" s="80">
        <f t="shared" si="78"/>
        <v>4470.9026675256973</v>
      </c>
      <c r="S155" s="80">
        <f t="shared" si="78"/>
        <v>7381.9085812647281</v>
      </c>
      <c r="T155" s="80">
        <f t="shared" si="78"/>
        <v>7522.5500111198689</v>
      </c>
      <c r="U155" s="80">
        <f t="shared" si="78"/>
        <v>7665.8348393134438</v>
      </c>
      <c r="V155" s="80">
        <f t="shared" si="78"/>
        <v>7811.8118071354329</v>
      </c>
      <c r="W155" s="80">
        <f t="shared" si="78"/>
        <v>7960.530529702648</v>
      </c>
      <c r="X155" s="80">
        <f t="shared" si="78"/>
        <v>0</v>
      </c>
      <c r="Y155" s="80">
        <f t="shared" si="78"/>
        <v>0</v>
      </c>
      <c r="Z155" s="80">
        <f t="shared" si="78"/>
        <v>0</v>
      </c>
      <c r="AA155" s="80">
        <f t="shared" si="78"/>
        <v>0</v>
      </c>
      <c r="AB155" s="80">
        <f t="shared" si="78"/>
        <v>0</v>
      </c>
      <c r="AC155" s="80"/>
      <c r="AD155" s="80"/>
      <c r="AE155" s="80"/>
      <c r="AF155" s="80"/>
      <c r="AG155" s="80"/>
    </row>
    <row r="156" spans="1:33" s="12" customFormat="1" x14ac:dyDescent="0.3">
      <c r="B156" s="11" t="s">
        <v>197</v>
      </c>
      <c r="C156" s="80">
        <f>C139</f>
        <v>-38160</v>
      </c>
      <c r="D156" s="80">
        <f t="shared" ref="D156:AB156" si="79">D155-D96</f>
        <v>-1199.5407088113625</v>
      </c>
      <c r="E156" s="80">
        <f t="shared" si="79"/>
        <v>-871.79227039898979</v>
      </c>
      <c r="F156" s="80">
        <f t="shared" si="79"/>
        <v>-542.22369652316956</v>
      </c>
      <c r="G156" s="80">
        <f t="shared" si="79"/>
        <v>112.26479338968147</v>
      </c>
      <c r="H156" s="80">
        <f t="shared" si="79"/>
        <v>453.64865533502052</v>
      </c>
      <c r="I156" s="80">
        <f t="shared" si="79"/>
        <v>797.15403251593852</v>
      </c>
      <c r="J156" s="80">
        <f t="shared" si="79"/>
        <v>1142.820267322234</v>
      </c>
      <c r="K156" s="80">
        <f t="shared" si="79"/>
        <v>1490.6874135055541</v>
      </c>
      <c r="L156" s="80">
        <f t="shared" si="79"/>
        <v>1840.7962485535236</v>
      </c>
      <c r="M156" s="80">
        <f t="shared" si="79"/>
        <v>2193.1882862656876</v>
      </c>
      <c r="N156" s="80">
        <f t="shared" si="79"/>
        <v>3027.9057895341839</v>
      </c>
      <c r="O156" s="80">
        <f t="shared" si="79"/>
        <v>3384.9917833321169</v>
      </c>
      <c r="P156" s="80">
        <f t="shared" si="79"/>
        <v>3744.4900679125558</v>
      </c>
      <c r="Q156" s="80">
        <f t="shared" si="79"/>
        <v>4106.4452322211973</v>
      </c>
      <c r="R156" s="80">
        <f t="shared" si="79"/>
        <v>4156.9680271057314</v>
      </c>
      <c r="S156" s="80">
        <f t="shared" si="79"/>
        <v>5918.0314359485455</v>
      </c>
      <c r="T156" s="80">
        <f t="shared" si="79"/>
        <v>6023.5125083399016</v>
      </c>
      <c r="U156" s="80">
        <f t="shared" si="79"/>
        <v>6130.9761294850832</v>
      </c>
      <c r="V156" s="80">
        <f t="shared" si="79"/>
        <v>6240.458855351575</v>
      </c>
      <c r="W156" s="80">
        <f t="shared" si="79"/>
        <v>6351.9978972769859</v>
      </c>
      <c r="X156" s="80">
        <f t="shared" si="79"/>
        <v>0</v>
      </c>
      <c r="Y156" s="80">
        <f t="shared" si="79"/>
        <v>0</v>
      </c>
      <c r="Z156" s="80">
        <f t="shared" si="79"/>
        <v>0</v>
      </c>
      <c r="AA156" s="80">
        <f t="shared" si="79"/>
        <v>0</v>
      </c>
      <c r="AB156" s="80">
        <f t="shared" si="79"/>
        <v>0</v>
      </c>
      <c r="AC156" s="80"/>
      <c r="AD156" s="80"/>
      <c r="AE156" s="80"/>
      <c r="AF156" s="80"/>
      <c r="AG156" s="80"/>
    </row>
    <row r="157" spans="1:33" s="12" customFormat="1" x14ac:dyDescent="0.3">
      <c r="B157" s="11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</row>
    <row r="158" spans="1:33" s="12" customFormat="1" x14ac:dyDescent="0.3">
      <c r="B158" s="11"/>
      <c r="C158" s="80">
        <f>C155</f>
        <v>-38160</v>
      </c>
      <c r="D158" s="80">
        <f t="shared" ref="D158:AB158" si="80">C158+D155</f>
        <v>-39359.540708811364</v>
      </c>
      <c r="E158" s="80">
        <f t="shared" si="80"/>
        <v>-40231.332979210354</v>
      </c>
      <c r="F158" s="80">
        <f t="shared" si="80"/>
        <v>-40773.556675733525</v>
      </c>
      <c r="G158" s="80">
        <f t="shared" si="80"/>
        <v>-40661.291882343845</v>
      </c>
      <c r="H158" s="80">
        <f t="shared" si="80"/>
        <v>-40207.643227008826</v>
      </c>
      <c r="I158" s="80">
        <f t="shared" si="80"/>
        <v>-39410.48919449289</v>
      </c>
      <c r="J158" s="80">
        <f t="shared" si="80"/>
        <v>-38267.668927170656</v>
      </c>
      <c r="K158" s="80">
        <f t="shared" si="80"/>
        <v>-36776.981513665101</v>
      </c>
      <c r="L158" s="80">
        <f t="shared" si="80"/>
        <v>-34936.185265111577</v>
      </c>
      <c r="M158" s="80">
        <f t="shared" si="80"/>
        <v>-32742.996978845891</v>
      </c>
      <c r="N158" s="80">
        <f t="shared" si="80"/>
        <v>-29715.091189311708</v>
      </c>
      <c r="O158" s="80">
        <f t="shared" si="80"/>
        <v>-26330.099405979592</v>
      </c>
      <c r="P158" s="80">
        <f t="shared" si="80"/>
        <v>-22585.609338067035</v>
      </c>
      <c r="Q158" s="80">
        <f t="shared" si="80"/>
        <v>-18479.164105845837</v>
      </c>
      <c r="R158" s="80">
        <f t="shared" si="80"/>
        <v>-14008.26143832014</v>
      </c>
      <c r="S158" s="80">
        <f t="shared" si="80"/>
        <v>-6626.3528570554117</v>
      </c>
      <c r="T158" s="80">
        <f t="shared" si="80"/>
        <v>896.19715406445721</v>
      </c>
      <c r="U158" s="80">
        <f t="shared" si="80"/>
        <v>8562.031993377901</v>
      </c>
      <c r="V158" s="80">
        <f t="shared" si="80"/>
        <v>16373.843800513334</v>
      </c>
      <c r="W158" s="80">
        <f t="shared" si="80"/>
        <v>24334.374330215982</v>
      </c>
      <c r="X158" s="80">
        <f t="shared" si="80"/>
        <v>24334.374330215982</v>
      </c>
      <c r="Y158" s="80">
        <f t="shared" si="80"/>
        <v>24334.374330215982</v>
      </c>
      <c r="Z158" s="80">
        <f t="shared" si="80"/>
        <v>24334.374330215982</v>
      </c>
      <c r="AA158" s="80">
        <f t="shared" si="80"/>
        <v>24334.374330215982</v>
      </c>
      <c r="AB158" s="80">
        <f t="shared" si="80"/>
        <v>24334.374330215982</v>
      </c>
      <c r="AC158" s="80"/>
      <c r="AD158" s="80"/>
      <c r="AE158" s="80"/>
      <c r="AF158" s="80"/>
      <c r="AG158" s="80"/>
    </row>
    <row r="159" spans="1:33" s="12" customFormat="1" x14ac:dyDescent="0.3">
      <c r="C159" s="80">
        <f>C156</f>
        <v>-38160</v>
      </c>
      <c r="D159" s="80">
        <f t="shared" ref="D159:AB159" si="81">C159+D156</f>
        <v>-39359.540708811364</v>
      </c>
      <c r="E159" s="80">
        <f t="shared" si="81"/>
        <v>-40231.332979210354</v>
      </c>
      <c r="F159" s="80">
        <f t="shared" si="81"/>
        <v>-40773.556675733525</v>
      </c>
      <c r="G159" s="80">
        <f t="shared" si="81"/>
        <v>-40661.291882343845</v>
      </c>
      <c r="H159" s="80">
        <f t="shared" si="81"/>
        <v>-40207.643227008826</v>
      </c>
      <c r="I159" s="80">
        <f t="shared" si="81"/>
        <v>-39410.48919449289</v>
      </c>
      <c r="J159" s="80">
        <f t="shared" si="81"/>
        <v>-38267.668927170656</v>
      </c>
      <c r="K159" s="80">
        <f t="shared" si="81"/>
        <v>-36776.981513665101</v>
      </c>
      <c r="L159" s="80">
        <f t="shared" si="81"/>
        <v>-34936.185265111577</v>
      </c>
      <c r="M159" s="80">
        <f t="shared" si="81"/>
        <v>-32742.996978845891</v>
      </c>
      <c r="N159" s="80">
        <f t="shared" si="81"/>
        <v>-29715.091189311708</v>
      </c>
      <c r="O159" s="80">
        <f t="shared" si="81"/>
        <v>-26330.099405979592</v>
      </c>
      <c r="P159" s="80">
        <f t="shared" si="81"/>
        <v>-22585.609338067035</v>
      </c>
      <c r="Q159" s="80">
        <f t="shared" si="81"/>
        <v>-18479.164105845837</v>
      </c>
      <c r="R159" s="80">
        <f t="shared" si="81"/>
        <v>-14322.196078740106</v>
      </c>
      <c r="S159" s="80">
        <f t="shared" si="81"/>
        <v>-8404.1646427915603</v>
      </c>
      <c r="T159" s="80">
        <f t="shared" si="81"/>
        <v>-2380.6521344516586</v>
      </c>
      <c r="U159" s="80">
        <f t="shared" si="81"/>
        <v>3750.3239950334246</v>
      </c>
      <c r="V159" s="80">
        <f t="shared" si="81"/>
        <v>9990.7828503849996</v>
      </c>
      <c r="W159" s="80">
        <f t="shared" si="81"/>
        <v>16342.780747661986</v>
      </c>
      <c r="X159" s="80">
        <f t="shared" si="81"/>
        <v>16342.780747661986</v>
      </c>
      <c r="Y159" s="80">
        <f t="shared" si="81"/>
        <v>16342.780747661986</v>
      </c>
      <c r="Z159" s="80">
        <f t="shared" si="81"/>
        <v>16342.780747661986</v>
      </c>
      <c r="AA159" s="80">
        <f t="shared" si="81"/>
        <v>16342.780747661986</v>
      </c>
      <c r="AB159" s="80">
        <f t="shared" si="81"/>
        <v>16342.780747661986</v>
      </c>
      <c r="AC159" s="80"/>
      <c r="AD159" s="80"/>
      <c r="AE159" s="80"/>
      <c r="AF159" s="80"/>
      <c r="AG159" s="80"/>
    </row>
    <row r="160" spans="1:33" s="12" customFormat="1" x14ac:dyDescent="0.3">
      <c r="C160" s="101">
        <v>0</v>
      </c>
      <c r="D160" s="101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0</v>
      </c>
      <c r="K160" s="101">
        <v>0</v>
      </c>
      <c r="L160" s="101">
        <v>0</v>
      </c>
      <c r="M160" s="101">
        <v>0</v>
      </c>
      <c r="N160" s="101">
        <v>0</v>
      </c>
      <c r="O160" s="101">
        <v>0</v>
      </c>
      <c r="P160" s="101">
        <v>0</v>
      </c>
      <c r="Q160" s="101">
        <v>0</v>
      </c>
      <c r="R160" s="101">
        <v>0</v>
      </c>
      <c r="S160" s="101">
        <v>0</v>
      </c>
      <c r="T160" s="101">
        <v>0</v>
      </c>
      <c r="U160" s="101">
        <v>0</v>
      </c>
      <c r="V160" s="101">
        <v>0</v>
      </c>
      <c r="W160" s="101">
        <v>0</v>
      </c>
      <c r="X160" s="101">
        <v>0</v>
      </c>
      <c r="Y160" s="101">
        <v>0</v>
      </c>
      <c r="Z160" s="101">
        <v>0</v>
      </c>
      <c r="AA160" s="101">
        <v>0</v>
      </c>
      <c r="AB160" s="101">
        <v>0</v>
      </c>
      <c r="AC160" s="80"/>
      <c r="AD160" s="80"/>
      <c r="AE160" s="80"/>
      <c r="AF160" s="80"/>
      <c r="AG160" s="80"/>
    </row>
    <row r="161" spans="2:33" x14ac:dyDescent="0.3">
      <c r="B161" s="2" t="s">
        <v>198</v>
      </c>
      <c r="C161" s="2">
        <v>0</v>
      </c>
      <c r="D161" s="2">
        <v>1</v>
      </c>
      <c r="E161" s="2">
        <v>2</v>
      </c>
      <c r="F161" s="2">
        <v>3</v>
      </c>
      <c r="G161" s="2">
        <v>4</v>
      </c>
      <c r="H161" s="2">
        <v>5</v>
      </c>
      <c r="I161" s="2">
        <v>6</v>
      </c>
      <c r="J161" s="2">
        <v>7</v>
      </c>
      <c r="K161" s="2">
        <v>8</v>
      </c>
      <c r="L161" s="2">
        <v>9</v>
      </c>
      <c r="M161" s="2">
        <v>10</v>
      </c>
      <c r="N161" s="2">
        <v>11</v>
      </c>
      <c r="O161" s="2">
        <v>12</v>
      </c>
      <c r="P161" s="2">
        <v>13</v>
      </c>
      <c r="Q161" s="2">
        <v>14</v>
      </c>
      <c r="R161" s="2">
        <v>15</v>
      </c>
      <c r="S161" s="2">
        <v>16</v>
      </c>
      <c r="T161" s="2">
        <v>17</v>
      </c>
      <c r="U161" s="2">
        <v>18</v>
      </c>
      <c r="V161" s="2">
        <v>19</v>
      </c>
      <c r="W161" s="2">
        <v>20</v>
      </c>
      <c r="X161" s="2">
        <v>21</v>
      </c>
      <c r="Y161" s="2">
        <v>22</v>
      </c>
      <c r="Z161" s="2">
        <v>23</v>
      </c>
      <c r="AA161" s="2">
        <v>24</v>
      </c>
      <c r="AB161" s="2">
        <v>25</v>
      </c>
      <c r="AC161" s="2"/>
      <c r="AD161" s="2"/>
      <c r="AE161" s="2"/>
      <c r="AF161" s="2"/>
      <c r="AG161" s="2"/>
    </row>
    <row r="163" spans="2:33" x14ac:dyDescent="0.3">
      <c r="B163" s="3" t="s">
        <v>199</v>
      </c>
    </row>
    <row r="164" spans="2:33" s="14" customFormat="1" x14ac:dyDescent="0.3">
      <c r="B164" s="14" t="s">
        <v>200</v>
      </c>
      <c r="C164" s="81">
        <f>C130-C70</f>
        <v>38160</v>
      </c>
      <c r="D164" s="81">
        <f t="shared" ref="D164:AB164" si="82">(D130+C164-D70)*(D42&lt;=$C$19)</f>
        <v>36633.599999999999</v>
      </c>
      <c r="E164" s="81">
        <f t="shared" si="82"/>
        <v>35107.199999999997</v>
      </c>
      <c r="F164" s="81">
        <f t="shared" si="82"/>
        <v>33580.799999999996</v>
      </c>
      <c r="G164" s="81">
        <f t="shared" si="82"/>
        <v>32054.399999999994</v>
      </c>
      <c r="H164" s="81">
        <f t="shared" si="82"/>
        <v>30527.999999999993</v>
      </c>
      <c r="I164" s="81">
        <f t="shared" si="82"/>
        <v>29001.599999999991</v>
      </c>
      <c r="J164" s="81">
        <f t="shared" si="82"/>
        <v>27475.19999999999</v>
      </c>
      <c r="K164" s="81">
        <f t="shared" si="82"/>
        <v>25948.799999999988</v>
      </c>
      <c r="L164" s="81">
        <f t="shared" si="82"/>
        <v>24422.399999999987</v>
      </c>
      <c r="M164" s="81">
        <f t="shared" si="82"/>
        <v>22895.999999999985</v>
      </c>
      <c r="N164" s="81">
        <f t="shared" si="82"/>
        <v>21369.599999999984</v>
      </c>
      <c r="O164" s="81">
        <f t="shared" si="82"/>
        <v>19843.199999999983</v>
      </c>
      <c r="P164" s="81">
        <f t="shared" si="82"/>
        <v>18316.799999999981</v>
      </c>
      <c r="Q164" s="81">
        <f t="shared" si="82"/>
        <v>16790.39999999998</v>
      </c>
      <c r="R164" s="81">
        <f t="shared" si="82"/>
        <v>15263.99999999998</v>
      </c>
      <c r="S164" s="81">
        <f t="shared" si="82"/>
        <v>13737.59999999998</v>
      </c>
      <c r="T164" s="81">
        <f t="shared" si="82"/>
        <v>12211.199999999981</v>
      </c>
      <c r="U164" s="81">
        <f t="shared" si="82"/>
        <v>10684.799999999981</v>
      </c>
      <c r="V164" s="81">
        <f t="shared" si="82"/>
        <v>9158.3999999999814</v>
      </c>
      <c r="W164" s="81">
        <f t="shared" si="82"/>
        <v>7631.9999999999818</v>
      </c>
      <c r="X164" s="81">
        <f t="shared" si="82"/>
        <v>0</v>
      </c>
      <c r="Y164" s="81">
        <f t="shared" si="82"/>
        <v>0</v>
      </c>
      <c r="Z164" s="81">
        <f t="shared" si="82"/>
        <v>0</v>
      </c>
      <c r="AA164" s="81">
        <f t="shared" si="82"/>
        <v>0</v>
      </c>
      <c r="AB164" s="81">
        <f t="shared" si="82"/>
        <v>0</v>
      </c>
      <c r="AC164" s="81"/>
      <c r="AD164" s="81"/>
      <c r="AE164" s="81"/>
      <c r="AF164" s="81"/>
      <c r="AG164" s="81"/>
    </row>
    <row r="165" spans="2:33" x14ac:dyDescent="0.3">
      <c r="B165" t="s">
        <v>201</v>
      </c>
      <c r="C165" s="38">
        <f>C153</f>
        <v>0</v>
      </c>
      <c r="D165" s="38">
        <f t="shared" ref="D165:AB165" si="83">(C165+D153)*(D42&lt;=$C$19)</f>
        <v>40394.859291188637</v>
      </c>
      <c r="E165" s="38">
        <f t="shared" si="83"/>
        <v>78344.50702078965</v>
      </c>
      <c r="F165" s="38">
        <f t="shared" si="83"/>
        <v>113850.76332426647</v>
      </c>
      <c r="G165" s="38">
        <f t="shared" si="83"/>
        <v>147238.54811765614</v>
      </c>
      <c r="H165" s="38">
        <f t="shared" si="83"/>
        <v>178194.75677299115</v>
      </c>
      <c r="I165" s="38">
        <f t="shared" si="83"/>
        <v>206721.51080550707</v>
      </c>
      <c r="J165" s="38">
        <f t="shared" si="83"/>
        <v>232820.9710728293</v>
      </c>
      <c r="K165" s="38">
        <f t="shared" si="83"/>
        <v>256495.33848633486</v>
      </c>
      <c r="L165" s="38">
        <f t="shared" si="83"/>
        <v>277746.85473488842</v>
      </c>
      <c r="M165" s="38">
        <f t="shared" si="83"/>
        <v>296577.80302115413</v>
      </c>
      <c r="N165" s="38">
        <f t="shared" si="83"/>
        <v>313470.50881068833</v>
      </c>
      <c r="O165" s="38">
        <f t="shared" si="83"/>
        <v>327947.34059402044</v>
      </c>
      <c r="P165" s="38">
        <f t="shared" si="83"/>
        <v>340010.710661933</v>
      </c>
      <c r="Q165" s="38">
        <f t="shared" si="83"/>
        <v>349663.0758941542</v>
      </c>
      <c r="R165" s="38">
        <f t="shared" si="83"/>
        <v>356906.93856167991</v>
      </c>
      <c r="S165" s="38">
        <f t="shared" si="83"/>
        <v>364288.84714294464</v>
      </c>
      <c r="T165" s="38">
        <f t="shared" si="83"/>
        <v>371587.34786554839</v>
      </c>
      <c r="U165" s="38">
        <f t="shared" si="83"/>
        <v>377336.72399503348</v>
      </c>
      <c r="V165" s="38">
        <f t="shared" si="83"/>
        <v>383195.58285038505</v>
      </c>
      <c r="W165" s="38">
        <f t="shared" si="83"/>
        <v>389165.98074766202</v>
      </c>
      <c r="X165" s="38">
        <f t="shared" si="83"/>
        <v>0</v>
      </c>
      <c r="Y165" s="38">
        <f t="shared" si="83"/>
        <v>0</v>
      </c>
      <c r="Z165" s="38">
        <f t="shared" si="83"/>
        <v>0</v>
      </c>
      <c r="AA165" s="38">
        <f t="shared" si="83"/>
        <v>0</v>
      </c>
      <c r="AB165" s="38">
        <f t="shared" si="83"/>
        <v>0</v>
      </c>
      <c r="AC165" s="38"/>
      <c r="AD165" s="38"/>
      <c r="AE165" s="38"/>
      <c r="AF165" s="38"/>
      <c r="AG165" s="38"/>
    </row>
    <row r="166" spans="2:33" x14ac:dyDescent="0.3">
      <c r="B166" t="s">
        <v>202</v>
      </c>
      <c r="C166" s="38"/>
      <c r="D166" s="38">
        <f>SUM($D$132:D135)</f>
        <v>0</v>
      </c>
      <c r="E166" s="38">
        <f>SUM($D$132:E135)</f>
        <v>0</v>
      </c>
      <c r="F166" s="38">
        <f>SUM($D$132:F135)</f>
        <v>0</v>
      </c>
      <c r="G166" s="38">
        <f>SUM($D$132:G135)</f>
        <v>0</v>
      </c>
      <c r="H166" s="38">
        <f>SUM($D$132:H135)</f>
        <v>0</v>
      </c>
      <c r="I166" s="38">
        <f>SUM($D$132:I135)</f>
        <v>0</v>
      </c>
      <c r="J166" s="38">
        <f>SUM($D$132:J135)</f>
        <v>0</v>
      </c>
      <c r="K166" s="38">
        <f>SUM($D$132:K135)</f>
        <v>0</v>
      </c>
      <c r="L166" s="38">
        <f>SUM($D$132:L135)</f>
        <v>0</v>
      </c>
      <c r="M166" s="38">
        <f>SUM($D$132:M135)</f>
        <v>0</v>
      </c>
      <c r="N166" s="38">
        <f>SUM($D$132:N135)</f>
        <v>0</v>
      </c>
      <c r="O166" s="38">
        <f>SUM($D$132:O135)</f>
        <v>0</v>
      </c>
      <c r="P166" s="38">
        <f>SUM($D$132:P135)</f>
        <v>0</v>
      </c>
      <c r="Q166" s="38">
        <f>SUM($D$132:Q135)</f>
        <v>0</v>
      </c>
      <c r="R166" s="38">
        <f>SUM($D$132:R135)</f>
        <v>0</v>
      </c>
      <c r="S166" s="38">
        <f>SUM($D$132:S135)</f>
        <v>0</v>
      </c>
      <c r="T166" s="38">
        <f>SUM($D$132:T135)</f>
        <v>0</v>
      </c>
      <c r="U166" s="38">
        <f>SUM($D$132:U135)</f>
        <v>0</v>
      </c>
      <c r="V166" s="38">
        <f>SUM($D$132:V135)</f>
        <v>0</v>
      </c>
      <c r="W166" s="38">
        <f>SUM($D$132:W135)</f>
        <v>0</v>
      </c>
      <c r="X166" s="38">
        <f>SUM($D$132:X135)</f>
        <v>0</v>
      </c>
      <c r="Y166" s="38">
        <f>SUM($D$132:Y135)</f>
        <v>0</v>
      </c>
      <c r="Z166" s="38">
        <f>SUM($D$132:Z135)</f>
        <v>0</v>
      </c>
      <c r="AA166" s="38">
        <f>SUM($D$132:AA135)</f>
        <v>0</v>
      </c>
      <c r="AB166" s="38">
        <f>SUM($D$132:AB135)</f>
        <v>0</v>
      </c>
      <c r="AC166" s="38"/>
      <c r="AD166" s="38"/>
      <c r="AE166" s="38"/>
      <c r="AF166" s="38"/>
      <c r="AG166" s="38"/>
    </row>
    <row r="167" spans="2:33" x14ac:dyDescent="0.3">
      <c r="B167" s="3" t="s">
        <v>203</v>
      </c>
      <c r="C167" s="61">
        <f>C164+C165</f>
        <v>38160</v>
      </c>
      <c r="D167" s="61">
        <f t="shared" ref="D167:AB167" si="84">D164+D165+D166</f>
        <v>77028.459291188628</v>
      </c>
      <c r="E167" s="61">
        <f t="shared" si="84"/>
        <v>113451.70702078965</v>
      </c>
      <c r="F167" s="61">
        <f t="shared" si="84"/>
        <v>147431.56332426646</v>
      </c>
      <c r="G167" s="61">
        <f t="shared" si="84"/>
        <v>179292.94811765614</v>
      </c>
      <c r="H167" s="61">
        <f t="shared" si="84"/>
        <v>208722.75677299115</v>
      </c>
      <c r="I167" s="61">
        <f t="shared" si="84"/>
        <v>235723.11080550705</v>
      </c>
      <c r="J167" s="61">
        <f t="shared" si="84"/>
        <v>260296.17107282928</v>
      </c>
      <c r="K167" s="61">
        <f t="shared" si="84"/>
        <v>282444.13848633482</v>
      </c>
      <c r="L167" s="61">
        <f t="shared" si="84"/>
        <v>302169.25473488838</v>
      </c>
      <c r="M167" s="61">
        <f t="shared" si="84"/>
        <v>319473.80302115413</v>
      </c>
      <c r="N167" s="61">
        <f t="shared" si="84"/>
        <v>334840.10881068831</v>
      </c>
      <c r="O167" s="61">
        <f t="shared" si="84"/>
        <v>347790.54059402039</v>
      </c>
      <c r="P167" s="61">
        <f t="shared" si="84"/>
        <v>358327.51066193299</v>
      </c>
      <c r="Q167" s="61">
        <f t="shared" si="84"/>
        <v>366453.47589415417</v>
      </c>
      <c r="R167" s="61">
        <f t="shared" si="84"/>
        <v>372170.93856167991</v>
      </c>
      <c r="S167" s="61">
        <f t="shared" si="84"/>
        <v>378026.44714294461</v>
      </c>
      <c r="T167" s="61">
        <f t="shared" si="84"/>
        <v>383798.54786554835</v>
      </c>
      <c r="U167" s="61">
        <f t="shared" si="84"/>
        <v>388021.52399503347</v>
      </c>
      <c r="V167" s="61">
        <f t="shared" si="84"/>
        <v>392353.98285038501</v>
      </c>
      <c r="W167" s="61">
        <f t="shared" si="84"/>
        <v>396797.98074766202</v>
      </c>
      <c r="X167" s="61">
        <f t="shared" si="84"/>
        <v>0</v>
      </c>
      <c r="Y167" s="61">
        <f t="shared" si="84"/>
        <v>0</v>
      </c>
      <c r="Z167" s="61">
        <f t="shared" si="84"/>
        <v>0</v>
      </c>
      <c r="AA167" s="61">
        <f t="shared" si="84"/>
        <v>0</v>
      </c>
      <c r="AB167" s="61">
        <f t="shared" si="84"/>
        <v>0</v>
      </c>
      <c r="AC167" s="61"/>
      <c r="AD167" s="61"/>
      <c r="AE167" s="61"/>
      <c r="AF167" s="61"/>
      <c r="AG167" s="61"/>
    </row>
    <row r="169" spans="2:33" s="3" customFormat="1" x14ac:dyDescent="0.3">
      <c r="B169" s="3" t="s">
        <v>204</v>
      </c>
    </row>
    <row r="170" spans="2:33" x14ac:dyDescent="0.3">
      <c r="B170" t="s">
        <v>205</v>
      </c>
      <c r="C170" s="38">
        <f>C143</f>
        <v>38160</v>
      </c>
      <c r="D170" s="38">
        <f t="shared" ref="D170:AB170" si="85">C143</f>
        <v>38160</v>
      </c>
      <c r="E170" s="38">
        <f t="shared" si="85"/>
        <v>35616</v>
      </c>
      <c r="F170" s="38">
        <f t="shared" si="85"/>
        <v>33072</v>
      </c>
      <c r="G170" s="38">
        <f t="shared" si="85"/>
        <v>30528</v>
      </c>
      <c r="H170" s="38">
        <f t="shared" si="85"/>
        <v>27984</v>
      </c>
      <c r="I170" s="38">
        <f t="shared" si="85"/>
        <v>25440</v>
      </c>
      <c r="J170" s="38">
        <f t="shared" si="85"/>
        <v>22896</v>
      </c>
      <c r="K170" s="38">
        <f t="shared" si="85"/>
        <v>20352</v>
      </c>
      <c r="L170" s="38">
        <f t="shared" si="85"/>
        <v>17808</v>
      </c>
      <c r="M170" s="38">
        <f t="shared" si="85"/>
        <v>15264</v>
      </c>
      <c r="N170" s="38">
        <f t="shared" si="85"/>
        <v>12720</v>
      </c>
      <c r="O170" s="38">
        <f t="shared" si="85"/>
        <v>10176</v>
      </c>
      <c r="P170" s="38">
        <f t="shared" si="85"/>
        <v>7632</v>
      </c>
      <c r="Q170" s="38">
        <f t="shared" si="85"/>
        <v>5088</v>
      </c>
      <c r="R170" s="38">
        <f t="shared" si="85"/>
        <v>2544</v>
      </c>
      <c r="S170" s="38">
        <f t="shared" si="85"/>
        <v>0</v>
      </c>
      <c r="T170" s="38">
        <f t="shared" si="85"/>
        <v>0</v>
      </c>
      <c r="U170" s="38">
        <f t="shared" si="85"/>
        <v>0</v>
      </c>
      <c r="V170" s="38">
        <f t="shared" si="85"/>
        <v>0</v>
      </c>
      <c r="W170" s="38">
        <f t="shared" si="85"/>
        <v>0</v>
      </c>
      <c r="X170" s="38">
        <f t="shared" si="85"/>
        <v>0</v>
      </c>
      <c r="Y170" s="38">
        <f t="shared" si="85"/>
        <v>0</v>
      </c>
      <c r="Z170" s="38">
        <f t="shared" si="85"/>
        <v>0</v>
      </c>
      <c r="AA170" s="38">
        <f t="shared" si="85"/>
        <v>0</v>
      </c>
      <c r="AB170" s="38">
        <f t="shared" si="85"/>
        <v>0</v>
      </c>
      <c r="AC170" s="38"/>
      <c r="AD170" s="38"/>
      <c r="AE170" s="38"/>
      <c r="AF170" s="38"/>
      <c r="AG170" s="38"/>
    </row>
    <row r="171" spans="2:33" x14ac:dyDescent="0.3">
      <c r="B171" s="3" t="s">
        <v>206</v>
      </c>
      <c r="C171" s="38">
        <f t="shared" ref="C171:AB171" si="86">C170+C169</f>
        <v>38160</v>
      </c>
      <c r="D171" s="38">
        <f t="shared" si="86"/>
        <v>38160</v>
      </c>
      <c r="E171" s="38">
        <f t="shared" si="86"/>
        <v>35616</v>
      </c>
      <c r="F171" s="38">
        <f t="shared" si="86"/>
        <v>33072</v>
      </c>
      <c r="G171" s="38">
        <f t="shared" si="86"/>
        <v>30528</v>
      </c>
      <c r="H171" s="38">
        <f t="shared" si="86"/>
        <v>27984</v>
      </c>
      <c r="I171" s="38">
        <f t="shared" si="86"/>
        <v>25440</v>
      </c>
      <c r="J171" s="38">
        <f t="shared" si="86"/>
        <v>22896</v>
      </c>
      <c r="K171" s="38">
        <f t="shared" si="86"/>
        <v>20352</v>
      </c>
      <c r="L171" s="38">
        <f t="shared" si="86"/>
        <v>17808</v>
      </c>
      <c r="M171" s="38">
        <f t="shared" si="86"/>
        <v>15264</v>
      </c>
      <c r="N171" s="38">
        <f t="shared" si="86"/>
        <v>12720</v>
      </c>
      <c r="O171" s="38">
        <f t="shared" si="86"/>
        <v>10176</v>
      </c>
      <c r="P171" s="38">
        <f t="shared" si="86"/>
        <v>7632</v>
      </c>
      <c r="Q171" s="38">
        <f t="shared" si="86"/>
        <v>5088</v>
      </c>
      <c r="R171" s="38">
        <f t="shared" si="86"/>
        <v>2544</v>
      </c>
      <c r="S171" s="38">
        <f t="shared" si="86"/>
        <v>0</v>
      </c>
      <c r="T171" s="38">
        <f t="shared" si="86"/>
        <v>0</v>
      </c>
      <c r="U171" s="38">
        <f t="shared" si="86"/>
        <v>0</v>
      </c>
      <c r="V171" s="38">
        <f t="shared" si="86"/>
        <v>0</v>
      </c>
      <c r="W171" s="38">
        <f t="shared" si="86"/>
        <v>0</v>
      </c>
      <c r="X171" s="38">
        <f t="shared" si="86"/>
        <v>0</v>
      </c>
      <c r="Y171" s="38">
        <f t="shared" si="86"/>
        <v>0</v>
      </c>
      <c r="Z171" s="38">
        <f t="shared" si="86"/>
        <v>0</v>
      </c>
      <c r="AA171" s="38">
        <f t="shared" si="86"/>
        <v>0</v>
      </c>
      <c r="AB171" s="38">
        <f t="shared" si="86"/>
        <v>0</v>
      </c>
      <c r="AC171" s="38"/>
      <c r="AD171" s="38"/>
      <c r="AE171" s="38"/>
      <c r="AF171" s="38"/>
      <c r="AG171" s="38"/>
    </row>
    <row r="173" spans="2:33" x14ac:dyDescent="0.3">
      <c r="B173" s="3" t="s">
        <v>207</v>
      </c>
    </row>
    <row r="174" spans="2:33" x14ac:dyDescent="0.3">
      <c r="B174" t="s">
        <v>208</v>
      </c>
      <c r="C174" s="38">
        <f>C142*(C42&lt;=$C$19)</f>
        <v>0</v>
      </c>
      <c r="D174" s="38">
        <f t="shared" ref="D174:AB174" si="87">(C174*(D42&lt;=$C$19))+D142+D152</f>
        <v>0</v>
      </c>
      <c r="E174" s="38">
        <f t="shared" si="87"/>
        <v>0</v>
      </c>
      <c r="F174" s="38">
        <f t="shared" si="87"/>
        <v>0</v>
      </c>
      <c r="G174" s="38">
        <f t="shared" si="87"/>
        <v>0</v>
      </c>
      <c r="H174" s="38">
        <f t="shared" si="87"/>
        <v>0</v>
      </c>
      <c r="I174" s="38">
        <f t="shared" si="87"/>
        <v>0</v>
      </c>
      <c r="J174" s="38">
        <f t="shared" si="87"/>
        <v>0</v>
      </c>
      <c r="K174" s="38">
        <f t="shared" si="87"/>
        <v>0</v>
      </c>
      <c r="L174" s="38">
        <f t="shared" si="87"/>
        <v>0</v>
      </c>
      <c r="M174" s="38">
        <f t="shared" si="87"/>
        <v>0</v>
      </c>
      <c r="N174" s="38">
        <f t="shared" si="87"/>
        <v>0</v>
      </c>
      <c r="O174" s="38">
        <f t="shared" si="87"/>
        <v>0</v>
      </c>
      <c r="P174" s="38">
        <f t="shared" si="87"/>
        <v>0</v>
      </c>
      <c r="Q174" s="38">
        <f t="shared" si="87"/>
        <v>0</v>
      </c>
      <c r="R174" s="38">
        <f t="shared" si="87"/>
        <v>0</v>
      </c>
      <c r="S174" s="38">
        <f t="shared" si="87"/>
        <v>0</v>
      </c>
      <c r="T174" s="38">
        <f t="shared" si="87"/>
        <v>0</v>
      </c>
      <c r="U174" s="38">
        <f t="shared" si="87"/>
        <v>0</v>
      </c>
      <c r="V174" s="38">
        <f t="shared" si="87"/>
        <v>0</v>
      </c>
      <c r="W174" s="38">
        <f t="shared" si="87"/>
        <v>0</v>
      </c>
      <c r="X174" s="38">
        <f t="shared" si="87"/>
        <v>0</v>
      </c>
      <c r="Y174" s="38">
        <f t="shared" si="87"/>
        <v>0</v>
      </c>
      <c r="Z174" s="38">
        <f t="shared" si="87"/>
        <v>0</v>
      </c>
      <c r="AA174" s="38">
        <f t="shared" si="87"/>
        <v>0</v>
      </c>
      <c r="AB174" s="38">
        <f t="shared" si="87"/>
        <v>0</v>
      </c>
      <c r="AC174" s="38"/>
      <c r="AD174" s="38"/>
      <c r="AE174" s="38"/>
      <c r="AF174" s="38"/>
      <c r="AG174" s="38"/>
    </row>
    <row r="175" spans="2:33" x14ac:dyDescent="0.3">
      <c r="B175" t="s">
        <v>168</v>
      </c>
      <c r="D175" s="38">
        <f t="shared" ref="D175:AB175" si="88">(D116+C175)*(D42&lt;=$C$19)</f>
        <v>-2725.9407088113626</v>
      </c>
      <c r="E175" s="38">
        <f t="shared" si="88"/>
        <v>-5124.1329792103525</v>
      </c>
      <c r="F175" s="38">
        <f t="shared" si="88"/>
        <v>-7192.7566757335226</v>
      </c>
      <c r="G175" s="38">
        <f t="shared" si="88"/>
        <v>-8606.8918823438416</v>
      </c>
      <c r="H175" s="38">
        <f t="shared" si="88"/>
        <v>-9679.6432270088208</v>
      </c>
      <c r="I175" s="38">
        <f t="shared" si="88"/>
        <v>-10408.889194492882</v>
      </c>
      <c r="J175" s="38">
        <f t="shared" si="88"/>
        <v>-10792.468927170648</v>
      </c>
      <c r="K175" s="38">
        <f t="shared" si="88"/>
        <v>-10828.181513665095</v>
      </c>
      <c r="L175" s="38">
        <f t="shared" si="88"/>
        <v>-10513.785265111572</v>
      </c>
      <c r="M175" s="38">
        <f t="shared" si="88"/>
        <v>-9846.9969788458839</v>
      </c>
      <c r="N175" s="38">
        <f t="shared" si="88"/>
        <v>-8345.4911893117005</v>
      </c>
      <c r="O175" s="38">
        <f t="shared" si="88"/>
        <v>-6486.8994059795841</v>
      </c>
      <c r="P175" s="38">
        <f t="shared" si="88"/>
        <v>-4268.8093380670289</v>
      </c>
      <c r="Q175" s="38">
        <f t="shared" si="88"/>
        <v>-1688.7641058458316</v>
      </c>
      <c r="R175" s="38">
        <f t="shared" si="88"/>
        <v>1255.7385616798656</v>
      </c>
      <c r="S175" s="38">
        <f t="shared" si="88"/>
        <v>7111.2471429445941</v>
      </c>
      <c r="T175" s="38">
        <f t="shared" si="88"/>
        <v>12883.347865548349</v>
      </c>
      <c r="U175" s="38">
        <f t="shared" si="88"/>
        <v>17106.323995033432</v>
      </c>
      <c r="V175" s="38">
        <f t="shared" si="88"/>
        <v>21438.782850385007</v>
      </c>
      <c r="W175" s="38">
        <f t="shared" si="88"/>
        <v>25882.780747661993</v>
      </c>
      <c r="X175" s="38">
        <f t="shared" si="88"/>
        <v>0</v>
      </c>
      <c r="Y175" s="38">
        <f t="shared" si="88"/>
        <v>0</v>
      </c>
      <c r="Z175" s="38">
        <f t="shared" si="88"/>
        <v>0</v>
      </c>
      <c r="AA175" s="38">
        <f t="shared" si="88"/>
        <v>0</v>
      </c>
      <c r="AB175" s="38">
        <f t="shared" si="88"/>
        <v>0</v>
      </c>
      <c r="AC175" s="38"/>
      <c r="AD175" s="38"/>
      <c r="AE175" s="38"/>
      <c r="AF175" s="38"/>
      <c r="AG175" s="38"/>
    </row>
    <row r="176" spans="2:33" s="3" customFormat="1" x14ac:dyDescent="0.3">
      <c r="B176" s="3" t="s">
        <v>209</v>
      </c>
      <c r="C176" s="61">
        <f t="shared" ref="C176:AB176" si="89">C174+C175</f>
        <v>0</v>
      </c>
      <c r="D176" s="61">
        <f t="shared" si="89"/>
        <v>-2725.9407088113626</v>
      </c>
      <c r="E176" s="61">
        <f t="shared" si="89"/>
        <v>-5124.1329792103525</v>
      </c>
      <c r="F176" s="61">
        <f t="shared" si="89"/>
        <v>-7192.7566757335226</v>
      </c>
      <c r="G176" s="61">
        <f t="shared" si="89"/>
        <v>-8606.8918823438416</v>
      </c>
      <c r="H176" s="61">
        <f t="shared" si="89"/>
        <v>-9679.6432270088208</v>
      </c>
      <c r="I176" s="61">
        <f t="shared" si="89"/>
        <v>-10408.889194492882</v>
      </c>
      <c r="J176" s="61">
        <f t="shared" si="89"/>
        <v>-10792.468927170648</v>
      </c>
      <c r="K176" s="61">
        <f t="shared" si="89"/>
        <v>-10828.181513665095</v>
      </c>
      <c r="L176" s="61">
        <f t="shared" si="89"/>
        <v>-10513.785265111572</v>
      </c>
      <c r="M176" s="61">
        <f t="shared" si="89"/>
        <v>-9846.9969788458839</v>
      </c>
      <c r="N176" s="61">
        <f t="shared" si="89"/>
        <v>-8345.4911893117005</v>
      </c>
      <c r="O176" s="61">
        <f t="shared" si="89"/>
        <v>-6486.8994059795841</v>
      </c>
      <c r="P176" s="61">
        <f t="shared" si="89"/>
        <v>-4268.8093380670289</v>
      </c>
      <c r="Q176" s="61">
        <f t="shared" si="89"/>
        <v>-1688.7641058458316</v>
      </c>
      <c r="R176" s="61">
        <f t="shared" si="89"/>
        <v>1255.7385616798656</v>
      </c>
      <c r="S176" s="61">
        <f t="shared" si="89"/>
        <v>7111.2471429445941</v>
      </c>
      <c r="T176" s="61">
        <f t="shared" si="89"/>
        <v>12883.347865548349</v>
      </c>
      <c r="U176" s="61">
        <f t="shared" si="89"/>
        <v>17106.323995033432</v>
      </c>
      <c r="V176" s="61">
        <f t="shared" si="89"/>
        <v>21438.782850385007</v>
      </c>
      <c r="W176" s="61">
        <f t="shared" si="89"/>
        <v>25882.780747661993</v>
      </c>
      <c r="X176" s="61">
        <f t="shared" si="89"/>
        <v>0</v>
      </c>
      <c r="Y176" s="61">
        <f t="shared" si="89"/>
        <v>0</v>
      </c>
      <c r="Z176" s="61">
        <f t="shared" si="89"/>
        <v>0</v>
      </c>
      <c r="AA176" s="61">
        <f t="shared" si="89"/>
        <v>0</v>
      </c>
      <c r="AB176" s="61">
        <f t="shared" si="89"/>
        <v>0</v>
      </c>
      <c r="AC176" s="61"/>
      <c r="AD176" s="61"/>
      <c r="AE176" s="61"/>
      <c r="AF176" s="61"/>
      <c r="AG176" s="61"/>
    </row>
    <row r="178" spans="2:33" s="59" customFormat="1" x14ac:dyDescent="0.3">
      <c r="B178" s="59" t="s">
        <v>210</v>
      </c>
      <c r="C178" s="60">
        <f t="shared" ref="C178:AB178" si="90">C167-C171-C176</f>
        <v>0</v>
      </c>
      <c r="D178" s="60">
        <f t="shared" si="90"/>
        <v>41594.399999999994</v>
      </c>
      <c r="E178" s="60">
        <f t="shared" si="90"/>
        <v>82959.839999999997</v>
      </c>
      <c r="F178" s="60">
        <f t="shared" si="90"/>
        <v>121552.31999999998</v>
      </c>
      <c r="G178" s="60">
        <f t="shared" si="90"/>
        <v>157371.83999999997</v>
      </c>
      <c r="H178" s="60">
        <f t="shared" si="90"/>
        <v>190418.39999999997</v>
      </c>
      <c r="I178" s="60">
        <f t="shared" si="90"/>
        <v>220691.99999999994</v>
      </c>
      <c r="J178" s="60">
        <f t="shared" si="90"/>
        <v>248192.63999999993</v>
      </c>
      <c r="K178" s="60">
        <f t="shared" si="90"/>
        <v>272920.31999999989</v>
      </c>
      <c r="L178" s="60">
        <f t="shared" si="90"/>
        <v>294875.03999999998</v>
      </c>
      <c r="M178" s="60">
        <f t="shared" si="90"/>
        <v>314056.80000000005</v>
      </c>
      <c r="N178" s="60">
        <f t="shared" si="90"/>
        <v>330465.60000000003</v>
      </c>
      <c r="O178" s="60">
        <f t="shared" si="90"/>
        <v>344101.44</v>
      </c>
      <c r="P178" s="60">
        <f t="shared" si="90"/>
        <v>354964.32</v>
      </c>
      <c r="Q178" s="60">
        <f t="shared" si="90"/>
        <v>363054.24</v>
      </c>
      <c r="R178" s="60">
        <f t="shared" si="90"/>
        <v>368371.20000000007</v>
      </c>
      <c r="S178" s="60">
        <f t="shared" si="90"/>
        <v>370915.2</v>
      </c>
      <c r="T178" s="60">
        <f t="shared" si="90"/>
        <v>370915.2</v>
      </c>
      <c r="U178" s="60">
        <f t="shared" si="90"/>
        <v>370915.2</v>
      </c>
      <c r="V178" s="60">
        <f t="shared" si="90"/>
        <v>370915.2</v>
      </c>
      <c r="W178" s="60">
        <f t="shared" si="90"/>
        <v>370915.2</v>
      </c>
      <c r="X178" s="60">
        <f t="shared" si="90"/>
        <v>0</v>
      </c>
      <c r="Y178" s="60">
        <f t="shared" si="90"/>
        <v>0</v>
      </c>
      <c r="Z178" s="60">
        <f t="shared" si="90"/>
        <v>0</v>
      </c>
      <c r="AA178" s="60">
        <f t="shared" si="90"/>
        <v>0</v>
      </c>
      <c r="AB178" s="60">
        <f t="shared" si="90"/>
        <v>0</v>
      </c>
      <c r="AC178" s="60"/>
      <c r="AD178" s="60"/>
      <c r="AE178" s="60"/>
      <c r="AF178" s="60"/>
      <c r="AG178" s="60"/>
    </row>
    <row r="179" spans="2:33" x14ac:dyDescent="0.3"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</row>
  </sheetData>
  <mergeCells count="3">
    <mergeCell ref="A17:A19"/>
    <mergeCell ref="D2:E2"/>
    <mergeCell ref="B2:C2"/>
  </mergeCells>
  <conditionalFormatting sqref="M26:U40">
    <cfRule type="cellIs" dxfId="1" priority="1" operator="greaterThanOrEqual">
      <formula>$N$12</formula>
    </cfRule>
  </conditionalFormatting>
  <pageMargins left="0.70866141732283472" right="0.70866141732283472" top="0.74803149606299213" bottom="0.74803149606299213" header="0.31496062992125978" footer="0.31496062992125978"/>
  <pageSetup paperSize="9" scale="6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D178"/>
  <sheetViews>
    <sheetView zoomScale="70" zoomScaleNormal="70" workbookViewId="0">
      <selection activeCell="I2" sqref="I2"/>
    </sheetView>
  </sheetViews>
  <sheetFormatPr defaultColWidth="8.77734375" defaultRowHeight="14.4" x14ac:dyDescent="0.3"/>
  <cols>
    <col min="2" max="2" width="27.33203125" customWidth="1"/>
    <col min="3" max="3" width="16.109375" customWidth="1"/>
    <col min="4" max="4" width="12" customWidth="1"/>
    <col min="5" max="5" width="13.6640625" customWidth="1"/>
    <col min="6" max="6" width="12.77734375" customWidth="1"/>
    <col min="7" max="7" width="24.44140625" customWidth="1"/>
    <col min="8" max="8" width="25.44140625" customWidth="1"/>
    <col min="9" max="9" width="19.109375" customWidth="1"/>
    <col min="10" max="10" width="13" customWidth="1"/>
    <col min="11" max="11" width="11.109375" customWidth="1"/>
    <col min="12" max="12" width="12.6640625" customWidth="1"/>
    <col min="13" max="13" width="12.44140625" customWidth="1"/>
    <col min="14" max="14" width="14.44140625" customWidth="1"/>
    <col min="15" max="15" width="13.77734375" customWidth="1"/>
    <col min="16" max="16" width="11.77734375" customWidth="1"/>
    <col min="17" max="17" width="12" customWidth="1"/>
    <col min="18" max="18" width="15.44140625" customWidth="1"/>
    <col min="19" max="19" width="12.44140625" customWidth="1"/>
    <col min="20" max="20" width="12" customWidth="1"/>
    <col min="21" max="21" width="13" customWidth="1"/>
    <col min="22" max="22" width="13.44140625" customWidth="1"/>
    <col min="23" max="23" width="14.44140625" customWidth="1"/>
    <col min="24" max="24" width="15.77734375" customWidth="1"/>
    <col min="25" max="25" width="12.77734375" customWidth="1"/>
    <col min="26" max="26" width="12.44140625" customWidth="1"/>
    <col min="27" max="27" width="11.77734375" customWidth="1"/>
    <col min="28" max="28" width="21.109375" customWidth="1"/>
  </cols>
  <sheetData>
    <row r="1" spans="2:16" x14ac:dyDescent="0.3">
      <c r="I1" t="s">
        <v>58</v>
      </c>
    </row>
    <row r="2" spans="2:16" ht="23.55" customHeight="1" x14ac:dyDescent="0.45">
      <c r="B2" s="226" t="s">
        <v>59</v>
      </c>
      <c r="C2" s="224"/>
      <c r="D2" s="225" t="str">
        <f>Summary!D6</f>
        <v>Test</v>
      </c>
      <c r="E2" s="224"/>
      <c r="H2" t="s">
        <v>60</v>
      </c>
      <c r="I2" s="82">
        <f>'Calculation Debt'!I2</f>
        <v>36000</v>
      </c>
      <c r="J2" s="31"/>
      <c r="K2" s="108"/>
    </row>
    <row r="3" spans="2:16" x14ac:dyDescent="0.3">
      <c r="H3" t="s">
        <v>61</v>
      </c>
      <c r="I3" s="1">
        <f>H11</f>
        <v>0</v>
      </c>
      <c r="J3" s="31"/>
    </row>
    <row r="4" spans="2:16" x14ac:dyDescent="0.3">
      <c r="B4" s="2" t="s">
        <v>62</v>
      </c>
      <c r="C4" s="2"/>
      <c r="D4" s="2"/>
      <c r="E4" s="2"/>
      <c r="F4" s="2"/>
      <c r="G4" s="2"/>
      <c r="H4" s="2" t="s">
        <v>63</v>
      </c>
      <c r="I4" s="1">
        <f>SUM(I2:I3)</f>
        <v>36000</v>
      </c>
      <c r="J4" s="31"/>
      <c r="K4" s="2" t="s">
        <v>64</v>
      </c>
      <c r="L4" s="2"/>
      <c r="M4" s="2"/>
      <c r="N4" s="2"/>
    </row>
    <row r="5" spans="2:16" x14ac:dyDescent="0.3">
      <c r="B5" s="3" t="s">
        <v>65</v>
      </c>
      <c r="E5" s="4" t="s">
        <v>66</v>
      </c>
      <c r="K5" s="3" t="s">
        <v>67</v>
      </c>
      <c r="N5" s="5">
        <f>SUM(C126)</f>
        <v>38160</v>
      </c>
      <c r="O5" s="1"/>
      <c r="P5" s="6"/>
    </row>
    <row r="6" spans="2:16" x14ac:dyDescent="0.3">
      <c r="B6" t="s">
        <v>68</v>
      </c>
      <c r="C6" s="7">
        <f>IF(Summary!D8&gt;0,Summary!D8,1)</f>
        <v>1</v>
      </c>
      <c r="D6" s="102">
        <f>Summary!H8</f>
        <v>0</v>
      </c>
      <c r="E6" t="s">
        <v>69</v>
      </c>
      <c r="H6" s="8">
        <v>0</v>
      </c>
      <c r="I6" s="9">
        <f>Summary!D11</f>
        <v>750</v>
      </c>
      <c r="J6" s="10" t="s">
        <v>70</v>
      </c>
      <c r="K6" s="11" t="s">
        <v>71</v>
      </c>
      <c r="L6" s="12"/>
      <c r="M6" s="12"/>
      <c r="N6" s="13">
        <f>IRR(C154:AG154)</f>
        <v>0.13884918769028243</v>
      </c>
    </row>
    <row r="7" spans="2:16" x14ac:dyDescent="0.3">
      <c r="B7" t="s">
        <v>72</v>
      </c>
      <c r="C7" s="83">
        <f>'Calculation Debt'!C7</f>
        <v>48</v>
      </c>
      <c r="E7" s="14" t="s">
        <v>73</v>
      </c>
      <c r="F7" s="15"/>
      <c r="G7" s="15"/>
      <c r="H7" s="16">
        <f>Summary!R26+Summary!AB26</f>
        <v>2160</v>
      </c>
      <c r="I7" s="103">
        <f>Summary!H11</f>
        <v>0</v>
      </c>
      <c r="J7" t="s">
        <v>74</v>
      </c>
      <c r="K7" s="3" t="s">
        <v>75</v>
      </c>
      <c r="N7" s="17">
        <f>IRR(C155:AG155)</f>
        <v>0.10910986911142184</v>
      </c>
    </row>
    <row r="8" spans="2:16" x14ac:dyDescent="0.3">
      <c r="C8" s="84"/>
      <c r="D8" s="84">
        <v>0.90500000000000003</v>
      </c>
      <c r="E8" t="s">
        <v>76</v>
      </c>
      <c r="H8" s="18">
        <f>I6</f>
        <v>750</v>
      </c>
      <c r="K8" s="3" t="s">
        <v>77</v>
      </c>
      <c r="L8" s="3"/>
      <c r="M8" s="3"/>
      <c r="N8" s="13">
        <f>D66/N5</f>
        <v>0.12523216171877979</v>
      </c>
    </row>
    <row r="9" spans="2:16" x14ac:dyDescent="0.3">
      <c r="B9" t="s">
        <v>78</v>
      </c>
      <c r="C9" s="150">
        <f>Summary!D10+Summary!H10+Summary!M9+Summary!W7+Summary!W14+Summary!AB7+Summary!AB14+Summary!AG7+Summary!AG14+Summary!AL7+Summary!AL14+Summary!AQ7+Summary!AQ14+Summary!AV7+Summary!AV14+Summary!BA7+Summary!BA14+Summary!BF7+Summary!BF14+Summary!BK7+Summary!BK14</f>
        <v>48000</v>
      </c>
      <c r="D9">
        <f>Summary!H10</f>
        <v>0</v>
      </c>
      <c r="K9" s="3" t="s">
        <v>79</v>
      </c>
      <c r="N9" s="13">
        <f>D52/C126</f>
        <v>0.16711685773555129</v>
      </c>
      <c r="O9" s="19"/>
    </row>
    <row r="10" spans="2:16" x14ac:dyDescent="0.3">
      <c r="B10" t="s">
        <v>80</v>
      </c>
      <c r="C10" s="7">
        <f>'Calculation Debt'!C10</f>
        <v>5.0000000000000001E-3</v>
      </c>
      <c r="D10" s="7">
        <v>4.0000000000000002E-4</v>
      </c>
      <c r="E10" s="3" t="s">
        <v>81</v>
      </c>
      <c r="K10" s="3" t="s">
        <v>82</v>
      </c>
      <c r="L10" s="3" t="s">
        <v>83</v>
      </c>
      <c r="N10" s="100">
        <f>COUNTIF(C157:AB157,"&lt;0")</f>
        <v>8</v>
      </c>
    </row>
    <row r="11" spans="2:16" x14ac:dyDescent="0.3">
      <c r="B11" t="s">
        <v>84</v>
      </c>
      <c r="C11" s="20">
        <f>'Calculation Debt'!C11</f>
        <v>0</v>
      </c>
      <c r="D11" s="20">
        <v>0</v>
      </c>
      <c r="E11" t="s">
        <v>85</v>
      </c>
      <c r="H11" s="21">
        <f>Summary!D13</f>
        <v>0</v>
      </c>
      <c r="I11" s="86" t="s">
        <v>86</v>
      </c>
      <c r="J11" s="86" t="s">
        <v>87</v>
      </c>
      <c r="K11" s="86"/>
      <c r="L11" s="3" t="s">
        <v>88</v>
      </c>
      <c r="N11" s="3">
        <f>COUNTIF(C158:AB158,"&lt;0")</f>
        <v>9</v>
      </c>
    </row>
    <row r="12" spans="2:16" x14ac:dyDescent="0.3">
      <c r="B12" t="s">
        <v>89</v>
      </c>
      <c r="C12" s="20">
        <f>'Calculation Debt'!C12</f>
        <v>7</v>
      </c>
      <c r="D12" s="20">
        <v>10</v>
      </c>
      <c r="E12" t="s">
        <v>90</v>
      </c>
      <c r="H12" s="8">
        <v>12</v>
      </c>
      <c r="I12" s="86">
        <v>3250</v>
      </c>
      <c r="J12" s="86">
        <v>100</v>
      </c>
      <c r="K12" s="86"/>
      <c r="L12" s="12"/>
      <c r="M12" s="22" t="s">
        <v>91</v>
      </c>
      <c r="N12" s="23">
        <v>0.11</v>
      </c>
      <c r="O12" s="12"/>
    </row>
    <row r="13" spans="2:16" x14ac:dyDescent="0.3">
      <c r="B13" s="151" t="s">
        <v>92</v>
      </c>
      <c r="C13" s="155">
        <f>'Calculation Debt'!C13</f>
        <v>0</v>
      </c>
      <c r="D13" s="20">
        <v>15.5</v>
      </c>
      <c r="E13" t="s">
        <v>93</v>
      </c>
      <c r="H13" s="24">
        <v>0</v>
      </c>
      <c r="I13" s="86">
        <f>(Summary!D9+Summary!H9+Summary!W6+Summary!AB6+Summary!AG6+Summary!AL6+Summary!AQ6+Summary!AV6+Summary!BA6+Summary!BF6+Summary!BK6)/J12</f>
        <v>0.48</v>
      </c>
      <c r="J13" s="86">
        <f>ROUND(I13,0)*I12</f>
        <v>0</v>
      </c>
      <c r="K13" s="86" t="s">
        <v>94</v>
      </c>
    </row>
    <row r="14" spans="2:16" x14ac:dyDescent="0.3">
      <c r="B14" t="s">
        <v>95</v>
      </c>
      <c r="C14" s="7">
        <f>'Calculation Debt'!C14</f>
        <v>0</v>
      </c>
      <c r="D14" s="7">
        <v>0</v>
      </c>
      <c r="E14" t="s">
        <v>96</v>
      </c>
      <c r="H14" s="8">
        <v>0</v>
      </c>
      <c r="I14" s="86">
        <f>Summary!H9/J12</f>
        <v>0</v>
      </c>
      <c r="J14" s="86">
        <f>ROUND(I14,0)*I12</f>
        <v>0</v>
      </c>
      <c r="K14" s="86" t="s">
        <v>94</v>
      </c>
    </row>
    <row r="15" spans="2:16" x14ac:dyDescent="0.3">
      <c r="B15" t="s">
        <v>97</v>
      </c>
      <c r="C15" s="20">
        <f>Summary!D18</f>
        <v>13.285790189976327</v>
      </c>
      <c r="E15" t="s">
        <v>98</v>
      </c>
      <c r="H15" s="27">
        <f>IFERROR(H11/H12,0)</f>
        <v>0</v>
      </c>
    </row>
    <row r="16" spans="2:16" x14ac:dyDescent="0.3">
      <c r="B16" t="s">
        <v>99</v>
      </c>
      <c r="C16" s="7">
        <f>'Calculation Debt'!C16</f>
        <v>2.5000000000000001E-2</v>
      </c>
      <c r="D16" s="7">
        <v>2.5000000000000001E-2</v>
      </c>
      <c r="E16" t="s">
        <v>100</v>
      </c>
      <c r="H16" s="27">
        <f>IFERROR(H13/H14,0)</f>
        <v>0</v>
      </c>
    </row>
    <row r="17" spans="1:21" x14ac:dyDescent="0.3">
      <c r="A17" s="223"/>
      <c r="B17" t="s">
        <v>101</v>
      </c>
      <c r="C17" s="7">
        <f>'Calculation Debt'!C17</f>
        <v>2.5000000000000001E-2</v>
      </c>
      <c r="D17" s="7">
        <v>2.5000000000000001E-2</v>
      </c>
      <c r="J17" s="31">
        <f>$D$7*$H$22*(1+$C$16)^(D42-1)*(D42&lt;=$C$19)</f>
        <v>0</v>
      </c>
    </row>
    <row r="18" spans="1:21" x14ac:dyDescent="0.3">
      <c r="A18" s="224"/>
      <c r="B18" t="s">
        <v>102</v>
      </c>
      <c r="C18" s="7">
        <f>'Calculation Debt'!C18</f>
        <v>2.5000000000000001E-2</v>
      </c>
      <c r="D18" s="7">
        <v>2.5000000000000001E-2</v>
      </c>
    </row>
    <row r="19" spans="1:21" x14ac:dyDescent="0.3">
      <c r="A19" s="224"/>
      <c r="B19" t="s">
        <v>103</v>
      </c>
      <c r="C19" s="29">
        <f>'Auto Calculate'!F11</f>
        <v>20</v>
      </c>
      <c r="D19" s="29">
        <f>'Auto Calculate'!F11</f>
        <v>20</v>
      </c>
      <c r="E19" s="4" t="s">
        <v>104</v>
      </c>
      <c r="H19" t="s">
        <v>105</v>
      </c>
      <c r="I19" t="s">
        <v>106</v>
      </c>
    </row>
    <row r="20" spans="1:21" x14ac:dyDescent="0.3">
      <c r="B20" t="s">
        <v>107</v>
      </c>
      <c r="C20" s="29">
        <f>'Calculation Debt'!C20</f>
        <v>1</v>
      </c>
      <c r="E20" t="s">
        <v>108</v>
      </c>
      <c r="H20" s="30">
        <f>'Calculation Debt'!H20</f>
        <v>400</v>
      </c>
      <c r="I20" s="106">
        <f>'Calculation Debt'!I20</f>
        <v>100</v>
      </c>
    </row>
    <row r="21" spans="1:21" x14ac:dyDescent="0.3">
      <c r="E21" t="s">
        <v>109</v>
      </c>
      <c r="H21" s="156">
        <f>'Calculation Debt'!H21</f>
        <v>0</v>
      </c>
    </row>
    <row r="22" spans="1:21" x14ac:dyDescent="0.3">
      <c r="A22" s="33"/>
      <c r="E22" t="s">
        <v>42</v>
      </c>
      <c r="H22" s="30">
        <f>Summary!Q24</f>
        <v>10</v>
      </c>
    </row>
    <row r="23" spans="1:21" x14ac:dyDescent="0.3">
      <c r="E23" t="s">
        <v>110</v>
      </c>
      <c r="H23" s="30">
        <f>'Calculation Debt'!H23</f>
        <v>3.75</v>
      </c>
      <c r="J23" s="34"/>
    </row>
    <row r="24" spans="1:21" ht="15.45" customHeight="1" x14ac:dyDescent="0.3">
      <c r="E24" t="s">
        <v>111</v>
      </c>
      <c r="H24" s="156">
        <f>'Calculation Debt'!H24</f>
        <v>1.2150000000000001</v>
      </c>
      <c r="K24" s="12"/>
      <c r="L24" s="12"/>
      <c r="M24" s="12"/>
      <c r="N24" s="12"/>
      <c r="O24" s="12"/>
      <c r="P24" s="12"/>
      <c r="Q24" s="25"/>
      <c r="R24" s="12"/>
      <c r="S24" s="12"/>
      <c r="T24" s="12"/>
      <c r="U24" s="12"/>
    </row>
    <row r="25" spans="1:21" x14ac:dyDescent="0.3">
      <c r="E25" t="s">
        <v>112</v>
      </c>
      <c r="H25" s="24">
        <v>0</v>
      </c>
      <c r="K25" s="12"/>
      <c r="L25" s="26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3">
      <c r="E26" t="s">
        <v>113</v>
      </c>
      <c r="H26" s="24">
        <v>0</v>
      </c>
      <c r="K26" s="12"/>
      <c r="L26" s="160"/>
      <c r="M26" s="161"/>
      <c r="N26" s="161"/>
      <c r="O26" s="161"/>
      <c r="P26" s="161"/>
      <c r="Q26" s="161"/>
      <c r="R26" s="161"/>
      <c r="S26" s="161"/>
      <c r="T26" s="161"/>
      <c r="U26" s="161"/>
    </row>
    <row r="27" spans="1:21" x14ac:dyDescent="0.3">
      <c r="H27" t="s">
        <v>114</v>
      </c>
      <c r="I27" t="s">
        <v>115</v>
      </c>
      <c r="K27" s="28"/>
      <c r="L27" s="160"/>
      <c r="M27" s="161"/>
      <c r="N27" s="161"/>
      <c r="O27" s="161"/>
      <c r="P27" s="161"/>
      <c r="Q27" s="161"/>
      <c r="R27" s="161"/>
      <c r="S27" s="161"/>
      <c r="T27" s="161"/>
      <c r="U27" s="161"/>
    </row>
    <row r="28" spans="1:21" x14ac:dyDescent="0.3">
      <c r="E28" s="15" t="s">
        <v>116</v>
      </c>
      <c r="F28" s="15"/>
      <c r="G28" s="15"/>
      <c r="H28" s="35">
        <f>'Calculation Debt'!H28</f>
        <v>25</v>
      </c>
      <c r="I28" s="35">
        <f>'Calculation Debt'!I28</f>
        <v>12.5</v>
      </c>
      <c r="K28" s="28"/>
      <c r="L28" s="160"/>
      <c r="M28" s="161"/>
      <c r="N28" s="161"/>
      <c r="O28" s="161"/>
      <c r="P28" s="161"/>
      <c r="Q28" s="161"/>
      <c r="R28" s="161"/>
      <c r="S28" s="161"/>
      <c r="T28" s="161"/>
      <c r="U28" s="161"/>
    </row>
    <row r="29" spans="1:21" ht="15.45" customHeight="1" x14ac:dyDescent="0.3">
      <c r="E29" s="15" t="s">
        <v>117</v>
      </c>
      <c r="F29" s="15"/>
      <c r="G29" s="15"/>
      <c r="H29" s="36">
        <f>'Calculation Debt'!H29</f>
        <v>1</v>
      </c>
      <c r="I29" s="36">
        <f>'Calculation Debt'!I29</f>
        <v>1</v>
      </c>
      <c r="K29" s="32"/>
      <c r="L29" s="160"/>
      <c r="M29" s="161"/>
      <c r="N29" s="161"/>
      <c r="O29" s="161"/>
      <c r="P29" s="161"/>
      <c r="Q29" s="161"/>
      <c r="R29" s="161"/>
      <c r="S29" s="161"/>
      <c r="T29" s="161"/>
      <c r="U29" s="161"/>
    </row>
    <row r="30" spans="1:21" x14ac:dyDescent="0.3">
      <c r="C30" s="157"/>
      <c r="E30" s="15" t="s">
        <v>118</v>
      </c>
      <c r="F30" s="15"/>
      <c r="G30" s="15"/>
      <c r="H30" s="35">
        <f>'Calculation Debt'!H30</f>
        <v>15</v>
      </c>
      <c r="I30" s="35">
        <f>'Calculation Debt'!I30</f>
        <v>15</v>
      </c>
      <c r="K30" s="12"/>
      <c r="L30" s="160"/>
      <c r="M30" s="161"/>
      <c r="N30" s="161"/>
      <c r="O30" s="161"/>
      <c r="P30" s="161"/>
      <c r="Q30" s="161"/>
      <c r="R30" s="161"/>
      <c r="S30" s="161"/>
      <c r="T30" s="161"/>
      <c r="U30" s="161"/>
    </row>
    <row r="31" spans="1:21" x14ac:dyDescent="0.3">
      <c r="C31" s="157"/>
      <c r="E31" s="15" t="s">
        <v>119</v>
      </c>
      <c r="F31" s="15"/>
      <c r="G31" s="15"/>
      <c r="H31" s="36">
        <f>'Calculation Debt'!H31</f>
        <v>1</v>
      </c>
      <c r="I31" s="36">
        <f>'Calculation Debt'!I31</f>
        <v>1</v>
      </c>
      <c r="K31" s="12"/>
      <c r="L31" s="160"/>
      <c r="M31" s="161"/>
      <c r="N31" s="161"/>
      <c r="O31" s="161"/>
      <c r="P31" s="161"/>
      <c r="Q31" s="161"/>
      <c r="R31" s="161"/>
      <c r="S31" s="161"/>
      <c r="T31" s="161"/>
      <c r="U31" s="161"/>
    </row>
    <row r="32" spans="1:21" x14ac:dyDescent="0.3">
      <c r="C32" s="157"/>
      <c r="E32" s="15" t="s">
        <v>120</v>
      </c>
      <c r="H32" s="36">
        <f>'Calculation Debt'!H32</f>
        <v>0.25</v>
      </c>
      <c r="K32" s="12"/>
      <c r="L32" s="160"/>
      <c r="M32" s="161"/>
      <c r="N32" s="161"/>
      <c r="O32" s="161"/>
      <c r="P32" s="161"/>
      <c r="Q32" s="161"/>
      <c r="R32" s="161"/>
      <c r="S32" s="161"/>
      <c r="T32" s="161"/>
      <c r="U32" s="161"/>
    </row>
    <row r="33" spans="2:30" x14ac:dyDescent="0.3">
      <c r="C33" s="158"/>
      <c r="K33" s="12"/>
      <c r="L33" s="160"/>
      <c r="M33" s="161"/>
      <c r="N33" s="161"/>
      <c r="O33" s="161"/>
      <c r="P33" s="161"/>
      <c r="Q33" s="161"/>
      <c r="R33" s="161"/>
      <c r="S33" s="161"/>
      <c r="T33" s="161"/>
      <c r="U33" s="161"/>
    </row>
    <row r="34" spans="2:30" x14ac:dyDescent="0.3">
      <c r="B34" s="14"/>
      <c r="C34" s="159"/>
      <c r="H34" s="3"/>
      <c r="K34" s="12"/>
      <c r="L34" s="160"/>
      <c r="M34" s="161"/>
      <c r="N34" s="161"/>
      <c r="O34" s="161"/>
      <c r="P34" s="161"/>
      <c r="Q34" s="161"/>
      <c r="R34" s="161"/>
      <c r="S34" s="161"/>
      <c r="T34" s="161"/>
      <c r="U34" s="161"/>
    </row>
    <row r="35" spans="2:30" x14ac:dyDescent="0.3">
      <c r="D35" s="15"/>
      <c r="I35" s="102"/>
      <c r="L35" s="160"/>
      <c r="M35" s="161"/>
      <c r="N35" s="161"/>
      <c r="O35" s="161"/>
      <c r="P35" s="161"/>
      <c r="Q35" s="161"/>
      <c r="R35" s="161"/>
      <c r="S35" s="161"/>
      <c r="T35" s="161"/>
      <c r="U35" s="161"/>
    </row>
    <row r="36" spans="2:30" x14ac:dyDescent="0.3">
      <c r="D36" s="15"/>
      <c r="I36" s="102"/>
      <c r="L36" s="160"/>
      <c r="M36" s="161"/>
      <c r="N36" s="161"/>
      <c r="O36" s="161"/>
      <c r="P36" s="161"/>
      <c r="Q36" s="161"/>
      <c r="R36" s="161"/>
      <c r="S36" s="161"/>
      <c r="T36" s="161"/>
      <c r="U36" s="161"/>
    </row>
    <row r="37" spans="2:30" x14ac:dyDescent="0.3">
      <c r="L37" s="160"/>
      <c r="M37" s="161"/>
      <c r="N37" s="161"/>
      <c r="O37" s="161"/>
      <c r="P37" s="161"/>
      <c r="Q37" s="161"/>
      <c r="R37" s="161"/>
      <c r="S37" s="161"/>
      <c r="T37" s="161"/>
      <c r="U37" s="161"/>
    </row>
    <row r="38" spans="2:30" x14ac:dyDescent="0.3">
      <c r="L38" s="160"/>
      <c r="M38" s="161"/>
      <c r="N38" s="161"/>
      <c r="O38" s="161"/>
      <c r="P38" s="161"/>
      <c r="Q38" s="161"/>
      <c r="R38" s="161"/>
      <c r="S38" s="161"/>
      <c r="T38" s="161"/>
      <c r="U38" s="161"/>
    </row>
    <row r="39" spans="2:30" x14ac:dyDescent="0.3">
      <c r="D39" s="37"/>
      <c r="L39" s="160"/>
      <c r="M39" s="161"/>
      <c r="N39" s="161"/>
      <c r="O39" s="161"/>
      <c r="P39" s="161"/>
      <c r="Q39" s="161"/>
      <c r="R39" s="161"/>
      <c r="S39" s="161"/>
      <c r="T39" s="161"/>
      <c r="U39" s="161"/>
    </row>
    <row r="40" spans="2:30" x14ac:dyDescent="0.3">
      <c r="D40" s="38"/>
      <c r="E40" s="38"/>
      <c r="F40" s="38"/>
      <c r="H40" s="38"/>
      <c r="I40" s="38"/>
      <c r="L40" s="160"/>
      <c r="M40" s="161"/>
      <c r="N40" s="161"/>
      <c r="O40" s="161"/>
      <c r="P40" s="161"/>
      <c r="Q40" s="161"/>
      <c r="R40" s="161"/>
      <c r="S40" s="161"/>
      <c r="T40" s="161"/>
      <c r="U40" s="161"/>
    </row>
    <row r="41" spans="2:30" x14ac:dyDescent="0.3">
      <c r="F41" s="39"/>
      <c r="G41" s="39"/>
    </row>
    <row r="42" spans="2:30" x14ac:dyDescent="0.3">
      <c r="B42" s="40" t="s">
        <v>121</v>
      </c>
      <c r="C42" s="2">
        <v>0</v>
      </c>
      <c r="D42" s="2">
        <v>1</v>
      </c>
      <c r="E42" s="2">
        <v>2</v>
      </c>
      <c r="F42" s="2">
        <v>3</v>
      </c>
      <c r="G42" s="2">
        <v>4</v>
      </c>
      <c r="H42" s="2">
        <v>5</v>
      </c>
      <c r="I42" s="2">
        <v>6</v>
      </c>
      <c r="J42" s="2">
        <v>7</v>
      </c>
      <c r="K42" s="2">
        <v>8</v>
      </c>
      <c r="L42" s="2">
        <v>9</v>
      </c>
      <c r="M42" s="2">
        <v>10</v>
      </c>
      <c r="N42" s="2">
        <v>11</v>
      </c>
      <c r="O42" s="2">
        <v>12</v>
      </c>
      <c r="P42" s="2">
        <v>13</v>
      </c>
      <c r="Q42" s="2">
        <v>14</v>
      </c>
      <c r="R42" s="2">
        <v>15</v>
      </c>
      <c r="S42" s="2">
        <v>16</v>
      </c>
      <c r="T42" s="2">
        <v>17</v>
      </c>
      <c r="U42" s="2">
        <v>18</v>
      </c>
      <c r="V42" s="2">
        <v>19</v>
      </c>
      <c r="W42" s="2">
        <v>20</v>
      </c>
      <c r="X42" s="2">
        <v>21</v>
      </c>
      <c r="Y42" s="2">
        <v>22</v>
      </c>
      <c r="Z42" s="2">
        <v>23</v>
      </c>
      <c r="AA42" s="2">
        <v>24</v>
      </c>
      <c r="AB42" s="2">
        <v>25</v>
      </c>
      <c r="AC42" s="2"/>
      <c r="AD42" s="2"/>
    </row>
    <row r="43" spans="2:30" x14ac:dyDescent="0.3">
      <c r="D43" s="41"/>
      <c r="E43" s="41"/>
      <c r="F43" s="41"/>
      <c r="G43" s="41"/>
      <c r="H43" s="41"/>
      <c r="I43" s="41"/>
      <c r="J43" s="41"/>
      <c r="K43" s="41"/>
    </row>
    <row r="44" spans="2:30" x14ac:dyDescent="0.3">
      <c r="B44" t="s">
        <v>122</v>
      </c>
      <c r="D44" s="42">
        <f>Summary!D10+Summary!H10+Summary!M9+Summary!W7+Summary!AB7+Summary!AG7+Summary!AL7+Summary!AQ7+Summary!AV7+Summary!BA7+Summary!BF7+Summary!BK7+Summary!AQ14+Summary!AV14+Summary!BA14+Summary!BF14+Summary!BK14+Summary!W14+Summary!AB14+Summary!AG14+Summary!AL14</f>
        <v>48000</v>
      </c>
      <c r="E44" s="42">
        <f t="shared" ref="E44:AB44" si="0">(D44-D44*($C$10))*(E$42&lt;=$C$19)</f>
        <v>47760</v>
      </c>
      <c r="F44" s="42">
        <f t="shared" si="0"/>
        <v>47521.2</v>
      </c>
      <c r="G44" s="42">
        <f t="shared" si="0"/>
        <v>47283.593999999997</v>
      </c>
      <c r="H44" s="42">
        <f t="shared" si="0"/>
        <v>47047.176029999995</v>
      </c>
      <c r="I44" s="42">
        <f t="shared" si="0"/>
        <v>46811.940149849994</v>
      </c>
      <c r="J44" s="42">
        <f t="shared" si="0"/>
        <v>46577.880449100747</v>
      </c>
      <c r="K44" s="42">
        <f t="shared" si="0"/>
        <v>46344.991046855241</v>
      </c>
      <c r="L44" s="42">
        <f t="shared" si="0"/>
        <v>46113.266091620964</v>
      </c>
      <c r="M44" s="42">
        <f t="shared" si="0"/>
        <v>45882.699761162861</v>
      </c>
      <c r="N44" s="42">
        <f t="shared" si="0"/>
        <v>45653.286262357047</v>
      </c>
      <c r="O44" s="42">
        <f t="shared" si="0"/>
        <v>45425.019831045262</v>
      </c>
      <c r="P44" s="42">
        <f t="shared" si="0"/>
        <v>45197.894731890032</v>
      </c>
      <c r="Q44" s="42">
        <f t="shared" si="0"/>
        <v>44971.905258230581</v>
      </c>
      <c r="R44" s="42">
        <f t="shared" si="0"/>
        <v>44747.045731939426</v>
      </c>
      <c r="S44" s="42">
        <f t="shared" si="0"/>
        <v>44523.310503279732</v>
      </c>
      <c r="T44" s="42">
        <f t="shared" si="0"/>
        <v>44300.693950763336</v>
      </c>
      <c r="U44" s="42">
        <f t="shared" si="0"/>
        <v>44079.190481009522</v>
      </c>
      <c r="V44" s="42">
        <f t="shared" si="0"/>
        <v>43858.794528604478</v>
      </c>
      <c r="W44" s="42">
        <f t="shared" si="0"/>
        <v>43639.500555961458</v>
      </c>
      <c r="X44" s="42">
        <f t="shared" si="0"/>
        <v>0</v>
      </c>
      <c r="Y44" s="42">
        <f t="shared" si="0"/>
        <v>0</v>
      </c>
      <c r="Z44" s="42">
        <f t="shared" si="0"/>
        <v>0</v>
      </c>
      <c r="AA44" s="42">
        <f t="shared" si="0"/>
        <v>0</v>
      </c>
      <c r="AB44" s="42">
        <f t="shared" si="0"/>
        <v>0</v>
      </c>
      <c r="AC44" s="42"/>
      <c r="AD44" s="42"/>
    </row>
    <row r="45" spans="2:30" x14ac:dyDescent="0.3">
      <c r="B45" t="s">
        <v>123</v>
      </c>
      <c r="C45" s="42"/>
      <c r="D45" s="43">
        <f t="shared" ref="D45:AB45" si="1">$D$44*$C$6*(D$42&lt;=$C$19)</f>
        <v>48000</v>
      </c>
      <c r="E45" s="43">
        <f t="shared" si="1"/>
        <v>48000</v>
      </c>
      <c r="F45" s="43">
        <f t="shared" si="1"/>
        <v>48000</v>
      </c>
      <c r="G45" s="43">
        <f t="shared" si="1"/>
        <v>48000</v>
      </c>
      <c r="H45" s="43">
        <f t="shared" si="1"/>
        <v>48000</v>
      </c>
      <c r="I45" s="43">
        <f t="shared" si="1"/>
        <v>48000</v>
      </c>
      <c r="J45" s="43">
        <f t="shared" si="1"/>
        <v>48000</v>
      </c>
      <c r="K45" s="43">
        <f t="shared" si="1"/>
        <v>48000</v>
      </c>
      <c r="L45" s="43">
        <f t="shared" si="1"/>
        <v>48000</v>
      </c>
      <c r="M45" s="43">
        <f t="shared" si="1"/>
        <v>48000</v>
      </c>
      <c r="N45" s="43">
        <f t="shared" si="1"/>
        <v>48000</v>
      </c>
      <c r="O45" s="43">
        <f t="shared" si="1"/>
        <v>48000</v>
      </c>
      <c r="P45" s="43">
        <f t="shared" si="1"/>
        <v>48000</v>
      </c>
      <c r="Q45" s="43">
        <f t="shared" si="1"/>
        <v>48000</v>
      </c>
      <c r="R45" s="43">
        <f t="shared" si="1"/>
        <v>48000</v>
      </c>
      <c r="S45" s="43">
        <f t="shared" si="1"/>
        <v>48000</v>
      </c>
      <c r="T45" s="43">
        <f t="shared" si="1"/>
        <v>48000</v>
      </c>
      <c r="U45" s="43">
        <f t="shared" si="1"/>
        <v>48000</v>
      </c>
      <c r="V45" s="43">
        <f t="shared" si="1"/>
        <v>48000</v>
      </c>
      <c r="W45" s="43">
        <f t="shared" si="1"/>
        <v>48000</v>
      </c>
      <c r="X45" s="43">
        <f t="shared" si="1"/>
        <v>0</v>
      </c>
      <c r="Y45" s="43">
        <f t="shared" si="1"/>
        <v>0</v>
      </c>
      <c r="Z45" s="43">
        <f t="shared" si="1"/>
        <v>0</v>
      </c>
      <c r="AA45" s="43">
        <f t="shared" si="1"/>
        <v>0</v>
      </c>
      <c r="AB45" s="43">
        <f t="shared" si="1"/>
        <v>0</v>
      </c>
      <c r="AC45" s="43"/>
      <c r="AD45" s="43"/>
    </row>
    <row r="46" spans="2:30" x14ac:dyDescent="0.3">
      <c r="B46" t="s">
        <v>124</v>
      </c>
      <c r="C46" s="42"/>
      <c r="D46" s="44">
        <f>MIN(IFERROR(D45/E44,0),100%)*(D$42&lt;=$C$19)</f>
        <v>1</v>
      </c>
      <c r="E46" s="44">
        <f t="shared" ref="E46:AB46" si="2">MIN(IFERROR(E45/E44,0),100%)*(E$42&lt;=$C$19)</f>
        <v>1</v>
      </c>
      <c r="F46" s="44">
        <f t="shared" si="2"/>
        <v>1</v>
      </c>
      <c r="G46" s="44">
        <f t="shared" si="2"/>
        <v>1</v>
      </c>
      <c r="H46" s="44">
        <f t="shared" si="2"/>
        <v>1</v>
      </c>
      <c r="I46" s="44">
        <f t="shared" si="2"/>
        <v>1</v>
      </c>
      <c r="J46" s="44">
        <f t="shared" si="2"/>
        <v>1</v>
      </c>
      <c r="K46" s="44">
        <f t="shared" si="2"/>
        <v>1</v>
      </c>
      <c r="L46" s="44">
        <f t="shared" si="2"/>
        <v>1</v>
      </c>
      <c r="M46" s="44">
        <f t="shared" si="2"/>
        <v>1</v>
      </c>
      <c r="N46" s="44">
        <f t="shared" si="2"/>
        <v>1</v>
      </c>
      <c r="O46" s="44">
        <f t="shared" si="2"/>
        <v>1</v>
      </c>
      <c r="P46" s="44">
        <f t="shared" si="2"/>
        <v>1</v>
      </c>
      <c r="Q46" s="44">
        <f t="shared" si="2"/>
        <v>1</v>
      </c>
      <c r="R46" s="44">
        <f t="shared" si="2"/>
        <v>1</v>
      </c>
      <c r="S46" s="44">
        <f t="shared" si="2"/>
        <v>1</v>
      </c>
      <c r="T46" s="44">
        <f t="shared" si="2"/>
        <v>1</v>
      </c>
      <c r="U46" s="44">
        <f t="shared" si="2"/>
        <v>1</v>
      </c>
      <c r="V46" s="44">
        <f t="shared" si="2"/>
        <v>1</v>
      </c>
      <c r="W46" s="44">
        <f t="shared" si="2"/>
        <v>1</v>
      </c>
      <c r="X46" s="44">
        <f t="shared" si="2"/>
        <v>0</v>
      </c>
      <c r="Y46" s="44">
        <f t="shared" si="2"/>
        <v>0</v>
      </c>
      <c r="Z46" s="44">
        <f t="shared" si="2"/>
        <v>0</v>
      </c>
      <c r="AA46" s="44">
        <f t="shared" si="2"/>
        <v>0</v>
      </c>
      <c r="AB46" s="44">
        <f t="shared" si="2"/>
        <v>0</v>
      </c>
      <c r="AC46" s="44"/>
      <c r="AD46" s="44"/>
    </row>
    <row r="47" spans="2:30" x14ac:dyDescent="0.3">
      <c r="B47" t="s">
        <v>125</v>
      </c>
      <c r="C47" s="45"/>
      <c r="D47" s="45">
        <f>$C$12*((1+$C$17)^(D42-1))*(D$42&lt;=$C$19)</f>
        <v>7</v>
      </c>
      <c r="E47" s="45">
        <f t="shared" ref="E47:AB47" si="3">$C$12*((1+$C$17)^(E42-1))*(E42&lt;=$C$19)</f>
        <v>7.1749999999999989</v>
      </c>
      <c r="F47" s="45">
        <f t="shared" si="3"/>
        <v>7.3543749999999992</v>
      </c>
      <c r="G47" s="45">
        <f t="shared" si="3"/>
        <v>7.5382343749999992</v>
      </c>
      <c r="H47" s="45">
        <f t="shared" si="3"/>
        <v>7.7266902343749981</v>
      </c>
      <c r="I47" s="45">
        <f t="shared" si="3"/>
        <v>7.9198574902343726</v>
      </c>
      <c r="J47" s="45">
        <f t="shared" si="3"/>
        <v>8.1178539274902306</v>
      </c>
      <c r="K47" s="45">
        <f t="shared" si="3"/>
        <v>8.3208002756774881</v>
      </c>
      <c r="L47" s="45">
        <f t="shared" si="3"/>
        <v>8.5288202825694235</v>
      </c>
      <c r="M47" s="45">
        <f t="shared" si="3"/>
        <v>8.7420407896336574</v>
      </c>
      <c r="N47" s="45">
        <f t="shared" si="3"/>
        <v>8.960591809374499</v>
      </c>
      <c r="O47" s="45">
        <f t="shared" si="3"/>
        <v>9.1846066046088612</v>
      </c>
      <c r="P47" s="45">
        <f t="shared" si="3"/>
        <v>9.4142217697240831</v>
      </c>
      <c r="Q47" s="45">
        <f t="shared" si="3"/>
        <v>9.6495773139671837</v>
      </c>
      <c r="R47" s="45">
        <f t="shared" si="3"/>
        <v>9.8908167468163626</v>
      </c>
      <c r="S47" s="45">
        <f t="shared" si="3"/>
        <v>10.138087165486773</v>
      </c>
      <c r="T47" s="45">
        <f t="shared" si="3"/>
        <v>10.391539344623942</v>
      </c>
      <c r="U47" s="45">
        <f t="shared" si="3"/>
        <v>10.651327828239539</v>
      </c>
      <c r="V47" s="45">
        <f t="shared" si="3"/>
        <v>10.917611023945527</v>
      </c>
      <c r="W47" s="45">
        <f t="shared" si="3"/>
        <v>11.190551299544166</v>
      </c>
      <c r="X47" s="45">
        <f t="shared" si="3"/>
        <v>0</v>
      </c>
      <c r="Y47" s="45">
        <f t="shared" si="3"/>
        <v>0</v>
      </c>
      <c r="Z47" s="45">
        <f t="shared" si="3"/>
        <v>0</v>
      </c>
      <c r="AA47" s="45">
        <f t="shared" si="3"/>
        <v>0</v>
      </c>
      <c r="AB47" s="45">
        <f t="shared" si="3"/>
        <v>0</v>
      </c>
      <c r="AC47" s="45"/>
      <c r="AD47" s="45"/>
    </row>
    <row r="48" spans="2:30" x14ac:dyDescent="0.3">
      <c r="B48" t="s">
        <v>126</v>
      </c>
      <c r="C48" s="45"/>
      <c r="D48" s="45">
        <f>IF(Summary!$D$19&lt;1,$C$15*((1+$C$18)^(D42-1))*(D42&lt;=$C$19),Summary!$D$19)</f>
        <v>13.285790189976327</v>
      </c>
      <c r="E48" s="45">
        <f>IF(Summary!$D$19&lt;1,$C$15*((1+$C$18)^(E42-1))*(E42&lt;=$C$19),Summary!$D$19)</f>
        <v>13.617934944725734</v>
      </c>
      <c r="F48" s="45">
        <f>IF(Summary!$D$19&lt;1,$C$15*((1+$C$18)^(F42-1))*(F42&lt;=$C$19),Summary!$D$19)</f>
        <v>13.958383318343877</v>
      </c>
      <c r="G48" s="45">
        <f>IF(Summary!$D$19&lt;1,$C$15*((1+$C$18)^(G42-1))*(G42&lt;=$C$19),Summary!$D$19)</f>
        <v>14.307342901302473</v>
      </c>
      <c r="H48" s="45">
        <f>IF(Summary!$D$19&lt;1,$C$15*((1+$C$18)^(H42-1))*(H42&lt;=$C$19),Summary!$D$19)</f>
        <v>14.665026473835034</v>
      </c>
      <c r="I48" s="45">
        <f>IF(Summary!$D$19&lt;1,$C$15*((1+$C$18)^(I42-1))*(I42&lt;=$C$19),Summary!$D$19)</f>
        <v>15.031652135680908</v>
      </c>
      <c r="J48" s="45">
        <f>IF(Summary!$D$19&lt;1,$C$15*((1+$C$18)^(J42-1))*(J42&lt;=$C$19),Summary!$D$19)</f>
        <v>15.40744343907293</v>
      </c>
      <c r="K48" s="45">
        <f>IF(Summary!$D$19&lt;1,$C$15*((1+$C$18)^(K42-1))*(K42&lt;=$C$19),Summary!$D$19)</f>
        <v>15.792629525049755</v>
      </c>
      <c r="L48" s="45">
        <f>IF(Summary!$D$19&lt;1,$C$15*((1+$C$18)^(L42-1))*(L42&lt;=$C$19),Summary!$D$19)</f>
        <v>16.187445263175995</v>
      </c>
      <c r="M48" s="45">
        <f>IF(Summary!$D$19&lt;1,$C$15*((1+$C$18)^(M42-1))*(M42&lt;=$C$19),Summary!$D$19)</f>
        <v>16.592131394755395</v>
      </c>
      <c r="N48" s="45">
        <f>IF(Summary!$D$19&lt;1,$C$15*((1+$C$18)^(N42-1))*(N42&lt;=$C$19),Summary!$D$19)</f>
        <v>17.00693467962428</v>
      </c>
      <c r="O48" s="45">
        <f>IF(Summary!$D$19&lt;1,$C$15*((1+$C$18)^(O42-1))*(O42&lt;=$C$19),Summary!$D$19)</f>
        <v>17.432108046614886</v>
      </c>
      <c r="P48" s="45">
        <f>IF(Summary!$D$19&lt;1,$C$15*((1+$C$18)^(P42-1))*(P42&lt;=$C$19),Summary!$D$19)</f>
        <v>17.867910747780257</v>
      </c>
      <c r="Q48" s="45">
        <f>IF(Summary!$D$19&lt;1,$C$15*((1+$C$18)^(Q42-1))*(Q42&lt;=$C$19),Summary!$D$19)</f>
        <v>18.31460851647476</v>
      </c>
      <c r="R48" s="45">
        <f>IF(Summary!$D$19&lt;1,$C$15*((1+$C$18)^(R42-1))*(R42&lt;=$C$19),Summary!$D$19)</f>
        <v>18.772473729386629</v>
      </c>
      <c r="S48" s="45">
        <f>IF(Summary!$D$19&lt;1,$C$15*((1+$C$18)^(S42-1))*(S42&lt;=$C$19),Summary!$D$19)</f>
        <v>19.241785572621296</v>
      </c>
      <c r="T48" s="45">
        <f>IF(Summary!$D$19&lt;1,$C$15*((1+$C$18)^(T42-1))*(T42&lt;=$C$19),Summary!$D$19)</f>
        <v>19.722830211936827</v>
      </c>
      <c r="U48" s="45">
        <f>IF(Summary!$D$19&lt;1,$C$15*((1+$C$18)^(U42-1))*(U42&lt;=$C$19),Summary!$D$19)</f>
        <v>20.215900967235246</v>
      </c>
      <c r="V48" s="45">
        <f>IF(Summary!$D$19&lt;1,$C$15*((1+$C$18)^(V42-1))*(V42&lt;=$C$19),Summary!$D$19)</f>
        <v>20.721298491416128</v>
      </c>
      <c r="W48" s="45">
        <f>IF(Summary!$D$19&lt;1,$C$15*((1+$C$18)^(W42-1))*(W42&lt;=$C$19),Summary!$D$19)</f>
        <v>21.239330953701533</v>
      </c>
      <c r="X48" s="45">
        <f>IF(Summary!$D$19&lt;1,$C$15*((1+$C$18)^(X42-1))*(X42&lt;=$C$19),Summary!$D$19)</f>
        <v>0</v>
      </c>
      <c r="Y48" s="45">
        <f>IF(Summary!$D$19&lt;1,$C$15*((1+$C$18)^(Y42-1))*(Y42&lt;=$C$19),Summary!$D$19)</f>
        <v>0</v>
      </c>
      <c r="Z48" s="45">
        <f>IF(Summary!$D$19&lt;1,$C$15*((1+$C$18)^(Z42-1))*(Z42&lt;=$C$19),Summary!$D$19)</f>
        <v>0</v>
      </c>
      <c r="AA48" s="45">
        <f>IF(Summary!$D$19&lt;1,$C$15*((1+$C$18)^(AA42-1))*(AA42&lt;=$C$19),Summary!$D$19)</f>
        <v>0</v>
      </c>
      <c r="AB48" s="45">
        <f>IF(Summary!$D$19&lt;1,$C$15*((1+$C$18)^(AB42-1))*(AB42&lt;=$C$19),Summary!$D$19)</f>
        <v>0</v>
      </c>
      <c r="AC48" s="45"/>
      <c r="AD48" s="45"/>
    </row>
    <row r="49" spans="1:30" x14ac:dyDescent="0.3"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spans="1:30" x14ac:dyDescent="0.3">
      <c r="B50" t="s">
        <v>127</v>
      </c>
      <c r="C50" s="45"/>
      <c r="D50" s="46">
        <f t="shared" ref="D50:AB50" si="4">(D$44*(1-D$46)*D$47)/100</f>
        <v>0</v>
      </c>
      <c r="E50" s="46">
        <f t="shared" si="4"/>
        <v>0</v>
      </c>
      <c r="F50" s="46">
        <f t="shared" si="4"/>
        <v>0</v>
      </c>
      <c r="G50" s="46">
        <f t="shared" si="4"/>
        <v>0</v>
      </c>
      <c r="H50" s="46">
        <f t="shared" si="4"/>
        <v>0</v>
      </c>
      <c r="I50" s="46">
        <f t="shared" si="4"/>
        <v>0</v>
      </c>
      <c r="J50" s="46">
        <f t="shared" si="4"/>
        <v>0</v>
      </c>
      <c r="K50" s="46">
        <f t="shared" si="4"/>
        <v>0</v>
      </c>
      <c r="L50" s="46">
        <f t="shared" si="4"/>
        <v>0</v>
      </c>
      <c r="M50" s="46">
        <f t="shared" si="4"/>
        <v>0</v>
      </c>
      <c r="N50" s="46">
        <f t="shared" si="4"/>
        <v>0</v>
      </c>
      <c r="O50" s="46">
        <f t="shared" si="4"/>
        <v>0</v>
      </c>
      <c r="P50" s="46">
        <f t="shared" si="4"/>
        <v>0</v>
      </c>
      <c r="Q50" s="46">
        <f t="shared" si="4"/>
        <v>0</v>
      </c>
      <c r="R50" s="46">
        <f t="shared" si="4"/>
        <v>0</v>
      </c>
      <c r="S50" s="46">
        <f t="shared" si="4"/>
        <v>0</v>
      </c>
      <c r="T50" s="46">
        <f t="shared" si="4"/>
        <v>0</v>
      </c>
      <c r="U50" s="46">
        <f t="shared" si="4"/>
        <v>0</v>
      </c>
      <c r="V50" s="46">
        <f t="shared" si="4"/>
        <v>0</v>
      </c>
      <c r="W50" s="46">
        <f t="shared" si="4"/>
        <v>0</v>
      </c>
      <c r="X50" s="46">
        <f t="shared" si="4"/>
        <v>0</v>
      </c>
      <c r="Y50" s="46">
        <f t="shared" si="4"/>
        <v>0</v>
      </c>
      <c r="Z50" s="46">
        <f t="shared" si="4"/>
        <v>0</v>
      </c>
      <c r="AA50" s="46">
        <f t="shared" si="4"/>
        <v>0</v>
      </c>
      <c r="AB50" s="46">
        <f t="shared" si="4"/>
        <v>0</v>
      </c>
      <c r="AC50" s="46"/>
      <c r="AD50" s="46"/>
    </row>
    <row r="51" spans="1:30" x14ac:dyDescent="0.3">
      <c r="B51" t="s">
        <v>128</v>
      </c>
      <c r="C51" s="45"/>
      <c r="D51" s="47">
        <f t="shared" ref="D51:AB51" si="5">(+D$44*(D$46)*D$48)/100</f>
        <v>6377.1792911886369</v>
      </c>
      <c r="E51" s="47">
        <f t="shared" si="5"/>
        <v>6503.925729601011</v>
      </c>
      <c r="F51" s="47">
        <f t="shared" si="5"/>
        <v>6633.1912534768298</v>
      </c>
      <c r="G51" s="47">
        <f t="shared" si="5"/>
        <v>6765.0259296396816</v>
      </c>
      <c r="H51" s="47">
        <f t="shared" si="5"/>
        <v>6899.4808199912695</v>
      </c>
      <c r="I51" s="47">
        <f t="shared" si="5"/>
        <v>7036.608001288595</v>
      </c>
      <c r="J51" s="47">
        <f t="shared" si="5"/>
        <v>7176.4605853142057</v>
      </c>
      <c r="K51" s="47">
        <f t="shared" si="5"/>
        <v>7319.0927394473265</v>
      </c>
      <c r="L51" s="47">
        <f t="shared" si="5"/>
        <v>7464.5597076438398</v>
      </c>
      <c r="M51" s="47">
        <f t="shared" si="5"/>
        <v>7612.9178318332615</v>
      </c>
      <c r="N51" s="47">
        <f t="shared" si="5"/>
        <v>7764.2245737409476</v>
      </c>
      <c r="O51" s="47">
        <f t="shared" si="5"/>
        <v>7918.5385371440489</v>
      </c>
      <c r="P51" s="47">
        <f t="shared" si="5"/>
        <v>8075.9194905697859</v>
      </c>
      <c r="Q51" s="47">
        <f t="shared" si="5"/>
        <v>8236.4283904448585</v>
      </c>
      <c r="R51" s="47">
        <f t="shared" si="5"/>
        <v>8400.1274047049501</v>
      </c>
      <c r="S51" s="47">
        <f t="shared" si="5"/>
        <v>8567.0799368734624</v>
      </c>
      <c r="T51" s="47">
        <f t="shared" si="5"/>
        <v>8737.3506506188205</v>
      </c>
      <c r="U51" s="47">
        <f t="shared" si="5"/>
        <v>8911.0054947998706</v>
      </c>
      <c r="V51" s="47">
        <f t="shared" si="5"/>
        <v>9088.1117290090187</v>
      </c>
      <c r="W51" s="47">
        <f t="shared" si="5"/>
        <v>9268.7379496230751</v>
      </c>
      <c r="X51" s="47">
        <f t="shared" si="5"/>
        <v>0</v>
      </c>
      <c r="Y51" s="47">
        <f t="shared" si="5"/>
        <v>0</v>
      </c>
      <c r="Z51" s="47">
        <f t="shared" si="5"/>
        <v>0</v>
      </c>
      <c r="AA51" s="47">
        <f t="shared" si="5"/>
        <v>0</v>
      </c>
      <c r="AB51" s="47">
        <f t="shared" si="5"/>
        <v>0</v>
      </c>
      <c r="AC51" s="47"/>
      <c r="AD51" s="47"/>
    </row>
    <row r="52" spans="1:30" x14ac:dyDescent="0.3">
      <c r="A52" s="3"/>
      <c r="B52" s="3" t="s">
        <v>65</v>
      </c>
      <c r="C52" s="48"/>
      <c r="D52" s="48">
        <f t="shared" ref="D52:AB52" si="6">SUM(D50:D51)</f>
        <v>6377.1792911886369</v>
      </c>
      <c r="E52" s="48">
        <f t="shared" si="6"/>
        <v>6503.925729601011</v>
      </c>
      <c r="F52" s="48">
        <f t="shared" si="6"/>
        <v>6633.1912534768298</v>
      </c>
      <c r="G52" s="48">
        <f t="shared" si="6"/>
        <v>6765.0259296396816</v>
      </c>
      <c r="H52" s="48">
        <f t="shared" si="6"/>
        <v>6899.4808199912695</v>
      </c>
      <c r="I52" s="48">
        <f t="shared" si="6"/>
        <v>7036.608001288595</v>
      </c>
      <c r="J52" s="48">
        <f t="shared" si="6"/>
        <v>7176.4605853142057</v>
      </c>
      <c r="K52" s="48">
        <f t="shared" si="6"/>
        <v>7319.0927394473265</v>
      </c>
      <c r="L52" s="48">
        <f t="shared" si="6"/>
        <v>7464.5597076438398</v>
      </c>
      <c r="M52" s="48">
        <f t="shared" si="6"/>
        <v>7612.9178318332615</v>
      </c>
      <c r="N52" s="48">
        <f t="shared" si="6"/>
        <v>7764.2245737409476</v>
      </c>
      <c r="O52" s="48">
        <f t="shared" si="6"/>
        <v>7918.5385371440489</v>
      </c>
      <c r="P52" s="48">
        <f t="shared" si="6"/>
        <v>8075.9194905697859</v>
      </c>
      <c r="Q52" s="48">
        <f t="shared" si="6"/>
        <v>8236.4283904448585</v>
      </c>
      <c r="R52" s="48">
        <f t="shared" si="6"/>
        <v>8400.1274047049501</v>
      </c>
      <c r="S52" s="48">
        <f t="shared" si="6"/>
        <v>8567.0799368734624</v>
      </c>
      <c r="T52" s="48">
        <f t="shared" si="6"/>
        <v>8737.3506506188205</v>
      </c>
      <c r="U52" s="48">
        <f t="shared" si="6"/>
        <v>8911.0054947998706</v>
      </c>
      <c r="V52" s="48">
        <f t="shared" si="6"/>
        <v>9088.1117290090187</v>
      </c>
      <c r="W52" s="48">
        <f t="shared" si="6"/>
        <v>9268.7379496230751</v>
      </c>
      <c r="X52" s="48">
        <f t="shared" si="6"/>
        <v>0</v>
      </c>
      <c r="Y52" s="48">
        <f t="shared" si="6"/>
        <v>0</v>
      </c>
      <c r="Z52" s="48">
        <f t="shared" si="6"/>
        <v>0</v>
      </c>
      <c r="AA52" s="48">
        <f t="shared" si="6"/>
        <v>0</v>
      </c>
      <c r="AB52" s="48">
        <f t="shared" si="6"/>
        <v>0</v>
      </c>
      <c r="AC52" s="48"/>
      <c r="AD52" s="48"/>
    </row>
    <row r="53" spans="1:30" x14ac:dyDescent="0.3">
      <c r="C53" s="49"/>
      <c r="D53" s="38"/>
    </row>
    <row r="54" spans="1:30" x14ac:dyDescent="0.3">
      <c r="C54" s="49"/>
      <c r="D54" s="38"/>
      <c r="E54" s="38"/>
      <c r="F54" s="38"/>
      <c r="G54" s="38"/>
      <c r="H54" s="38"/>
    </row>
    <row r="55" spans="1:30" x14ac:dyDescent="0.3">
      <c r="B55" t="s">
        <v>129</v>
      </c>
      <c r="C55" s="49"/>
      <c r="D55" s="42">
        <f>$H$20*(1+$C$16)^(D42-1)*(D42&lt;=$C$19)</f>
        <v>400</v>
      </c>
      <c r="E55" s="42">
        <f>$H$20*(1+$C$16)^(E42-1)*(E42&lt;=$C$19)</f>
        <v>409.99999999999994</v>
      </c>
      <c r="F55" s="42">
        <f>$H$20*(1+$C$16)^(F42-1)*(F42&lt;=$C$19)</f>
        <v>420.24999999999994</v>
      </c>
      <c r="G55" s="42">
        <f t="shared" ref="G55:AB55" si="7">$I$20*(1+$C$16)^(G42-1)*(G42&lt;=$C$19)</f>
        <v>107.68906249999999</v>
      </c>
      <c r="H55" s="42">
        <f t="shared" si="7"/>
        <v>110.38128906249997</v>
      </c>
      <c r="I55" s="42">
        <f t="shared" si="7"/>
        <v>113.14082128906247</v>
      </c>
      <c r="J55" s="42">
        <f t="shared" si="7"/>
        <v>115.96934182128902</v>
      </c>
      <c r="K55" s="42">
        <f t="shared" si="7"/>
        <v>118.86857536682125</v>
      </c>
      <c r="L55" s="42">
        <f t="shared" si="7"/>
        <v>121.84028975099177</v>
      </c>
      <c r="M55" s="42">
        <f t="shared" si="7"/>
        <v>124.88629699476654</v>
      </c>
      <c r="N55" s="42">
        <f t="shared" si="7"/>
        <v>128.00845441963571</v>
      </c>
      <c r="O55" s="42">
        <f t="shared" si="7"/>
        <v>131.20866578012661</v>
      </c>
      <c r="P55" s="42">
        <f t="shared" si="7"/>
        <v>134.48888242462976</v>
      </c>
      <c r="Q55" s="42">
        <f t="shared" si="7"/>
        <v>137.85110448524549</v>
      </c>
      <c r="R55" s="42">
        <f t="shared" si="7"/>
        <v>141.29738209737661</v>
      </c>
      <c r="S55" s="42">
        <f t="shared" si="7"/>
        <v>144.82981664981105</v>
      </c>
      <c r="T55" s="42">
        <f t="shared" si="7"/>
        <v>148.45056206605631</v>
      </c>
      <c r="U55" s="42">
        <f t="shared" si="7"/>
        <v>152.1618261177077</v>
      </c>
      <c r="V55" s="42">
        <f t="shared" si="7"/>
        <v>155.96587177065041</v>
      </c>
      <c r="W55" s="42">
        <f t="shared" si="7"/>
        <v>159.86501856491665</v>
      </c>
      <c r="X55" s="42">
        <f t="shared" si="7"/>
        <v>0</v>
      </c>
      <c r="Y55" s="42">
        <f t="shared" si="7"/>
        <v>0</v>
      </c>
      <c r="Z55" s="42">
        <f t="shared" si="7"/>
        <v>0</v>
      </c>
      <c r="AA55" s="42">
        <f t="shared" si="7"/>
        <v>0</v>
      </c>
      <c r="AB55" s="42">
        <f t="shared" si="7"/>
        <v>0</v>
      </c>
      <c r="AC55" s="42"/>
      <c r="AD55" s="42"/>
    </row>
    <row r="56" spans="1:30" x14ac:dyDescent="0.3">
      <c r="B56" t="s">
        <v>130</v>
      </c>
      <c r="C56" s="38"/>
      <c r="D56" s="42">
        <f t="shared" ref="D56:AB56" si="8">$C$7*$H$21*(1+$C$16)^(D42-1)*(D42&lt;=$C$19)</f>
        <v>0</v>
      </c>
      <c r="E56" s="42">
        <f t="shared" si="8"/>
        <v>0</v>
      </c>
      <c r="F56" s="42">
        <f t="shared" si="8"/>
        <v>0</v>
      </c>
      <c r="G56" s="42">
        <f t="shared" si="8"/>
        <v>0</v>
      </c>
      <c r="H56" s="42">
        <f t="shared" si="8"/>
        <v>0</v>
      </c>
      <c r="I56" s="42">
        <f t="shared" si="8"/>
        <v>0</v>
      </c>
      <c r="J56" s="42">
        <f t="shared" si="8"/>
        <v>0</v>
      </c>
      <c r="K56" s="42">
        <f t="shared" si="8"/>
        <v>0</v>
      </c>
      <c r="L56" s="42">
        <f t="shared" si="8"/>
        <v>0</v>
      </c>
      <c r="M56" s="42">
        <f t="shared" si="8"/>
        <v>0</v>
      </c>
      <c r="N56" s="42">
        <f t="shared" si="8"/>
        <v>0</v>
      </c>
      <c r="O56" s="42">
        <f t="shared" si="8"/>
        <v>0</v>
      </c>
      <c r="P56" s="42">
        <f t="shared" si="8"/>
        <v>0</v>
      </c>
      <c r="Q56" s="42">
        <f t="shared" si="8"/>
        <v>0</v>
      </c>
      <c r="R56" s="42">
        <f t="shared" si="8"/>
        <v>0</v>
      </c>
      <c r="S56" s="42">
        <f t="shared" si="8"/>
        <v>0</v>
      </c>
      <c r="T56" s="42">
        <f t="shared" si="8"/>
        <v>0</v>
      </c>
      <c r="U56" s="42">
        <f t="shared" si="8"/>
        <v>0</v>
      </c>
      <c r="V56" s="42">
        <f t="shared" si="8"/>
        <v>0</v>
      </c>
      <c r="W56" s="42">
        <f t="shared" si="8"/>
        <v>0</v>
      </c>
      <c r="X56" s="42">
        <f t="shared" si="8"/>
        <v>0</v>
      </c>
      <c r="Y56" s="42">
        <f t="shared" si="8"/>
        <v>0</v>
      </c>
      <c r="Z56" s="42">
        <f t="shared" si="8"/>
        <v>0</v>
      </c>
      <c r="AA56" s="42">
        <f t="shared" si="8"/>
        <v>0</v>
      </c>
      <c r="AB56" s="42">
        <f t="shared" si="8"/>
        <v>0</v>
      </c>
      <c r="AC56" s="42"/>
      <c r="AD56" s="42"/>
    </row>
    <row r="57" spans="1:30" x14ac:dyDescent="0.3">
      <c r="B57" t="s">
        <v>131</v>
      </c>
      <c r="C57" s="38"/>
      <c r="D57" s="42">
        <f>Summary!M11+Summary!W16+Summary!AB16+Summary!AG16+Summary!AL16+Summary!AQ16+Summary!AV16+Summary!BA16+Summary!BF16</f>
        <v>0</v>
      </c>
      <c r="E57" s="42">
        <f t="shared" ref="E57:W57" si="9">D57*(1+$C$16)*(E$42&lt;=$C$19)</f>
        <v>0</v>
      </c>
      <c r="F57" s="42">
        <f t="shared" si="9"/>
        <v>0</v>
      </c>
      <c r="G57" s="42">
        <f t="shared" si="9"/>
        <v>0</v>
      </c>
      <c r="H57" s="42">
        <f t="shared" si="9"/>
        <v>0</v>
      </c>
      <c r="I57" s="42">
        <f t="shared" si="9"/>
        <v>0</v>
      </c>
      <c r="J57" s="42">
        <f t="shared" si="9"/>
        <v>0</v>
      </c>
      <c r="K57" s="42">
        <f t="shared" si="9"/>
        <v>0</v>
      </c>
      <c r="L57" s="42">
        <f t="shared" si="9"/>
        <v>0</v>
      </c>
      <c r="M57" s="42">
        <f t="shared" si="9"/>
        <v>0</v>
      </c>
      <c r="N57" s="42">
        <f t="shared" si="9"/>
        <v>0</v>
      </c>
      <c r="O57" s="42">
        <f t="shared" si="9"/>
        <v>0</v>
      </c>
      <c r="P57" s="42">
        <f t="shared" si="9"/>
        <v>0</v>
      </c>
      <c r="Q57" s="42">
        <f t="shared" si="9"/>
        <v>0</v>
      </c>
      <c r="R57" s="42">
        <f t="shared" si="9"/>
        <v>0</v>
      </c>
      <c r="S57" s="42">
        <f t="shared" si="9"/>
        <v>0</v>
      </c>
      <c r="T57" s="42">
        <f t="shared" si="9"/>
        <v>0</v>
      </c>
      <c r="U57" s="42">
        <f t="shared" si="9"/>
        <v>0</v>
      </c>
      <c r="V57" s="42">
        <f t="shared" si="9"/>
        <v>0</v>
      </c>
      <c r="W57" s="42">
        <f t="shared" si="9"/>
        <v>0</v>
      </c>
      <c r="X57" s="42"/>
      <c r="Y57" s="42"/>
      <c r="Z57" s="42"/>
      <c r="AA57" s="42"/>
      <c r="AB57" s="42"/>
      <c r="AC57" s="42"/>
      <c r="AD57" s="42"/>
    </row>
    <row r="58" spans="1:30" x14ac:dyDescent="0.3">
      <c r="B58" t="s">
        <v>132</v>
      </c>
      <c r="C58" s="42"/>
      <c r="D58" s="42">
        <f t="shared" ref="D58:AB58" si="10">$C$7*$H$22*(1+$C$16)^(D42-1)*(D42&lt;=$C$19)+($D$7*$H$22*(1+$C$16)^(D42-1)*(D42&lt;=$C$19))</f>
        <v>480</v>
      </c>
      <c r="E58" s="42">
        <f t="shared" si="10"/>
        <v>491.99999999999994</v>
      </c>
      <c r="F58" s="42">
        <f t="shared" si="10"/>
        <v>504.29999999999995</v>
      </c>
      <c r="G58" s="42">
        <f t="shared" si="10"/>
        <v>516.90749999999991</v>
      </c>
      <c r="H58" s="42">
        <f t="shared" si="10"/>
        <v>529.83018749999985</v>
      </c>
      <c r="I58" s="42">
        <f t="shared" si="10"/>
        <v>543.07594218749978</v>
      </c>
      <c r="J58" s="42">
        <f t="shared" si="10"/>
        <v>556.65284074218732</v>
      </c>
      <c r="K58" s="42">
        <f t="shared" si="10"/>
        <v>570.56916176074196</v>
      </c>
      <c r="L58" s="42">
        <f t="shared" si="10"/>
        <v>584.83339080476048</v>
      </c>
      <c r="M58" s="42">
        <f t="shared" si="10"/>
        <v>599.45422557487939</v>
      </c>
      <c r="N58" s="42">
        <f t="shared" si="10"/>
        <v>614.44058121425144</v>
      </c>
      <c r="O58" s="42">
        <f t="shared" si="10"/>
        <v>629.80159574460765</v>
      </c>
      <c r="P58" s="42">
        <f t="shared" si="10"/>
        <v>645.54663563822282</v>
      </c>
      <c r="Q58" s="42">
        <f t="shared" si="10"/>
        <v>661.68530152917833</v>
      </c>
      <c r="R58" s="42">
        <f t="shared" si="10"/>
        <v>678.22743406740778</v>
      </c>
      <c r="S58" s="42">
        <f t="shared" si="10"/>
        <v>695.18311991909309</v>
      </c>
      <c r="T58" s="42">
        <f t="shared" si="10"/>
        <v>712.5626979170703</v>
      </c>
      <c r="U58" s="42">
        <f t="shared" si="10"/>
        <v>730.37676536499691</v>
      </c>
      <c r="V58" s="42">
        <f t="shared" si="10"/>
        <v>748.6361844991219</v>
      </c>
      <c r="W58" s="42">
        <f t="shared" si="10"/>
        <v>767.35208911159998</v>
      </c>
      <c r="X58" s="42">
        <f t="shared" si="10"/>
        <v>0</v>
      </c>
      <c r="Y58" s="42">
        <f t="shared" si="10"/>
        <v>0</v>
      </c>
      <c r="Z58" s="42">
        <f t="shared" si="10"/>
        <v>0</v>
      </c>
      <c r="AA58" s="42">
        <f t="shared" si="10"/>
        <v>0</v>
      </c>
      <c r="AB58" s="42">
        <f t="shared" si="10"/>
        <v>0</v>
      </c>
      <c r="AC58" s="42"/>
      <c r="AD58" s="42"/>
    </row>
    <row r="59" spans="1:30" x14ac:dyDescent="0.3">
      <c r="B59" t="s">
        <v>133</v>
      </c>
      <c r="C59" s="42"/>
      <c r="D59" s="42">
        <f t="shared" ref="D59:AB59" si="11">((($C$7+$D$7)*($H$24))+($H$25*D44)+$H$26)*((1+$C$16)^(D42-1))*(D42&lt;=$C$19)</f>
        <v>58.320000000000007</v>
      </c>
      <c r="E59" s="42">
        <f t="shared" si="11"/>
        <v>59.778000000000006</v>
      </c>
      <c r="F59" s="42">
        <f t="shared" si="11"/>
        <v>61.272450000000006</v>
      </c>
      <c r="G59" s="42">
        <f t="shared" si="11"/>
        <v>62.804261250000003</v>
      </c>
      <c r="H59" s="42">
        <f t="shared" si="11"/>
        <v>64.374367781250001</v>
      </c>
      <c r="I59" s="42">
        <f t="shared" si="11"/>
        <v>65.983726975781238</v>
      </c>
      <c r="J59" s="42">
        <f t="shared" si="11"/>
        <v>67.633320150175763</v>
      </c>
      <c r="K59" s="42">
        <f t="shared" si="11"/>
        <v>69.324153153930155</v>
      </c>
      <c r="L59" s="42">
        <f t="shared" si="11"/>
        <v>71.057256982778412</v>
      </c>
      <c r="M59" s="42">
        <f t="shared" si="11"/>
        <v>72.833688407347864</v>
      </c>
      <c r="N59" s="42">
        <f t="shared" si="11"/>
        <v>74.654530617531549</v>
      </c>
      <c r="O59" s="42">
        <f t="shared" si="11"/>
        <v>76.520893882969844</v>
      </c>
      <c r="P59" s="42">
        <f t="shared" si="11"/>
        <v>78.433916230044076</v>
      </c>
      <c r="Q59" s="42">
        <f t="shared" si="11"/>
        <v>80.394764135795185</v>
      </c>
      <c r="R59" s="42">
        <f t="shared" si="11"/>
        <v>82.404633239190048</v>
      </c>
      <c r="S59" s="42">
        <f t="shared" si="11"/>
        <v>84.464749070169816</v>
      </c>
      <c r="T59" s="42">
        <f t="shared" si="11"/>
        <v>86.576367796924046</v>
      </c>
      <c r="U59" s="42">
        <f t="shared" si="11"/>
        <v>88.740776991847142</v>
      </c>
      <c r="V59" s="42">
        <f t="shared" si="11"/>
        <v>90.959296416643326</v>
      </c>
      <c r="W59" s="42">
        <f t="shared" si="11"/>
        <v>93.233278827059408</v>
      </c>
      <c r="X59" s="42">
        <f t="shared" si="11"/>
        <v>0</v>
      </c>
      <c r="Y59" s="42">
        <f t="shared" si="11"/>
        <v>0</v>
      </c>
      <c r="Z59" s="42">
        <f t="shared" si="11"/>
        <v>0</v>
      </c>
      <c r="AA59" s="42">
        <f t="shared" si="11"/>
        <v>0</v>
      </c>
      <c r="AB59" s="42">
        <f t="shared" si="11"/>
        <v>0</v>
      </c>
      <c r="AC59" s="42"/>
      <c r="AD59" s="42"/>
    </row>
    <row r="60" spans="1:30" x14ac:dyDescent="0.3">
      <c r="B60" t="s">
        <v>134</v>
      </c>
      <c r="C60" s="42"/>
      <c r="D60" s="42">
        <f>Summary!O12</f>
        <v>480</v>
      </c>
      <c r="E60" s="42">
        <f>D60*(E$42&lt;=Summary!$O$13)</f>
        <v>480</v>
      </c>
      <c r="F60" s="42">
        <f>E60*(F$42&lt;=Summary!$O$13)</f>
        <v>480</v>
      </c>
      <c r="G60" s="42">
        <f>F60*(G$42&lt;=Summary!$O$13)</f>
        <v>480</v>
      </c>
      <c r="H60" s="42">
        <f>G60*(H$42&lt;=Summary!$O$13)</f>
        <v>480</v>
      </c>
      <c r="I60" s="42">
        <f>H60*(I$42&lt;=Summary!$O$13)</f>
        <v>480</v>
      </c>
      <c r="J60" s="42">
        <f>I60*(J$42&lt;=Summary!$O$13)</f>
        <v>480</v>
      </c>
      <c r="K60" s="42">
        <f>J60*(K$42&lt;=Summary!$O$13)</f>
        <v>480</v>
      </c>
      <c r="L60" s="42">
        <f>K60*(L$42&lt;=Summary!$O$13)</f>
        <v>480</v>
      </c>
      <c r="M60" s="42">
        <f>L60*(M$42&lt;=Summary!$O$13)</f>
        <v>480</v>
      </c>
      <c r="N60" s="42">
        <f>M60*(N$42&lt;=Summary!$O$13)</f>
        <v>0</v>
      </c>
      <c r="O60" s="42">
        <f>N60*(O$42&lt;=Summary!$O$13)</f>
        <v>0</v>
      </c>
      <c r="P60" s="42">
        <f>O60*(P$42&lt;=Summary!$O$13)</f>
        <v>0</v>
      </c>
      <c r="Q60" s="42">
        <f>P60*(Q$42&lt;=Summary!$O$13)</f>
        <v>0</v>
      </c>
      <c r="R60" s="42">
        <f>Q60*(R$42&lt;=Summary!$O$13)</f>
        <v>0</v>
      </c>
      <c r="S60" s="42">
        <f>R60*(S$42&lt;=Summary!$O$13)</f>
        <v>0</v>
      </c>
      <c r="T60" s="42">
        <f>S60*(T$42&lt;=Summary!$O$13)</f>
        <v>0</v>
      </c>
      <c r="U60" s="42">
        <f>T60*(U$42&lt;=Summary!$O$13)</f>
        <v>0</v>
      </c>
      <c r="V60" s="42">
        <f>U60*(V$42&lt;=Summary!$O$13)</f>
        <v>0</v>
      </c>
      <c r="W60" s="42">
        <f>V60*(W$42&lt;=Summary!$O$13)</f>
        <v>0</v>
      </c>
      <c r="X60" s="42">
        <f>W60*(X$42&lt;=Summary!$O$13)</f>
        <v>0</v>
      </c>
      <c r="Y60" s="42">
        <f>X60*(Y$42&lt;=Summary!$O$13)</f>
        <v>0</v>
      </c>
      <c r="Z60" s="42">
        <f>Y60*(Z$42&lt;=Summary!$O$13)</f>
        <v>0</v>
      </c>
      <c r="AA60" s="42">
        <f>Z60*(AA$42&lt;=Summary!$O$13)</f>
        <v>0</v>
      </c>
      <c r="AB60" s="42">
        <f>AA60*(AB$42&lt;=Summary!$O$13)</f>
        <v>0</v>
      </c>
      <c r="AC60" s="42"/>
      <c r="AD60" s="42"/>
    </row>
    <row r="61" spans="1:30" x14ac:dyDescent="0.3">
      <c r="B61" t="s">
        <v>135</v>
      </c>
      <c r="C61" s="42"/>
      <c r="D61" s="42">
        <f t="shared" ref="D61:AB61" si="12">(($C$7+$D$7)*$H$23)*((1+$C$16)^(D42-1))*(D42&lt;=$C$19)</f>
        <v>180</v>
      </c>
      <c r="E61" s="42">
        <f t="shared" si="12"/>
        <v>184.49999999999997</v>
      </c>
      <c r="F61" s="42">
        <f t="shared" si="12"/>
        <v>189.11249999999998</v>
      </c>
      <c r="G61" s="42">
        <f t="shared" si="12"/>
        <v>193.84031249999998</v>
      </c>
      <c r="H61" s="42">
        <f t="shared" si="12"/>
        <v>198.68632031249996</v>
      </c>
      <c r="I61" s="42">
        <f t="shared" si="12"/>
        <v>203.65347832031244</v>
      </c>
      <c r="J61" s="42">
        <f t="shared" si="12"/>
        <v>208.74481527832023</v>
      </c>
      <c r="K61" s="42">
        <f t="shared" si="12"/>
        <v>213.96343566027824</v>
      </c>
      <c r="L61" s="42">
        <f t="shared" si="12"/>
        <v>219.31252155178518</v>
      </c>
      <c r="M61" s="42">
        <f t="shared" si="12"/>
        <v>224.79533459057978</v>
      </c>
      <c r="N61" s="42">
        <f t="shared" si="12"/>
        <v>230.41521795534427</v>
      </c>
      <c r="O61" s="42">
        <f t="shared" si="12"/>
        <v>236.17559840422788</v>
      </c>
      <c r="P61" s="42">
        <f t="shared" si="12"/>
        <v>242.07998836433356</v>
      </c>
      <c r="Q61" s="42">
        <f t="shared" si="12"/>
        <v>248.13198807344187</v>
      </c>
      <c r="R61" s="42">
        <f t="shared" si="12"/>
        <v>254.33528777527789</v>
      </c>
      <c r="S61" s="42">
        <f t="shared" si="12"/>
        <v>260.69366996965988</v>
      </c>
      <c r="T61" s="42">
        <f t="shared" si="12"/>
        <v>267.21101171890137</v>
      </c>
      <c r="U61" s="42">
        <f t="shared" si="12"/>
        <v>273.89128701187389</v>
      </c>
      <c r="V61" s="42">
        <f t="shared" si="12"/>
        <v>280.7385691871707</v>
      </c>
      <c r="W61" s="42">
        <f t="shared" si="12"/>
        <v>287.75703341684999</v>
      </c>
      <c r="X61" s="42">
        <f t="shared" si="12"/>
        <v>0</v>
      </c>
      <c r="Y61" s="42">
        <f t="shared" si="12"/>
        <v>0</v>
      </c>
      <c r="Z61" s="42">
        <f t="shared" si="12"/>
        <v>0</v>
      </c>
      <c r="AA61" s="42">
        <f t="shared" si="12"/>
        <v>0</v>
      </c>
      <c r="AB61" s="42">
        <f t="shared" si="12"/>
        <v>0</v>
      </c>
      <c r="AC61" s="42"/>
      <c r="AD61" s="42"/>
    </row>
    <row r="62" spans="1:30" x14ac:dyDescent="0.3">
      <c r="B62" t="s">
        <v>32</v>
      </c>
      <c r="C62" s="42"/>
      <c r="D62" s="42">
        <f>Summary!Q16*((1+Summary!$R$16)^(D42-1))*(D42&lt;=$C$19)</f>
        <v>0</v>
      </c>
      <c r="E62" s="42">
        <f>D62*(1+Summary!$R$16)*(E$42&lt;=$C$19)</f>
        <v>0</v>
      </c>
      <c r="F62" s="42">
        <f>E62*(1+Summary!$R$16)*(F$42&lt;=$C$19)</f>
        <v>0</v>
      </c>
      <c r="G62" s="42">
        <f>F62*(1+Summary!$R$16)*(G$42&lt;=$C$19)</f>
        <v>0</v>
      </c>
      <c r="H62" s="42">
        <f>G62*(1+Summary!$R$16)*(H$42&lt;=$C$19)</f>
        <v>0</v>
      </c>
      <c r="I62" s="42">
        <f>H62*(1+Summary!$R$16)*(I$42&lt;=$C$19)</f>
        <v>0</v>
      </c>
      <c r="J62" s="42">
        <f>I62*(1+Summary!$R$16)*(J$42&lt;=$C$19)</f>
        <v>0</v>
      </c>
      <c r="K62" s="42">
        <f>J62*(1+Summary!$R$16)*(K$42&lt;=$C$19)</f>
        <v>0</v>
      </c>
      <c r="L62" s="42">
        <f>K62*(1+Summary!$R$16)*(L$42&lt;=$C$19)</f>
        <v>0</v>
      </c>
      <c r="M62" s="42">
        <f>L62*(1+Summary!$R$16)*(M$42&lt;=$C$19)</f>
        <v>0</v>
      </c>
      <c r="N62" s="42">
        <f>M62*(1+Summary!$R$16)*(N$42&lt;=$C$19)</f>
        <v>0</v>
      </c>
      <c r="O62" s="42">
        <f>N62*(1+Summary!$R$16)*(O$42&lt;=$C$19)</f>
        <v>0</v>
      </c>
      <c r="P62" s="42">
        <f>O62*(1+Summary!$R$16)*(P$42&lt;=$C$19)</f>
        <v>0</v>
      </c>
      <c r="Q62" s="42">
        <f>P62*(1+Summary!$R$16)*(Q$42&lt;=$C$19)</f>
        <v>0</v>
      </c>
      <c r="R62" s="42">
        <f>Q62*(1+Summary!$R$16)*(R$42&lt;=$C$19)</f>
        <v>0</v>
      </c>
      <c r="S62" s="42">
        <f>R62*(1+Summary!$R$16)*(S$42&lt;=$C$19)</f>
        <v>0</v>
      </c>
      <c r="T62" s="42">
        <f>S62*(1+Summary!$R$16)*(T$42&lt;=$C$19)</f>
        <v>0</v>
      </c>
      <c r="U62" s="42">
        <f>T62*(1+Summary!$R$16)*(U$42&lt;=$C$19)</f>
        <v>0</v>
      </c>
      <c r="V62" s="42">
        <f>U62*(1+Summary!$R$16)*(V$42&lt;=$C$19)</f>
        <v>0</v>
      </c>
      <c r="W62" s="42">
        <f>V62*(1+Summary!$R$16)*(W$42&lt;=$C$19)</f>
        <v>0</v>
      </c>
      <c r="X62" s="42">
        <f>W62*(1+Summary!$R$16)*(X$42&lt;=$C$19)</f>
        <v>0</v>
      </c>
      <c r="Y62" s="42">
        <f>X62*(1+Summary!$R$16)*(Y$42&lt;=$C$19)</f>
        <v>0</v>
      </c>
      <c r="Z62" s="42">
        <f>Y62*(1+Summary!$R$16)*(Z$42&lt;=$C$19)</f>
        <v>0</v>
      </c>
      <c r="AA62" s="42">
        <f>Z62*(1+Summary!$R$16)*(AA$42&lt;=$C$19)</f>
        <v>0</v>
      </c>
      <c r="AB62" s="42">
        <f>AA62*(1+Summary!$R$16)*(AB$42&lt;=$C$19)</f>
        <v>0</v>
      </c>
      <c r="AC62" s="42"/>
      <c r="AD62" s="42"/>
    </row>
    <row r="63" spans="1:30" x14ac:dyDescent="0.3">
      <c r="B63" t="s">
        <v>33</v>
      </c>
      <c r="C63" s="42"/>
      <c r="D63" s="42">
        <f>Summary!Q17*((1+Summary!$R$17)^(D42-1))*(D42&lt;=$C$19)</f>
        <v>0</v>
      </c>
      <c r="E63" s="42">
        <f>D63*(1+Summary!$R$17)*(E$42&lt;=$C$19)</f>
        <v>0</v>
      </c>
      <c r="F63" s="42">
        <f>E63*(1+Summary!$R$17)*(F$42&lt;=$C$19)</f>
        <v>0</v>
      </c>
      <c r="G63" s="42">
        <f>F63*(1+Summary!$R$17)*(G$42&lt;=$C$19)</f>
        <v>0</v>
      </c>
      <c r="H63" s="42">
        <f>G63*(1+Summary!$R$17)*(H$42&lt;=$C$19)</f>
        <v>0</v>
      </c>
      <c r="I63" s="42">
        <f>H63*(1+Summary!$R$17)*(I$42&lt;=$C$19)</f>
        <v>0</v>
      </c>
      <c r="J63" s="42">
        <f>I63*(1+Summary!$R$17)*(J$42&lt;=$C$19)</f>
        <v>0</v>
      </c>
      <c r="K63" s="42">
        <f>J63*(1+Summary!$R$17)*(K$42&lt;=$C$19)</f>
        <v>0</v>
      </c>
      <c r="L63" s="42">
        <f>K63*(1+Summary!$R$17)*(L$42&lt;=$C$19)</f>
        <v>0</v>
      </c>
      <c r="M63" s="42">
        <f>L63*(1+Summary!$R$17)*(M$42&lt;=$C$19)</f>
        <v>0</v>
      </c>
      <c r="N63" s="42">
        <f>M63*(1+Summary!$R$17)*(N$42&lt;=$C$19)</f>
        <v>0</v>
      </c>
      <c r="O63" s="42">
        <f>N63*(1+Summary!$R$17)*(O$42&lt;=$C$19)</f>
        <v>0</v>
      </c>
      <c r="P63" s="42">
        <f>O63*(1+Summary!$R$17)*(P$42&lt;=$C$19)</f>
        <v>0</v>
      </c>
      <c r="Q63" s="42">
        <f>P63*(1+Summary!$R$17)*(Q$42&lt;=$C$19)</f>
        <v>0</v>
      </c>
      <c r="R63" s="42">
        <f>Q63*(1+Summary!$R$17)*(R$42&lt;=$C$19)</f>
        <v>0</v>
      </c>
      <c r="S63" s="42">
        <f>R63*(1+Summary!$R$17)*(S$42&lt;=$C$19)</f>
        <v>0</v>
      </c>
      <c r="T63" s="42">
        <f>S63*(1+Summary!$R$17)*(T$42&lt;=$C$19)</f>
        <v>0</v>
      </c>
      <c r="U63" s="42">
        <f>T63*(1+Summary!$R$17)*(U$42&lt;=$C$19)</f>
        <v>0</v>
      </c>
      <c r="V63" s="42">
        <f>U63*(1+Summary!$R$17)*(V$42&lt;=$C$19)</f>
        <v>0</v>
      </c>
      <c r="W63" s="42">
        <f>V63*(1+Summary!$R$17)*(W$42&lt;=$C$19)</f>
        <v>0</v>
      </c>
      <c r="X63" s="42">
        <f>W63*(1+Summary!$R$17)*(X$42&lt;=$C$19)</f>
        <v>0</v>
      </c>
      <c r="Y63" s="42">
        <f>X63*(1+Summary!$R$17)*(Y$42&lt;=$C$19)</f>
        <v>0</v>
      </c>
      <c r="Z63" s="42">
        <f>Y63*(1+Summary!$R$17)*(Z$42&lt;=$C$19)</f>
        <v>0</v>
      </c>
      <c r="AA63" s="42">
        <f>Z63*(1+Summary!$R$17)*(AA$42&lt;=$C$19)</f>
        <v>0</v>
      </c>
      <c r="AB63" s="42">
        <f>AA63*(1+Summary!$R$17)*(AB$42&lt;=$C$19)</f>
        <v>0</v>
      </c>
      <c r="AC63" s="42"/>
      <c r="AD63" s="42"/>
    </row>
    <row r="64" spans="1:30" x14ac:dyDescent="0.3">
      <c r="B64" t="s">
        <v>211</v>
      </c>
      <c r="C64" s="42"/>
      <c r="D64" s="42">
        <f>Summary!Q18*((1+Summary!$R$18)^(D42-1))*(D42&lt;=$C$19)</f>
        <v>0</v>
      </c>
      <c r="E64" s="42">
        <f>D64*(1+Summary!$R$18)*(E$42&lt;=$C$19)</f>
        <v>0</v>
      </c>
      <c r="F64" s="42">
        <f>E64*(1+Summary!$R$18)*(F$42&lt;=$C$19)</f>
        <v>0</v>
      </c>
      <c r="G64" s="42">
        <f>F64*(1+Summary!$R$18)*(G$42&lt;=$C$19)</f>
        <v>0</v>
      </c>
      <c r="H64" s="42">
        <f>G64*(1+Summary!$R$18)*(H$42&lt;=$C$19)</f>
        <v>0</v>
      </c>
      <c r="I64" s="42">
        <f>H64*(1+Summary!$R$18)*(I$42&lt;=$C$19)</f>
        <v>0</v>
      </c>
      <c r="J64" s="42">
        <f>I64*(1+Summary!$R$18)*(J$42&lt;=$C$19)</f>
        <v>0</v>
      </c>
      <c r="K64" s="42">
        <f>J64*(1+Summary!$R$18)*(K$42&lt;=$C$19)</f>
        <v>0</v>
      </c>
      <c r="L64" s="42">
        <f>K64*(1+Summary!$R$18)*(L$42&lt;=$C$19)</f>
        <v>0</v>
      </c>
      <c r="M64" s="42">
        <f>L64*(1+Summary!$R$18)*(M$42&lt;=$C$19)</f>
        <v>0</v>
      </c>
      <c r="N64" s="42">
        <f>M64*(1+Summary!$R$18)*(N$42&lt;=$C$19)</f>
        <v>0</v>
      </c>
      <c r="O64" s="42">
        <f>N64*(1+Summary!$R$18)*(O$42&lt;=$C$19)</f>
        <v>0</v>
      </c>
      <c r="P64" s="42">
        <f>O64*(1+Summary!$R$18)*(P$42&lt;=$C$19)</f>
        <v>0</v>
      </c>
      <c r="Q64" s="42">
        <f>P64*(1+Summary!$R$18)*(Q$42&lt;=$C$19)</f>
        <v>0</v>
      </c>
      <c r="R64" s="42">
        <f>Q64*(1+Summary!$R$18)*(R$42&lt;=$C$19)</f>
        <v>0</v>
      </c>
      <c r="S64" s="42">
        <f>R64*(1+Summary!$R$18)*(S$42&lt;=$C$19)</f>
        <v>0</v>
      </c>
      <c r="T64" s="42">
        <f>S64*(1+Summary!$R$18)*(T$42&lt;=$C$19)</f>
        <v>0</v>
      </c>
      <c r="U64" s="42">
        <f>T64*(1+Summary!$R$18)*(U$42&lt;=$C$19)</f>
        <v>0</v>
      </c>
      <c r="V64" s="42">
        <f>U64*(1+Summary!$R$18)*(V$42&lt;=$C$19)</f>
        <v>0</v>
      </c>
      <c r="W64" s="42">
        <f>V64*(1+Summary!$R$18)*(W$42&lt;=$C$19)</f>
        <v>0</v>
      </c>
      <c r="X64" s="42">
        <f>W64*(1+Summary!$R$18)*(X$42&lt;=$C$19)</f>
        <v>0</v>
      </c>
      <c r="Y64" s="42">
        <f>X64*(1+Summary!$R$18)*(Y$42&lt;=$C$19)</f>
        <v>0</v>
      </c>
      <c r="Z64" s="42">
        <f>Y64*(1+Summary!$R$18)*(Z$42&lt;=$C$19)</f>
        <v>0</v>
      </c>
      <c r="AA64" s="42">
        <f>Z64*(1+Summary!$R$18)*(AA$42&lt;=$C$19)</f>
        <v>0</v>
      </c>
      <c r="AB64" s="42">
        <f>AA64*(1+Summary!$R$18)*(AB$42&lt;=$C$19)</f>
        <v>0</v>
      </c>
      <c r="AC64" s="42"/>
      <c r="AD64" s="42"/>
    </row>
    <row r="65" spans="1:30" x14ac:dyDescent="0.3">
      <c r="B65" t="s">
        <v>137</v>
      </c>
      <c r="C65" s="42"/>
      <c r="D65" s="42">
        <f>Summary!$Q$27*((1+Summary!$R$18)^(D42-1))*(D42&lt;=$C$19)</f>
        <v>0</v>
      </c>
      <c r="E65" s="42">
        <f>D65*(1+Summary!$R$27)*((1+Summary!$R$18)^(E42-1))*(E42&lt;=$C$19)</f>
        <v>0</v>
      </c>
      <c r="F65" s="42">
        <f>E65*(1+Summary!$R$27)*((1+Summary!$R$18)^(F42-1))*(F42&lt;=$C$19)</f>
        <v>0</v>
      </c>
      <c r="G65" s="42">
        <f>F65*(1+Summary!$R$27)*((1+Summary!$R$18)^(G42-1))*(G42&lt;=$C$19)</f>
        <v>0</v>
      </c>
      <c r="H65" s="42">
        <f>G65*(1+Summary!$R$27)*((1+Summary!$R$18)^(H42-1))*(H42&lt;=$C$19)</f>
        <v>0</v>
      </c>
      <c r="I65" s="42">
        <f>H65*(1+Summary!$R$27)*((1+Summary!$R$18)^(I42-1))*(I42&lt;=$C$19)</f>
        <v>0</v>
      </c>
      <c r="J65" s="42">
        <f>I65*(1+Summary!$R$27)*((1+Summary!$R$18)^(J42-1))*(J42&lt;=$C$19)</f>
        <v>0</v>
      </c>
      <c r="K65" s="42">
        <f>J65*(1+Summary!$R$27)*((1+Summary!$R$18)^(K42-1))*(K42&lt;=$C$19)</f>
        <v>0</v>
      </c>
      <c r="L65" s="42">
        <f>K65*(1+Summary!$R$27)*((1+Summary!$R$18)^(L42-1))*(L42&lt;=$C$19)</f>
        <v>0</v>
      </c>
      <c r="M65" s="42">
        <f>L65*(1+Summary!$R$27)*((1+Summary!$R$18)^(M42-1))*(M42&lt;=$C$19)</f>
        <v>0</v>
      </c>
      <c r="N65" s="42">
        <f>M65*(1+Summary!$R$27)*((1+Summary!$R$18)^(N42-1))*(N42&lt;=$C$19)</f>
        <v>0</v>
      </c>
      <c r="O65" s="42">
        <f>N65*(1+Summary!$R$27)*((1+Summary!$R$18)^(O42-1))*(O42&lt;=$C$19)</f>
        <v>0</v>
      </c>
      <c r="P65" s="42">
        <f>O65*(1+Summary!$R$27)*((1+Summary!$R$18)^(P42-1))*(P42&lt;=$C$19)</f>
        <v>0</v>
      </c>
      <c r="Q65" s="42">
        <f>P65*(1+Summary!$R$27)*((1+Summary!$R$18)^(Q42-1))*(Q42&lt;=$C$19)</f>
        <v>0</v>
      </c>
      <c r="R65" s="42">
        <f>Q65*(1+Summary!$R$27)*((1+Summary!$R$18)^(R42-1))*(R42&lt;=$C$19)</f>
        <v>0</v>
      </c>
      <c r="S65" s="42">
        <f>R65*(1+Summary!$R$27)*((1+Summary!$R$18)^(S42-1))*(S42&lt;=$C$19)</f>
        <v>0</v>
      </c>
      <c r="T65" s="42">
        <f>S65*(1+Summary!$R$27)*((1+Summary!$R$18)^(T42-1))*(T42&lt;=$C$19)</f>
        <v>0</v>
      </c>
      <c r="U65" s="42">
        <f>T65*(1+Summary!$R$27)*((1+Summary!$R$18)^(U42-1))*(U42&lt;=$C$19)</f>
        <v>0</v>
      </c>
      <c r="V65" s="42">
        <f>U65*(1+Summary!$R$27)*((1+Summary!$R$18)^(V42-1))*(V42&lt;=$C$19)</f>
        <v>0</v>
      </c>
      <c r="W65" s="42">
        <f>V65*(1+Summary!$R$27)*((1+Summary!$R$18)^(W42-1))*(W42&lt;=$C$19)</f>
        <v>0</v>
      </c>
      <c r="X65" s="42">
        <f>W65*(1+Summary!$R$27)*((1+Summary!$R$18)^(X42-1))*(X42&lt;=$C$19)</f>
        <v>0</v>
      </c>
      <c r="Y65" s="42">
        <f>X65*(1+Summary!$R$27)*((1+Summary!$R$18)^(Y42-1))*(Y42&lt;=$C$19)</f>
        <v>0</v>
      </c>
      <c r="Z65" s="42">
        <f>Y65*(1+Summary!$R$27)*((1+Summary!$R$18)^(Z42-1))*(Z42&lt;=$C$19)</f>
        <v>0</v>
      </c>
      <c r="AA65" s="42">
        <f>Z65*(1+Summary!$R$27)*((1+Summary!$R$18)^(AA42-1))*(AA42&lt;=$C$19)</f>
        <v>0</v>
      </c>
      <c r="AB65" s="42">
        <f>AA65*(1+Summary!$R$27)*((1+Summary!$R$18)^(AB42-1))*(AB42&lt;=$C$19)</f>
        <v>0</v>
      </c>
      <c r="AC65" s="42"/>
      <c r="AD65" s="42"/>
    </row>
    <row r="66" spans="1:30" x14ac:dyDescent="0.3">
      <c r="A66" s="3"/>
      <c r="B66" s="50" t="s">
        <v>139</v>
      </c>
      <c r="C66" s="51"/>
      <c r="D66" s="51">
        <f t="shared" ref="D66:AB66" si="13">D52-SUM(D55:D65)</f>
        <v>4778.8592911886371</v>
      </c>
      <c r="E66" s="51">
        <f t="shared" si="13"/>
        <v>4877.6477296010107</v>
      </c>
      <c r="F66" s="51">
        <f t="shared" si="13"/>
        <v>4978.25630347683</v>
      </c>
      <c r="G66" s="51">
        <f t="shared" si="13"/>
        <v>5403.7847933896819</v>
      </c>
      <c r="H66" s="51">
        <f t="shared" si="13"/>
        <v>5516.20865533502</v>
      </c>
      <c r="I66" s="51">
        <f t="shared" si="13"/>
        <v>5630.7540325159389</v>
      </c>
      <c r="J66" s="51">
        <f t="shared" si="13"/>
        <v>5747.4602673222334</v>
      </c>
      <c r="K66" s="51">
        <f t="shared" si="13"/>
        <v>5866.3674135055553</v>
      </c>
      <c r="L66" s="51">
        <f t="shared" si="13"/>
        <v>5987.5162485535238</v>
      </c>
      <c r="M66" s="51">
        <f t="shared" si="13"/>
        <v>6110.9482862656878</v>
      </c>
      <c r="N66" s="51">
        <f t="shared" si="13"/>
        <v>6716.7057895341841</v>
      </c>
      <c r="O66" s="51">
        <f t="shared" si="13"/>
        <v>6844.8317833321171</v>
      </c>
      <c r="P66" s="51">
        <f t="shared" si="13"/>
        <v>6975.3700679125559</v>
      </c>
      <c r="Q66" s="51">
        <f t="shared" si="13"/>
        <v>7108.3652322211974</v>
      </c>
      <c r="R66" s="51">
        <f t="shared" si="13"/>
        <v>7243.8626675256983</v>
      </c>
      <c r="S66" s="51">
        <f t="shared" si="13"/>
        <v>7381.9085812647281</v>
      </c>
      <c r="T66" s="51">
        <f t="shared" si="13"/>
        <v>7522.5500111198689</v>
      </c>
      <c r="U66" s="51">
        <f t="shared" si="13"/>
        <v>7665.8348393134447</v>
      </c>
      <c r="V66" s="51">
        <f t="shared" si="13"/>
        <v>7811.8118071354329</v>
      </c>
      <c r="W66" s="51">
        <f t="shared" si="13"/>
        <v>7960.5305297026489</v>
      </c>
      <c r="X66" s="51">
        <f t="shared" si="13"/>
        <v>0</v>
      </c>
      <c r="Y66" s="51">
        <f t="shared" si="13"/>
        <v>0</v>
      </c>
      <c r="Z66" s="51">
        <f t="shared" si="13"/>
        <v>0</v>
      </c>
      <c r="AA66" s="51">
        <f t="shared" si="13"/>
        <v>0</v>
      </c>
      <c r="AB66" s="51">
        <f t="shared" si="13"/>
        <v>0</v>
      </c>
      <c r="AC66" s="51"/>
      <c r="AD66" s="51"/>
    </row>
    <row r="67" spans="1:30" x14ac:dyDescent="0.3">
      <c r="C67" s="52"/>
      <c r="D67" s="52">
        <v>0</v>
      </c>
      <c r="E67" s="52">
        <f t="shared" ref="E67:AB67" si="14">IF(ISERR(E66/E52),"n/a",E66/E52)</f>
        <v>0.74995440175486661</v>
      </c>
      <c r="F67" s="52">
        <f t="shared" si="14"/>
        <v>0.75050697518595522</v>
      </c>
      <c r="G67" s="52">
        <f t="shared" si="14"/>
        <v>0.79878256928979696</v>
      </c>
      <c r="H67" s="52">
        <f t="shared" si="14"/>
        <v>0.7995106877247613</v>
      </c>
      <c r="I67" s="52">
        <f t="shared" si="14"/>
        <v>0.8002085708746024</v>
      </c>
      <c r="J67" s="52">
        <f t="shared" si="14"/>
        <v>0.80087672732206516</v>
      </c>
      <c r="K67" s="52">
        <f t="shared" si="14"/>
        <v>0.80151565533360514</v>
      </c>
      <c r="L67" s="52">
        <f t="shared" si="14"/>
        <v>0.80212584305839263</v>
      </c>
      <c r="M67" s="52">
        <f t="shared" si="14"/>
        <v>0.80270776872342975</v>
      </c>
      <c r="N67" s="52">
        <f t="shared" si="14"/>
        <v>0.86508391478660573</v>
      </c>
      <c r="O67" s="52">
        <f t="shared" si="14"/>
        <v>0.86440594450915154</v>
      </c>
      <c r="P67" s="52">
        <f t="shared" si="14"/>
        <v>0.86372456734588099</v>
      </c>
      <c r="Q67" s="52">
        <f t="shared" si="14"/>
        <v>0.8630397661767647</v>
      </c>
      <c r="R67" s="52">
        <f t="shared" si="14"/>
        <v>0.86235152379574354</v>
      </c>
      <c r="S67" s="52">
        <f t="shared" si="14"/>
        <v>0.86165982291029486</v>
      </c>
      <c r="T67" s="52">
        <f t="shared" si="14"/>
        <v>0.86096464614099999</v>
      </c>
      <c r="U67" s="52">
        <f t="shared" si="14"/>
        <v>0.86026597602110544</v>
      </c>
      <c r="V67" s="52">
        <f t="shared" si="14"/>
        <v>0.85956379499608604</v>
      </c>
      <c r="W67" s="52">
        <f t="shared" si="14"/>
        <v>0.85885808542320197</v>
      </c>
      <c r="X67" s="52" t="str">
        <f t="shared" si="14"/>
        <v>n/a</v>
      </c>
      <c r="Y67" s="52" t="str">
        <f t="shared" si="14"/>
        <v>n/a</v>
      </c>
      <c r="Z67" s="52" t="str">
        <f t="shared" si="14"/>
        <v>n/a</v>
      </c>
      <c r="AA67" s="52" t="str">
        <f t="shared" si="14"/>
        <v>n/a</v>
      </c>
      <c r="AB67" s="52" t="str">
        <f t="shared" si="14"/>
        <v>n/a</v>
      </c>
      <c r="AC67" s="52"/>
      <c r="AD67" s="52"/>
    </row>
    <row r="68" spans="1:30" x14ac:dyDescent="0.3"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 spans="1:30" x14ac:dyDescent="0.3">
      <c r="B69" t="s">
        <v>140</v>
      </c>
      <c r="C69" s="53"/>
      <c r="D69" s="53">
        <f t="shared" ref="D69:AB69" si="15">(D70+D73+D77)*(D42&lt;=$C$19)</f>
        <v>1526.4</v>
      </c>
      <c r="E69" s="53">
        <f t="shared" si="15"/>
        <v>1526.4</v>
      </c>
      <c r="F69" s="53">
        <f t="shared" si="15"/>
        <v>1526.4</v>
      </c>
      <c r="G69" s="53">
        <f t="shared" si="15"/>
        <v>1526.4</v>
      </c>
      <c r="H69" s="53">
        <f t="shared" si="15"/>
        <v>1526.4</v>
      </c>
      <c r="I69" s="53">
        <f t="shared" si="15"/>
        <v>1526.4</v>
      </c>
      <c r="J69" s="53">
        <f t="shared" si="15"/>
        <v>1526.4</v>
      </c>
      <c r="K69" s="53">
        <f t="shared" si="15"/>
        <v>1526.4</v>
      </c>
      <c r="L69" s="53">
        <f t="shared" si="15"/>
        <v>1526.4</v>
      </c>
      <c r="M69" s="53">
        <f t="shared" si="15"/>
        <v>1526.4</v>
      </c>
      <c r="N69" s="53">
        <f t="shared" si="15"/>
        <v>1526.4</v>
      </c>
      <c r="O69" s="53">
        <f t="shared" si="15"/>
        <v>1526.4</v>
      </c>
      <c r="P69" s="53">
        <f t="shared" si="15"/>
        <v>1526.4</v>
      </c>
      <c r="Q69" s="53">
        <f t="shared" si="15"/>
        <v>1526.4</v>
      </c>
      <c r="R69" s="53">
        <f t="shared" si="15"/>
        <v>1526.4</v>
      </c>
      <c r="S69" s="53">
        <f t="shared" si="15"/>
        <v>1526.4</v>
      </c>
      <c r="T69" s="53">
        <f t="shared" si="15"/>
        <v>1526.4</v>
      </c>
      <c r="U69" s="53">
        <f t="shared" si="15"/>
        <v>1526.4</v>
      </c>
      <c r="V69" s="53">
        <f t="shared" si="15"/>
        <v>1526.4</v>
      </c>
      <c r="W69" s="53">
        <f t="shared" si="15"/>
        <v>1526.4</v>
      </c>
      <c r="X69" s="53">
        <f t="shared" si="15"/>
        <v>0</v>
      </c>
      <c r="Y69" s="53">
        <f t="shared" si="15"/>
        <v>0</v>
      </c>
      <c r="Z69" s="53">
        <f t="shared" si="15"/>
        <v>0</v>
      </c>
      <c r="AA69" s="53">
        <f t="shared" si="15"/>
        <v>0</v>
      </c>
      <c r="AB69" s="53">
        <f t="shared" si="15"/>
        <v>0</v>
      </c>
      <c r="AC69" s="53"/>
      <c r="AD69" s="53"/>
    </row>
    <row r="70" spans="1:30" x14ac:dyDescent="0.3">
      <c r="A70" s="54"/>
      <c r="B70" s="54" t="s">
        <v>141</v>
      </c>
      <c r="C70" s="55"/>
      <c r="D70" s="55">
        <f t="shared" ref="D70:AB70" si="16">MIN(D71,$D$71/$H$28)</f>
        <v>1526.4</v>
      </c>
      <c r="E70" s="55">
        <f t="shared" si="16"/>
        <v>1526.4</v>
      </c>
      <c r="F70" s="55">
        <f t="shared" si="16"/>
        <v>1526.4</v>
      </c>
      <c r="G70" s="55">
        <f t="shared" si="16"/>
        <v>1526.4</v>
      </c>
      <c r="H70" s="55">
        <f t="shared" si="16"/>
        <v>1526.4</v>
      </c>
      <c r="I70" s="55">
        <f t="shared" si="16"/>
        <v>1526.4</v>
      </c>
      <c r="J70" s="55">
        <f t="shared" si="16"/>
        <v>1526.4</v>
      </c>
      <c r="K70" s="55">
        <f t="shared" si="16"/>
        <v>1526.4</v>
      </c>
      <c r="L70" s="55">
        <f t="shared" si="16"/>
        <v>1526.4</v>
      </c>
      <c r="M70" s="55">
        <f t="shared" si="16"/>
        <v>1526.4</v>
      </c>
      <c r="N70" s="55">
        <f t="shared" si="16"/>
        <v>1526.4</v>
      </c>
      <c r="O70" s="55">
        <f t="shared" si="16"/>
        <v>1526.4</v>
      </c>
      <c r="P70" s="55">
        <f t="shared" si="16"/>
        <v>1526.4</v>
      </c>
      <c r="Q70" s="55">
        <f t="shared" si="16"/>
        <v>1526.4</v>
      </c>
      <c r="R70" s="55">
        <f t="shared" si="16"/>
        <v>1526.4</v>
      </c>
      <c r="S70" s="55">
        <f t="shared" si="16"/>
        <v>1526.4</v>
      </c>
      <c r="T70" s="55">
        <f t="shared" si="16"/>
        <v>1526.4</v>
      </c>
      <c r="U70" s="55">
        <f t="shared" si="16"/>
        <v>1526.4</v>
      </c>
      <c r="V70" s="55">
        <f t="shared" si="16"/>
        <v>1526.4</v>
      </c>
      <c r="W70" s="55">
        <f t="shared" si="16"/>
        <v>1526.4</v>
      </c>
      <c r="X70" s="55">
        <f t="shared" si="16"/>
        <v>1526.4</v>
      </c>
      <c r="Y70" s="55">
        <f t="shared" si="16"/>
        <v>1526.4</v>
      </c>
      <c r="Z70" s="55">
        <f t="shared" si="16"/>
        <v>1526.4</v>
      </c>
      <c r="AA70" s="55">
        <f t="shared" si="16"/>
        <v>1526.4</v>
      </c>
      <c r="AB70" s="55">
        <f t="shared" si="16"/>
        <v>1526.3999999999824</v>
      </c>
      <c r="AC70" s="55"/>
      <c r="AD70" s="55"/>
    </row>
    <row r="71" spans="1:30" x14ac:dyDescent="0.3">
      <c r="A71" s="54"/>
      <c r="B71" s="54" t="s">
        <v>142</v>
      </c>
      <c r="C71" s="56"/>
      <c r="D71" s="56">
        <f>C126*$H$29</f>
        <v>38160</v>
      </c>
      <c r="E71" s="57">
        <f t="shared" ref="E71:AB71" si="17">D72</f>
        <v>36633.599999999999</v>
      </c>
      <c r="F71" s="57">
        <f t="shared" si="17"/>
        <v>35107.199999999997</v>
      </c>
      <c r="G71" s="57">
        <f t="shared" si="17"/>
        <v>33580.799999999996</v>
      </c>
      <c r="H71" s="57">
        <f t="shared" si="17"/>
        <v>32054.399999999994</v>
      </c>
      <c r="I71" s="57">
        <f t="shared" si="17"/>
        <v>30527.999999999993</v>
      </c>
      <c r="J71" s="57">
        <f t="shared" si="17"/>
        <v>29001.599999999991</v>
      </c>
      <c r="K71" s="57">
        <f t="shared" si="17"/>
        <v>27475.19999999999</v>
      </c>
      <c r="L71" s="57">
        <f t="shared" si="17"/>
        <v>25948.799999999988</v>
      </c>
      <c r="M71" s="57">
        <f t="shared" si="17"/>
        <v>24422.399999999987</v>
      </c>
      <c r="N71" s="57">
        <f t="shared" si="17"/>
        <v>22895.999999999985</v>
      </c>
      <c r="O71" s="57">
        <f t="shared" si="17"/>
        <v>21369.599999999984</v>
      </c>
      <c r="P71" s="57">
        <f t="shared" si="17"/>
        <v>19843.199999999983</v>
      </c>
      <c r="Q71" s="57">
        <f t="shared" si="17"/>
        <v>18316.799999999981</v>
      </c>
      <c r="R71" s="57">
        <f t="shared" si="17"/>
        <v>16790.39999999998</v>
      </c>
      <c r="S71" s="57">
        <f t="shared" si="17"/>
        <v>15263.99999999998</v>
      </c>
      <c r="T71" s="57">
        <f t="shared" si="17"/>
        <v>13737.59999999998</v>
      </c>
      <c r="U71" s="57">
        <f t="shared" si="17"/>
        <v>12211.199999999981</v>
      </c>
      <c r="V71" s="57">
        <f t="shared" si="17"/>
        <v>10684.799999999981</v>
      </c>
      <c r="W71" s="57">
        <f t="shared" si="17"/>
        <v>9158.3999999999814</v>
      </c>
      <c r="X71" s="57">
        <f t="shared" si="17"/>
        <v>7631.9999999999818</v>
      </c>
      <c r="Y71" s="57">
        <f t="shared" si="17"/>
        <v>6105.5999999999822</v>
      </c>
      <c r="Z71" s="57">
        <f t="shared" si="17"/>
        <v>4579.1999999999825</v>
      </c>
      <c r="AA71" s="57">
        <f t="shared" si="17"/>
        <v>3052.7999999999824</v>
      </c>
      <c r="AB71" s="57">
        <f t="shared" si="17"/>
        <v>1526.3999999999824</v>
      </c>
      <c r="AC71" s="57"/>
      <c r="AD71" s="57"/>
    </row>
    <row r="72" spans="1:30" x14ac:dyDescent="0.3">
      <c r="A72" s="54"/>
      <c r="B72" s="54" t="s">
        <v>143</v>
      </c>
      <c r="C72" s="57"/>
      <c r="D72" s="57">
        <f t="shared" ref="D72:AB72" si="18">D71-D70</f>
        <v>36633.599999999999</v>
      </c>
      <c r="E72" s="57">
        <f t="shared" si="18"/>
        <v>35107.199999999997</v>
      </c>
      <c r="F72" s="57">
        <f t="shared" si="18"/>
        <v>33580.799999999996</v>
      </c>
      <c r="G72" s="57">
        <f t="shared" si="18"/>
        <v>32054.399999999994</v>
      </c>
      <c r="H72" s="57">
        <f t="shared" si="18"/>
        <v>30527.999999999993</v>
      </c>
      <c r="I72" s="57">
        <f t="shared" si="18"/>
        <v>29001.599999999991</v>
      </c>
      <c r="J72" s="57">
        <f t="shared" si="18"/>
        <v>27475.19999999999</v>
      </c>
      <c r="K72" s="57">
        <f t="shared" si="18"/>
        <v>25948.799999999988</v>
      </c>
      <c r="L72" s="57">
        <f t="shared" si="18"/>
        <v>24422.399999999987</v>
      </c>
      <c r="M72" s="57">
        <f t="shared" si="18"/>
        <v>22895.999999999985</v>
      </c>
      <c r="N72" s="57">
        <f t="shared" si="18"/>
        <v>21369.599999999984</v>
      </c>
      <c r="O72" s="57">
        <f t="shared" si="18"/>
        <v>19843.199999999983</v>
      </c>
      <c r="P72" s="57">
        <f t="shared" si="18"/>
        <v>18316.799999999981</v>
      </c>
      <c r="Q72" s="57">
        <f t="shared" si="18"/>
        <v>16790.39999999998</v>
      </c>
      <c r="R72" s="57">
        <f t="shared" si="18"/>
        <v>15263.99999999998</v>
      </c>
      <c r="S72" s="57">
        <f t="shared" si="18"/>
        <v>13737.59999999998</v>
      </c>
      <c r="T72" s="57">
        <f t="shared" si="18"/>
        <v>12211.199999999981</v>
      </c>
      <c r="U72" s="57">
        <f t="shared" si="18"/>
        <v>10684.799999999981</v>
      </c>
      <c r="V72" s="57">
        <f t="shared" si="18"/>
        <v>9158.3999999999814</v>
      </c>
      <c r="W72" s="57">
        <f t="shared" si="18"/>
        <v>7631.9999999999818</v>
      </c>
      <c r="X72" s="57">
        <f t="shared" si="18"/>
        <v>6105.5999999999822</v>
      </c>
      <c r="Y72" s="57">
        <f t="shared" si="18"/>
        <v>4579.1999999999825</v>
      </c>
      <c r="Z72" s="57">
        <f t="shared" si="18"/>
        <v>3052.7999999999824</v>
      </c>
      <c r="AA72" s="57">
        <f t="shared" si="18"/>
        <v>1526.3999999999824</v>
      </c>
      <c r="AB72" s="57">
        <f t="shared" si="18"/>
        <v>0</v>
      </c>
      <c r="AC72" s="57"/>
      <c r="AD72" s="57"/>
    </row>
    <row r="73" spans="1:30" x14ac:dyDescent="0.3">
      <c r="A73" s="54"/>
      <c r="B73" s="58" t="s">
        <v>144</v>
      </c>
      <c r="C73" s="57"/>
      <c r="D73" s="57">
        <f t="shared" ref="D73:AB73" si="19">IF(D75&gt;0,MIN(D75,$H$11/$H$30),0)</f>
        <v>0</v>
      </c>
      <c r="E73" s="57">
        <f t="shared" si="19"/>
        <v>0</v>
      </c>
      <c r="F73" s="57">
        <f t="shared" si="19"/>
        <v>0</v>
      </c>
      <c r="G73" s="57">
        <f t="shared" si="19"/>
        <v>0</v>
      </c>
      <c r="H73" s="57">
        <f t="shared" si="19"/>
        <v>0</v>
      </c>
      <c r="I73" s="57">
        <f t="shared" si="19"/>
        <v>0</v>
      </c>
      <c r="J73" s="57">
        <f t="shared" si="19"/>
        <v>0</v>
      </c>
      <c r="K73" s="57">
        <f t="shared" si="19"/>
        <v>0</v>
      </c>
      <c r="L73" s="57">
        <f t="shared" si="19"/>
        <v>0</v>
      </c>
      <c r="M73" s="57">
        <f t="shared" si="19"/>
        <v>0</v>
      </c>
      <c r="N73" s="57">
        <f t="shared" si="19"/>
        <v>0</v>
      </c>
      <c r="O73" s="57">
        <f t="shared" si="19"/>
        <v>0</v>
      </c>
      <c r="P73" s="57">
        <f t="shared" si="19"/>
        <v>0</v>
      </c>
      <c r="Q73" s="57">
        <f t="shared" si="19"/>
        <v>0</v>
      </c>
      <c r="R73" s="57">
        <f t="shared" si="19"/>
        <v>0</v>
      </c>
      <c r="S73" s="57">
        <f t="shared" si="19"/>
        <v>0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0</v>
      </c>
      <c r="Y73" s="57">
        <f t="shared" si="19"/>
        <v>0</v>
      </c>
      <c r="Z73" s="57">
        <f t="shared" si="19"/>
        <v>0</v>
      </c>
      <c r="AA73" s="57">
        <f t="shared" si="19"/>
        <v>0</v>
      </c>
      <c r="AB73" s="57">
        <f t="shared" si="19"/>
        <v>0</v>
      </c>
      <c r="AC73" s="57"/>
      <c r="AD73" s="57"/>
    </row>
    <row r="75" spans="1:30" x14ac:dyDescent="0.3">
      <c r="A75" s="54"/>
      <c r="B75" s="54" t="s">
        <v>142</v>
      </c>
      <c r="C75" s="57"/>
      <c r="D75" s="57">
        <f t="shared" ref="D75:AB75" si="20">IF(D132&gt;0,D132*$H$31,C76)</f>
        <v>0</v>
      </c>
      <c r="E75" s="57">
        <f t="shared" si="20"/>
        <v>0</v>
      </c>
      <c r="F75" s="57">
        <f t="shared" si="20"/>
        <v>0</v>
      </c>
      <c r="G75" s="57">
        <f t="shared" si="20"/>
        <v>0</v>
      </c>
      <c r="H75" s="57">
        <f t="shared" si="20"/>
        <v>0</v>
      </c>
      <c r="I75" s="57">
        <f t="shared" si="20"/>
        <v>0</v>
      </c>
      <c r="J75" s="57">
        <f t="shared" si="20"/>
        <v>0</v>
      </c>
      <c r="K75" s="57">
        <f t="shared" si="20"/>
        <v>0</v>
      </c>
      <c r="L75" s="57">
        <f t="shared" si="20"/>
        <v>0</v>
      </c>
      <c r="M75" s="57">
        <f t="shared" si="20"/>
        <v>0</v>
      </c>
      <c r="N75" s="57">
        <f t="shared" si="20"/>
        <v>0</v>
      </c>
      <c r="O75" s="57">
        <f t="shared" si="20"/>
        <v>0</v>
      </c>
      <c r="P75" s="57">
        <f t="shared" si="20"/>
        <v>0</v>
      </c>
      <c r="Q75" s="57">
        <f t="shared" si="20"/>
        <v>0</v>
      </c>
      <c r="R75" s="57">
        <f t="shared" si="20"/>
        <v>0</v>
      </c>
      <c r="S75" s="57">
        <f t="shared" si="20"/>
        <v>0</v>
      </c>
      <c r="T75" s="57">
        <f t="shared" si="20"/>
        <v>0</v>
      </c>
      <c r="U75" s="57">
        <f t="shared" si="20"/>
        <v>0</v>
      </c>
      <c r="V75" s="57">
        <f t="shared" si="20"/>
        <v>0</v>
      </c>
      <c r="W75" s="57">
        <f t="shared" si="20"/>
        <v>0</v>
      </c>
      <c r="X75" s="57">
        <f t="shared" si="20"/>
        <v>0</v>
      </c>
      <c r="Y75" s="57">
        <f t="shared" si="20"/>
        <v>0</v>
      </c>
      <c r="Z75" s="57">
        <f t="shared" si="20"/>
        <v>0</v>
      </c>
      <c r="AA75" s="57">
        <f t="shared" si="20"/>
        <v>0</v>
      </c>
      <c r="AB75" s="57">
        <f t="shared" si="20"/>
        <v>0</v>
      </c>
      <c r="AC75" s="57"/>
      <c r="AD75" s="57"/>
    </row>
    <row r="76" spans="1:30" x14ac:dyDescent="0.3">
      <c r="A76" s="54"/>
      <c r="B76" s="54" t="s">
        <v>143</v>
      </c>
      <c r="C76" s="57"/>
      <c r="D76" s="57">
        <f t="shared" ref="D76:AB76" si="21">D75-D73</f>
        <v>0</v>
      </c>
      <c r="E76" s="57">
        <f t="shared" si="21"/>
        <v>0</v>
      </c>
      <c r="F76" s="57">
        <f t="shared" si="21"/>
        <v>0</v>
      </c>
      <c r="G76" s="57">
        <f t="shared" si="21"/>
        <v>0</v>
      </c>
      <c r="H76" s="57">
        <f t="shared" si="21"/>
        <v>0</v>
      </c>
      <c r="I76" s="57">
        <f t="shared" si="21"/>
        <v>0</v>
      </c>
      <c r="J76" s="57">
        <f t="shared" si="21"/>
        <v>0</v>
      </c>
      <c r="K76" s="57">
        <f t="shared" si="21"/>
        <v>0</v>
      </c>
      <c r="L76" s="57">
        <f t="shared" si="21"/>
        <v>0</v>
      </c>
      <c r="M76" s="57">
        <f t="shared" si="21"/>
        <v>0</v>
      </c>
      <c r="N76" s="57">
        <f t="shared" si="21"/>
        <v>0</v>
      </c>
      <c r="O76" s="57">
        <f t="shared" si="21"/>
        <v>0</v>
      </c>
      <c r="P76" s="57">
        <f t="shared" si="21"/>
        <v>0</v>
      </c>
      <c r="Q76" s="57">
        <f t="shared" si="21"/>
        <v>0</v>
      </c>
      <c r="R76" s="57">
        <f t="shared" si="21"/>
        <v>0</v>
      </c>
      <c r="S76" s="57">
        <f t="shared" si="21"/>
        <v>0</v>
      </c>
      <c r="T76" s="57">
        <f t="shared" si="21"/>
        <v>0</v>
      </c>
      <c r="U76" s="57">
        <f t="shared" si="21"/>
        <v>0</v>
      </c>
      <c r="V76" s="57">
        <f t="shared" si="21"/>
        <v>0</v>
      </c>
      <c r="W76" s="57">
        <f t="shared" si="21"/>
        <v>0</v>
      </c>
      <c r="X76" s="57">
        <f t="shared" si="21"/>
        <v>0</v>
      </c>
      <c r="Y76" s="57">
        <f t="shared" si="21"/>
        <v>0</v>
      </c>
      <c r="Z76" s="57">
        <f t="shared" si="21"/>
        <v>0</v>
      </c>
      <c r="AA76" s="57">
        <f t="shared" si="21"/>
        <v>0</v>
      </c>
      <c r="AB76" s="57">
        <f t="shared" si="21"/>
        <v>0</v>
      </c>
      <c r="AC76" s="57"/>
      <c r="AD76" s="57"/>
    </row>
    <row r="77" spans="1:30" x14ac:dyDescent="0.3">
      <c r="A77" s="54"/>
      <c r="B77" s="58" t="s">
        <v>145</v>
      </c>
      <c r="C77" s="57"/>
      <c r="D77" s="57">
        <f>IF(D79&gt;0,MIN(D79,$H$13/$H$30),0)</f>
        <v>0</v>
      </c>
      <c r="E77" s="57">
        <f t="shared" ref="E77:AB77" si="22">IF(E79&gt;0,MIN(E79,$H$13/$H$28),0)</f>
        <v>0</v>
      </c>
      <c r="F77" s="57">
        <f t="shared" si="22"/>
        <v>0</v>
      </c>
      <c r="G77" s="57">
        <f t="shared" si="22"/>
        <v>0</v>
      </c>
      <c r="H77" s="57">
        <f t="shared" si="22"/>
        <v>0</v>
      </c>
      <c r="I77" s="57">
        <f t="shared" si="22"/>
        <v>0</v>
      </c>
      <c r="J77" s="57">
        <f t="shared" si="22"/>
        <v>0</v>
      </c>
      <c r="K77" s="57">
        <f t="shared" si="22"/>
        <v>0</v>
      </c>
      <c r="L77" s="57">
        <f t="shared" si="22"/>
        <v>0</v>
      </c>
      <c r="M77" s="57">
        <f t="shared" si="22"/>
        <v>0</v>
      </c>
      <c r="N77" s="57">
        <f t="shared" si="22"/>
        <v>0</v>
      </c>
      <c r="O77" s="57">
        <f t="shared" si="22"/>
        <v>0</v>
      </c>
      <c r="P77" s="57">
        <f t="shared" si="22"/>
        <v>0</v>
      </c>
      <c r="Q77" s="57">
        <f t="shared" si="22"/>
        <v>0</v>
      </c>
      <c r="R77" s="57">
        <f t="shared" si="22"/>
        <v>0</v>
      </c>
      <c r="S77" s="57">
        <f t="shared" si="22"/>
        <v>0</v>
      </c>
      <c r="T77" s="57">
        <f t="shared" si="22"/>
        <v>0</v>
      </c>
      <c r="U77" s="57">
        <f t="shared" si="22"/>
        <v>0</v>
      </c>
      <c r="V77" s="57">
        <f t="shared" si="22"/>
        <v>0</v>
      </c>
      <c r="W77" s="57">
        <f t="shared" si="22"/>
        <v>0</v>
      </c>
      <c r="X77" s="57">
        <f t="shared" si="22"/>
        <v>0</v>
      </c>
      <c r="Y77" s="57">
        <f t="shared" si="22"/>
        <v>0</v>
      </c>
      <c r="Z77" s="57">
        <f t="shared" si="22"/>
        <v>0</v>
      </c>
      <c r="AA77" s="57">
        <f t="shared" si="22"/>
        <v>0</v>
      </c>
      <c r="AB77" s="57">
        <f t="shared" si="22"/>
        <v>0</v>
      </c>
      <c r="AC77" s="57"/>
      <c r="AD77" s="57"/>
    </row>
    <row r="78" spans="1:30" x14ac:dyDescent="0.3">
      <c r="A78" s="54"/>
      <c r="B78" s="58" t="s">
        <v>146</v>
      </c>
      <c r="C78" s="57"/>
      <c r="D78" s="57">
        <f t="shared" ref="D78:AB78" si="23">IF(D$42=$H$14,$H$13,0)</f>
        <v>0</v>
      </c>
      <c r="E78" s="57">
        <f t="shared" si="23"/>
        <v>0</v>
      </c>
      <c r="F78" s="57">
        <f t="shared" si="23"/>
        <v>0</v>
      </c>
      <c r="G78" s="57">
        <f t="shared" si="23"/>
        <v>0</v>
      </c>
      <c r="H78" s="57">
        <f t="shared" si="23"/>
        <v>0</v>
      </c>
      <c r="I78" s="57">
        <f t="shared" si="23"/>
        <v>0</v>
      </c>
      <c r="J78" s="57">
        <f t="shared" si="23"/>
        <v>0</v>
      </c>
      <c r="K78" s="57">
        <f t="shared" si="23"/>
        <v>0</v>
      </c>
      <c r="L78" s="57">
        <f t="shared" si="23"/>
        <v>0</v>
      </c>
      <c r="M78" s="57">
        <f t="shared" si="23"/>
        <v>0</v>
      </c>
      <c r="N78" s="57">
        <f t="shared" si="23"/>
        <v>0</v>
      </c>
      <c r="O78" s="57">
        <f t="shared" si="23"/>
        <v>0</v>
      </c>
      <c r="P78" s="57">
        <f t="shared" si="23"/>
        <v>0</v>
      </c>
      <c r="Q78" s="57">
        <f t="shared" si="23"/>
        <v>0</v>
      </c>
      <c r="R78" s="57">
        <f t="shared" si="23"/>
        <v>0</v>
      </c>
      <c r="S78" s="57">
        <f t="shared" si="23"/>
        <v>0</v>
      </c>
      <c r="T78" s="57">
        <f t="shared" si="23"/>
        <v>0</v>
      </c>
      <c r="U78" s="57">
        <f t="shared" si="23"/>
        <v>0</v>
      </c>
      <c r="V78" s="57">
        <f t="shared" si="23"/>
        <v>0</v>
      </c>
      <c r="W78" s="57">
        <f t="shared" si="23"/>
        <v>0</v>
      </c>
      <c r="X78" s="57">
        <f t="shared" si="23"/>
        <v>0</v>
      </c>
      <c r="Y78" s="57">
        <f t="shared" si="23"/>
        <v>0</v>
      </c>
      <c r="Z78" s="57">
        <f t="shared" si="23"/>
        <v>0</v>
      </c>
      <c r="AA78" s="57">
        <f t="shared" si="23"/>
        <v>0</v>
      </c>
      <c r="AB78" s="57">
        <f t="shared" si="23"/>
        <v>0</v>
      </c>
      <c r="AC78" s="57"/>
      <c r="AD78" s="57"/>
    </row>
    <row r="79" spans="1:30" x14ac:dyDescent="0.3">
      <c r="A79" s="54"/>
      <c r="B79" s="54" t="s">
        <v>142</v>
      </c>
      <c r="C79" s="57"/>
      <c r="D79" s="57">
        <f t="shared" ref="D79:AB79" si="24">IF(D78&gt;0,D78*$I$31,C80)</f>
        <v>0</v>
      </c>
      <c r="E79" s="57">
        <f t="shared" si="24"/>
        <v>0</v>
      </c>
      <c r="F79" s="57">
        <f t="shared" si="24"/>
        <v>0</v>
      </c>
      <c r="G79" s="57">
        <f t="shared" si="24"/>
        <v>0</v>
      </c>
      <c r="H79" s="57">
        <f t="shared" si="24"/>
        <v>0</v>
      </c>
      <c r="I79" s="57">
        <f t="shared" si="24"/>
        <v>0</v>
      </c>
      <c r="J79" s="57">
        <f t="shared" si="24"/>
        <v>0</v>
      </c>
      <c r="K79" s="57">
        <f t="shared" si="24"/>
        <v>0</v>
      </c>
      <c r="L79" s="57">
        <f t="shared" si="24"/>
        <v>0</v>
      </c>
      <c r="M79" s="57">
        <f t="shared" si="24"/>
        <v>0</v>
      </c>
      <c r="N79" s="57">
        <f t="shared" si="24"/>
        <v>0</v>
      </c>
      <c r="O79" s="57">
        <f t="shared" si="24"/>
        <v>0</v>
      </c>
      <c r="P79" s="57">
        <f t="shared" si="24"/>
        <v>0</v>
      </c>
      <c r="Q79" s="57">
        <f t="shared" si="24"/>
        <v>0</v>
      </c>
      <c r="R79" s="57">
        <f t="shared" si="24"/>
        <v>0</v>
      </c>
      <c r="S79" s="57">
        <f t="shared" si="24"/>
        <v>0</v>
      </c>
      <c r="T79" s="57">
        <f t="shared" si="24"/>
        <v>0</v>
      </c>
      <c r="U79" s="57">
        <f t="shared" si="24"/>
        <v>0</v>
      </c>
      <c r="V79" s="57">
        <f t="shared" si="24"/>
        <v>0</v>
      </c>
      <c r="W79" s="57">
        <f t="shared" si="24"/>
        <v>0</v>
      </c>
      <c r="X79" s="57">
        <f t="shared" si="24"/>
        <v>0</v>
      </c>
      <c r="Y79" s="57">
        <f t="shared" si="24"/>
        <v>0</v>
      </c>
      <c r="Z79" s="57">
        <f t="shared" si="24"/>
        <v>0</v>
      </c>
      <c r="AA79" s="57">
        <f t="shared" si="24"/>
        <v>0</v>
      </c>
      <c r="AB79" s="57">
        <f t="shared" si="24"/>
        <v>0</v>
      </c>
      <c r="AC79" s="57"/>
      <c r="AD79" s="57"/>
    </row>
    <row r="80" spans="1:30" x14ac:dyDescent="0.3">
      <c r="A80" s="54"/>
      <c r="B80" s="54" t="s">
        <v>143</v>
      </c>
      <c r="C80" s="57"/>
      <c r="D80" s="57">
        <f t="shared" ref="D80:AB80" si="25">D79-D77</f>
        <v>0</v>
      </c>
      <c r="E80" s="57">
        <f t="shared" si="25"/>
        <v>0</v>
      </c>
      <c r="F80" s="57">
        <f t="shared" si="25"/>
        <v>0</v>
      </c>
      <c r="G80" s="57">
        <f t="shared" si="25"/>
        <v>0</v>
      </c>
      <c r="H80" s="57">
        <f t="shared" si="25"/>
        <v>0</v>
      </c>
      <c r="I80" s="57">
        <f t="shared" si="25"/>
        <v>0</v>
      </c>
      <c r="J80" s="57">
        <f t="shared" si="25"/>
        <v>0</v>
      </c>
      <c r="K80" s="57">
        <f t="shared" si="25"/>
        <v>0</v>
      </c>
      <c r="L80" s="57">
        <f t="shared" si="25"/>
        <v>0</v>
      </c>
      <c r="M80" s="57">
        <f t="shared" si="25"/>
        <v>0</v>
      </c>
      <c r="N80" s="57">
        <f t="shared" si="25"/>
        <v>0</v>
      </c>
      <c r="O80" s="57">
        <f t="shared" si="25"/>
        <v>0</v>
      </c>
      <c r="P80" s="57">
        <f t="shared" si="25"/>
        <v>0</v>
      </c>
      <c r="Q80" s="57">
        <f t="shared" si="25"/>
        <v>0</v>
      </c>
      <c r="R80" s="57">
        <f t="shared" si="25"/>
        <v>0</v>
      </c>
      <c r="S80" s="57">
        <f t="shared" si="25"/>
        <v>0</v>
      </c>
      <c r="T80" s="57">
        <f t="shared" si="25"/>
        <v>0</v>
      </c>
      <c r="U80" s="57">
        <f t="shared" si="25"/>
        <v>0</v>
      </c>
      <c r="V80" s="57">
        <f t="shared" si="25"/>
        <v>0</v>
      </c>
      <c r="W80" s="57">
        <f t="shared" si="25"/>
        <v>0</v>
      </c>
      <c r="X80" s="57">
        <f t="shared" si="25"/>
        <v>0</v>
      </c>
      <c r="Y80" s="57">
        <f t="shared" si="25"/>
        <v>0</v>
      </c>
      <c r="Z80" s="57">
        <f t="shared" si="25"/>
        <v>0</v>
      </c>
      <c r="AA80" s="57">
        <f t="shared" si="25"/>
        <v>0</v>
      </c>
      <c r="AB80" s="57">
        <f t="shared" si="25"/>
        <v>0</v>
      </c>
      <c r="AC80" s="57"/>
      <c r="AD80" s="57"/>
    </row>
    <row r="81" spans="1:30" x14ac:dyDescent="0.3">
      <c r="A81" s="59"/>
      <c r="B81" s="59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:30" x14ac:dyDescent="0.3">
      <c r="A82" s="59"/>
      <c r="B82" t="s">
        <v>147</v>
      </c>
      <c r="C82" s="60"/>
      <c r="D82" s="53">
        <f t="shared" ref="D82:AB82" si="26">(D83+D86+D89)*(D42&lt;=$C$19)</f>
        <v>3052.8</v>
      </c>
      <c r="E82" s="53">
        <f t="shared" si="26"/>
        <v>3052.8</v>
      </c>
      <c r="F82" s="53">
        <f t="shared" si="26"/>
        <v>3052.8</v>
      </c>
      <c r="G82" s="53">
        <f t="shared" si="26"/>
        <v>3052.8</v>
      </c>
      <c r="H82" s="53">
        <f t="shared" si="26"/>
        <v>3052.8</v>
      </c>
      <c r="I82" s="53">
        <f t="shared" si="26"/>
        <v>3052.8</v>
      </c>
      <c r="J82" s="53">
        <f t="shared" si="26"/>
        <v>3052.8</v>
      </c>
      <c r="K82" s="53">
        <f t="shared" si="26"/>
        <v>3052.8</v>
      </c>
      <c r="L82" s="53">
        <f t="shared" si="26"/>
        <v>3052.8</v>
      </c>
      <c r="M82" s="53">
        <f t="shared" si="26"/>
        <v>3052.8</v>
      </c>
      <c r="N82" s="53">
        <f t="shared" si="26"/>
        <v>3052.8</v>
      </c>
      <c r="O82" s="53">
        <f t="shared" si="26"/>
        <v>3052.8</v>
      </c>
      <c r="P82" s="53">
        <f t="shared" si="26"/>
        <v>1526.4000000000024</v>
      </c>
      <c r="Q82" s="53">
        <f t="shared" si="26"/>
        <v>0</v>
      </c>
      <c r="R82" s="53">
        <f t="shared" si="26"/>
        <v>0</v>
      </c>
      <c r="S82" s="53">
        <f t="shared" si="26"/>
        <v>0</v>
      </c>
      <c r="T82" s="53">
        <f t="shared" si="26"/>
        <v>0</v>
      </c>
      <c r="U82" s="53">
        <f t="shared" si="26"/>
        <v>0</v>
      </c>
      <c r="V82" s="53">
        <f t="shared" si="26"/>
        <v>0</v>
      </c>
      <c r="W82" s="53">
        <f t="shared" si="26"/>
        <v>0</v>
      </c>
      <c r="X82" s="53">
        <f t="shared" si="26"/>
        <v>0</v>
      </c>
      <c r="Y82" s="53">
        <f t="shared" si="26"/>
        <v>0</v>
      </c>
      <c r="Z82" s="53">
        <f t="shared" si="26"/>
        <v>0</v>
      </c>
      <c r="AA82" s="53">
        <f t="shared" si="26"/>
        <v>0</v>
      </c>
      <c r="AB82" s="53">
        <f t="shared" si="26"/>
        <v>0</v>
      </c>
      <c r="AC82" s="53"/>
      <c r="AD82" s="53"/>
    </row>
    <row r="83" spans="1:30" x14ac:dyDescent="0.3">
      <c r="A83" s="54"/>
      <c r="B83" s="54" t="s">
        <v>148</v>
      </c>
      <c r="C83" s="55"/>
      <c r="D83" s="55">
        <f t="shared" ref="D83:AB83" si="27">MIN(D84,$D$71/$I$28)</f>
        <v>3052.8</v>
      </c>
      <c r="E83" s="55">
        <f t="shared" si="27"/>
        <v>3052.8</v>
      </c>
      <c r="F83" s="55">
        <f t="shared" si="27"/>
        <v>3052.8</v>
      </c>
      <c r="G83" s="55">
        <f t="shared" si="27"/>
        <v>3052.8</v>
      </c>
      <c r="H83" s="55">
        <f t="shared" si="27"/>
        <v>3052.8</v>
      </c>
      <c r="I83" s="55">
        <f t="shared" si="27"/>
        <v>3052.8</v>
      </c>
      <c r="J83" s="55">
        <f t="shared" si="27"/>
        <v>3052.8</v>
      </c>
      <c r="K83" s="55">
        <f t="shared" si="27"/>
        <v>3052.8</v>
      </c>
      <c r="L83" s="55">
        <f t="shared" si="27"/>
        <v>3052.8</v>
      </c>
      <c r="M83" s="55">
        <f t="shared" si="27"/>
        <v>3052.8</v>
      </c>
      <c r="N83" s="55">
        <f t="shared" si="27"/>
        <v>3052.8</v>
      </c>
      <c r="O83" s="55">
        <f t="shared" si="27"/>
        <v>3052.8</v>
      </c>
      <c r="P83" s="55">
        <f t="shared" si="27"/>
        <v>1526.4000000000024</v>
      </c>
      <c r="Q83" s="55">
        <f t="shared" si="27"/>
        <v>0</v>
      </c>
      <c r="R83" s="55">
        <f t="shared" si="27"/>
        <v>0</v>
      </c>
      <c r="S83" s="55">
        <f t="shared" si="27"/>
        <v>0</v>
      </c>
      <c r="T83" s="55">
        <f t="shared" si="27"/>
        <v>0</v>
      </c>
      <c r="U83" s="55">
        <f t="shared" si="27"/>
        <v>0</v>
      </c>
      <c r="V83" s="55">
        <f t="shared" si="27"/>
        <v>0</v>
      </c>
      <c r="W83" s="55">
        <f t="shared" si="27"/>
        <v>0</v>
      </c>
      <c r="X83" s="55">
        <f t="shared" si="27"/>
        <v>0</v>
      </c>
      <c r="Y83" s="55">
        <f t="shared" si="27"/>
        <v>0</v>
      </c>
      <c r="Z83" s="55">
        <f t="shared" si="27"/>
        <v>0</v>
      </c>
      <c r="AA83" s="55">
        <f t="shared" si="27"/>
        <v>0</v>
      </c>
      <c r="AB83" s="55">
        <f t="shared" si="27"/>
        <v>0</v>
      </c>
      <c r="AC83" s="55"/>
      <c r="AD83" s="55"/>
    </row>
    <row r="84" spans="1:30" x14ac:dyDescent="0.3">
      <c r="A84" s="54"/>
      <c r="B84" s="54" t="s">
        <v>142</v>
      </c>
      <c r="C84" s="56"/>
      <c r="D84" s="56">
        <f>C126*$H$29</f>
        <v>38160</v>
      </c>
      <c r="E84" s="57">
        <f t="shared" ref="E84:AB84" si="28">D85</f>
        <v>35107.199999999997</v>
      </c>
      <c r="F84" s="57">
        <f t="shared" si="28"/>
        <v>32054.399999999998</v>
      </c>
      <c r="G84" s="57">
        <f t="shared" si="28"/>
        <v>29001.599999999999</v>
      </c>
      <c r="H84" s="57">
        <f t="shared" si="28"/>
        <v>25948.799999999999</v>
      </c>
      <c r="I84" s="57">
        <f t="shared" si="28"/>
        <v>22896</v>
      </c>
      <c r="J84" s="57">
        <f t="shared" si="28"/>
        <v>19843.2</v>
      </c>
      <c r="K84" s="57">
        <f t="shared" si="28"/>
        <v>16790.400000000001</v>
      </c>
      <c r="L84" s="57">
        <f t="shared" si="28"/>
        <v>13737.600000000002</v>
      </c>
      <c r="M84" s="57">
        <f t="shared" si="28"/>
        <v>10684.800000000003</v>
      </c>
      <c r="N84" s="57">
        <f t="shared" si="28"/>
        <v>7632.0000000000027</v>
      </c>
      <c r="O84" s="57">
        <f t="shared" si="28"/>
        <v>4579.2000000000025</v>
      </c>
      <c r="P84" s="57">
        <f t="shared" si="28"/>
        <v>1526.4000000000024</v>
      </c>
      <c r="Q84" s="57">
        <f t="shared" si="28"/>
        <v>0</v>
      </c>
      <c r="R84" s="57">
        <f t="shared" si="28"/>
        <v>0</v>
      </c>
      <c r="S84" s="57">
        <f t="shared" si="28"/>
        <v>0</v>
      </c>
      <c r="T84" s="57">
        <f t="shared" si="28"/>
        <v>0</v>
      </c>
      <c r="U84" s="57">
        <f t="shared" si="28"/>
        <v>0</v>
      </c>
      <c r="V84" s="57">
        <f t="shared" si="28"/>
        <v>0</v>
      </c>
      <c r="W84" s="57">
        <f t="shared" si="28"/>
        <v>0</v>
      </c>
      <c r="X84" s="57">
        <f t="shared" si="28"/>
        <v>0</v>
      </c>
      <c r="Y84" s="57">
        <f t="shared" si="28"/>
        <v>0</v>
      </c>
      <c r="Z84" s="57">
        <f t="shared" si="28"/>
        <v>0</v>
      </c>
      <c r="AA84" s="57">
        <f t="shared" si="28"/>
        <v>0</v>
      </c>
      <c r="AB84" s="57">
        <f t="shared" si="28"/>
        <v>0</v>
      </c>
      <c r="AC84" s="57"/>
      <c r="AD84" s="57"/>
    </row>
    <row r="85" spans="1:30" x14ac:dyDescent="0.3">
      <c r="A85" s="54"/>
      <c r="B85" s="54" t="s">
        <v>143</v>
      </c>
      <c r="C85" s="57"/>
      <c r="D85" s="57">
        <f t="shared" ref="D85:AB85" si="29">D84-D83</f>
        <v>35107.199999999997</v>
      </c>
      <c r="E85" s="57">
        <f t="shared" si="29"/>
        <v>32054.399999999998</v>
      </c>
      <c r="F85" s="57">
        <f t="shared" si="29"/>
        <v>29001.599999999999</v>
      </c>
      <c r="G85" s="57">
        <f t="shared" si="29"/>
        <v>25948.799999999999</v>
      </c>
      <c r="H85" s="57">
        <f t="shared" si="29"/>
        <v>22896</v>
      </c>
      <c r="I85" s="57">
        <f t="shared" si="29"/>
        <v>19843.2</v>
      </c>
      <c r="J85" s="57">
        <f t="shared" si="29"/>
        <v>16790.400000000001</v>
      </c>
      <c r="K85" s="57">
        <f t="shared" si="29"/>
        <v>13737.600000000002</v>
      </c>
      <c r="L85" s="57">
        <f t="shared" si="29"/>
        <v>10684.800000000003</v>
      </c>
      <c r="M85" s="57">
        <f t="shared" si="29"/>
        <v>7632.0000000000027</v>
      </c>
      <c r="N85" s="57">
        <f t="shared" si="29"/>
        <v>4579.2000000000025</v>
      </c>
      <c r="O85" s="57">
        <f t="shared" si="29"/>
        <v>1526.4000000000024</v>
      </c>
      <c r="P85" s="57">
        <f t="shared" si="29"/>
        <v>0</v>
      </c>
      <c r="Q85" s="57">
        <f t="shared" si="29"/>
        <v>0</v>
      </c>
      <c r="R85" s="57">
        <f t="shared" si="29"/>
        <v>0</v>
      </c>
      <c r="S85" s="57">
        <f t="shared" si="29"/>
        <v>0</v>
      </c>
      <c r="T85" s="57">
        <f t="shared" si="29"/>
        <v>0</v>
      </c>
      <c r="U85" s="57">
        <f t="shared" si="29"/>
        <v>0</v>
      </c>
      <c r="V85" s="57">
        <f t="shared" si="29"/>
        <v>0</v>
      </c>
      <c r="W85" s="57">
        <f t="shared" si="29"/>
        <v>0</v>
      </c>
      <c r="X85" s="57">
        <f t="shared" si="29"/>
        <v>0</v>
      </c>
      <c r="Y85" s="57">
        <f t="shared" si="29"/>
        <v>0</v>
      </c>
      <c r="Z85" s="57">
        <f t="shared" si="29"/>
        <v>0</v>
      </c>
      <c r="AA85" s="57">
        <f t="shared" si="29"/>
        <v>0</v>
      </c>
      <c r="AB85" s="57">
        <f t="shared" si="29"/>
        <v>0</v>
      </c>
      <c r="AC85" s="57"/>
      <c r="AD85" s="57"/>
    </row>
    <row r="86" spans="1:30" x14ac:dyDescent="0.3">
      <c r="A86" s="54"/>
      <c r="B86" s="58" t="s">
        <v>149</v>
      </c>
      <c r="C86" s="57"/>
      <c r="D86" s="57">
        <f t="shared" ref="D86:AB86" si="30">IF(D87&gt;0,MIN(D87,$H$11/$I$30),0)</f>
        <v>0</v>
      </c>
      <c r="E86" s="57">
        <f t="shared" si="30"/>
        <v>0</v>
      </c>
      <c r="F86" s="57">
        <f t="shared" si="30"/>
        <v>0</v>
      </c>
      <c r="G86" s="57">
        <f t="shared" si="30"/>
        <v>0</v>
      </c>
      <c r="H86" s="57">
        <f t="shared" si="30"/>
        <v>0</v>
      </c>
      <c r="I86" s="57">
        <f t="shared" si="30"/>
        <v>0</v>
      </c>
      <c r="J86" s="57">
        <f t="shared" si="30"/>
        <v>0</v>
      </c>
      <c r="K86" s="57">
        <f t="shared" si="30"/>
        <v>0</v>
      </c>
      <c r="L86" s="57">
        <f t="shared" si="30"/>
        <v>0</v>
      </c>
      <c r="M86" s="57">
        <f t="shared" si="30"/>
        <v>0</v>
      </c>
      <c r="N86" s="57">
        <f t="shared" si="30"/>
        <v>0</v>
      </c>
      <c r="O86" s="57">
        <f t="shared" si="30"/>
        <v>0</v>
      </c>
      <c r="P86" s="57">
        <f t="shared" si="30"/>
        <v>0</v>
      </c>
      <c r="Q86" s="57">
        <f t="shared" si="30"/>
        <v>0</v>
      </c>
      <c r="R86" s="57">
        <f t="shared" si="30"/>
        <v>0</v>
      </c>
      <c r="S86" s="57">
        <f t="shared" si="30"/>
        <v>0</v>
      </c>
      <c r="T86" s="57">
        <f t="shared" si="30"/>
        <v>0</v>
      </c>
      <c r="U86" s="57">
        <f t="shared" si="30"/>
        <v>0</v>
      </c>
      <c r="V86" s="57">
        <f t="shared" si="30"/>
        <v>0</v>
      </c>
      <c r="W86" s="57">
        <f t="shared" si="30"/>
        <v>0</v>
      </c>
      <c r="X86" s="57">
        <f t="shared" si="30"/>
        <v>0</v>
      </c>
      <c r="Y86" s="57">
        <f t="shared" si="30"/>
        <v>0</v>
      </c>
      <c r="Z86" s="57">
        <f t="shared" si="30"/>
        <v>0</v>
      </c>
      <c r="AA86" s="57">
        <f t="shared" si="30"/>
        <v>0</v>
      </c>
      <c r="AB86" s="57">
        <f t="shared" si="30"/>
        <v>0</v>
      </c>
      <c r="AC86" s="57"/>
      <c r="AD86" s="57"/>
    </row>
    <row r="87" spans="1:30" x14ac:dyDescent="0.3">
      <c r="A87" s="54"/>
      <c r="B87" s="54" t="s">
        <v>142</v>
      </c>
      <c r="C87" s="57"/>
      <c r="D87" s="57">
        <f t="shared" ref="D87:AB87" si="31">IF(D134&gt;0,D134*$I$31,C88)</f>
        <v>0</v>
      </c>
      <c r="E87" s="57">
        <f t="shared" si="31"/>
        <v>0</v>
      </c>
      <c r="F87" s="57">
        <f t="shared" si="31"/>
        <v>0</v>
      </c>
      <c r="G87" s="57">
        <f t="shared" si="31"/>
        <v>0</v>
      </c>
      <c r="H87" s="57">
        <f t="shared" si="31"/>
        <v>0</v>
      </c>
      <c r="I87" s="57">
        <f t="shared" si="31"/>
        <v>0</v>
      </c>
      <c r="J87" s="57">
        <f t="shared" si="31"/>
        <v>0</v>
      </c>
      <c r="K87" s="57">
        <f t="shared" si="31"/>
        <v>0</v>
      </c>
      <c r="L87" s="57">
        <f t="shared" si="31"/>
        <v>0</v>
      </c>
      <c r="M87" s="57">
        <f t="shared" si="31"/>
        <v>0</v>
      </c>
      <c r="N87" s="57">
        <f t="shared" si="31"/>
        <v>0</v>
      </c>
      <c r="O87" s="57">
        <f t="shared" si="31"/>
        <v>0</v>
      </c>
      <c r="P87" s="57">
        <f t="shared" si="31"/>
        <v>0</v>
      </c>
      <c r="Q87" s="57">
        <f t="shared" si="31"/>
        <v>0</v>
      </c>
      <c r="R87" s="57">
        <f t="shared" si="31"/>
        <v>0</v>
      </c>
      <c r="S87" s="57">
        <f t="shared" si="31"/>
        <v>0</v>
      </c>
      <c r="T87" s="57">
        <f t="shared" si="31"/>
        <v>0</v>
      </c>
      <c r="U87" s="57">
        <f t="shared" si="31"/>
        <v>0</v>
      </c>
      <c r="V87" s="57">
        <f t="shared" si="31"/>
        <v>0</v>
      </c>
      <c r="W87" s="57">
        <f t="shared" si="31"/>
        <v>0</v>
      </c>
      <c r="X87" s="57">
        <f t="shared" si="31"/>
        <v>0</v>
      </c>
      <c r="Y87" s="57">
        <f t="shared" si="31"/>
        <v>0</v>
      </c>
      <c r="Z87" s="57">
        <f t="shared" si="31"/>
        <v>0</v>
      </c>
      <c r="AA87" s="57">
        <f t="shared" si="31"/>
        <v>0</v>
      </c>
      <c r="AB87" s="57">
        <f t="shared" si="31"/>
        <v>0</v>
      </c>
      <c r="AC87" s="57"/>
      <c r="AD87" s="57"/>
    </row>
    <row r="88" spans="1:30" x14ac:dyDescent="0.3">
      <c r="A88" s="54"/>
      <c r="B88" s="54" t="s">
        <v>143</v>
      </c>
      <c r="C88" s="57"/>
      <c r="D88" s="57">
        <f t="shared" ref="D88:AB88" si="32">D87-D86</f>
        <v>0</v>
      </c>
      <c r="E88" s="57">
        <f t="shared" si="32"/>
        <v>0</v>
      </c>
      <c r="F88" s="57">
        <f t="shared" si="32"/>
        <v>0</v>
      </c>
      <c r="G88" s="57">
        <f t="shared" si="32"/>
        <v>0</v>
      </c>
      <c r="H88" s="57">
        <f t="shared" si="32"/>
        <v>0</v>
      </c>
      <c r="I88" s="57">
        <f t="shared" si="32"/>
        <v>0</v>
      </c>
      <c r="J88" s="57">
        <f t="shared" si="32"/>
        <v>0</v>
      </c>
      <c r="K88" s="57">
        <f t="shared" si="32"/>
        <v>0</v>
      </c>
      <c r="L88" s="57">
        <f t="shared" si="32"/>
        <v>0</v>
      </c>
      <c r="M88" s="57">
        <f t="shared" si="32"/>
        <v>0</v>
      </c>
      <c r="N88" s="57">
        <f t="shared" si="32"/>
        <v>0</v>
      </c>
      <c r="O88" s="57">
        <f t="shared" si="32"/>
        <v>0</v>
      </c>
      <c r="P88" s="57">
        <f t="shared" si="32"/>
        <v>0</v>
      </c>
      <c r="Q88" s="57">
        <f t="shared" si="32"/>
        <v>0</v>
      </c>
      <c r="R88" s="57">
        <f t="shared" si="32"/>
        <v>0</v>
      </c>
      <c r="S88" s="57">
        <f t="shared" si="32"/>
        <v>0</v>
      </c>
      <c r="T88" s="57">
        <f t="shared" si="32"/>
        <v>0</v>
      </c>
      <c r="U88" s="57">
        <f t="shared" si="32"/>
        <v>0</v>
      </c>
      <c r="V88" s="57">
        <f t="shared" si="32"/>
        <v>0</v>
      </c>
      <c r="W88" s="57">
        <f t="shared" si="32"/>
        <v>0</v>
      </c>
      <c r="X88" s="57">
        <f t="shared" si="32"/>
        <v>0</v>
      </c>
      <c r="Y88" s="57">
        <f t="shared" si="32"/>
        <v>0</v>
      </c>
      <c r="Z88" s="57">
        <f t="shared" si="32"/>
        <v>0</v>
      </c>
      <c r="AA88" s="57">
        <f t="shared" si="32"/>
        <v>0</v>
      </c>
      <c r="AB88" s="57">
        <f t="shared" si="32"/>
        <v>0</v>
      </c>
      <c r="AC88" s="57"/>
      <c r="AD88" s="57"/>
    </row>
    <row r="89" spans="1:30" x14ac:dyDescent="0.3">
      <c r="A89" s="54"/>
      <c r="B89" s="58" t="s">
        <v>150</v>
      </c>
      <c r="C89" s="57"/>
      <c r="D89" s="57">
        <f t="shared" ref="D89:AB89" si="33">IF(D91&gt;0,MIN(D91,$H$13/$I$30),0)</f>
        <v>0</v>
      </c>
      <c r="E89" s="57">
        <f t="shared" si="33"/>
        <v>0</v>
      </c>
      <c r="F89" s="57">
        <f t="shared" si="33"/>
        <v>0</v>
      </c>
      <c r="G89" s="57">
        <f t="shared" si="33"/>
        <v>0</v>
      </c>
      <c r="H89" s="57">
        <f t="shared" si="33"/>
        <v>0</v>
      </c>
      <c r="I89" s="57">
        <f t="shared" si="33"/>
        <v>0</v>
      </c>
      <c r="J89" s="57">
        <f t="shared" si="33"/>
        <v>0</v>
      </c>
      <c r="K89" s="57">
        <f t="shared" si="33"/>
        <v>0</v>
      </c>
      <c r="L89" s="57">
        <f t="shared" si="33"/>
        <v>0</v>
      </c>
      <c r="M89" s="57">
        <f t="shared" si="33"/>
        <v>0</v>
      </c>
      <c r="N89" s="57">
        <f t="shared" si="33"/>
        <v>0</v>
      </c>
      <c r="O89" s="57">
        <f t="shared" si="33"/>
        <v>0</v>
      </c>
      <c r="P89" s="57">
        <f t="shared" si="33"/>
        <v>0</v>
      </c>
      <c r="Q89" s="57">
        <f t="shared" si="33"/>
        <v>0</v>
      </c>
      <c r="R89" s="57">
        <f t="shared" si="33"/>
        <v>0</v>
      </c>
      <c r="S89" s="57">
        <f t="shared" si="33"/>
        <v>0</v>
      </c>
      <c r="T89" s="57">
        <f t="shared" si="33"/>
        <v>0</v>
      </c>
      <c r="U89" s="57">
        <f t="shared" si="33"/>
        <v>0</v>
      </c>
      <c r="V89" s="57">
        <f t="shared" si="33"/>
        <v>0</v>
      </c>
      <c r="W89" s="57">
        <f t="shared" si="33"/>
        <v>0</v>
      </c>
      <c r="X89" s="57">
        <f t="shared" si="33"/>
        <v>0</v>
      </c>
      <c r="Y89" s="57">
        <f t="shared" si="33"/>
        <v>0</v>
      </c>
      <c r="Z89" s="57">
        <f t="shared" si="33"/>
        <v>0</v>
      </c>
      <c r="AA89" s="57">
        <f t="shared" si="33"/>
        <v>0</v>
      </c>
      <c r="AB89" s="57">
        <f t="shared" si="33"/>
        <v>0</v>
      </c>
      <c r="AC89" s="57"/>
      <c r="AD89" s="57"/>
    </row>
    <row r="90" spans="1:30" x14ac:dyDescent="0.3">
      <c r="A90" s="54"/>
      <c r="B90" s="58" t="s">
        <v>146</v>
      </c>
      <c r="C90" s="57"/>
      <c r="D90" s="57">
        <f t="shared" ref="D90:AB90" si="34">IF(D$42=$H$14,$H$13,0)</f>
        <v>0</v>
      </c>
      <c r="E90" s="57">
        <f t="shared" si="34"/>
        <v>0</v>
      </c>
      <c r="F90" s="57">
        <f t="shared" si="34"/>
        <v>0</v>
      </c>
      <c r="G90" s="57">
        <f t="shared" si="34"/>
        <v>0</v>
      </c>
      <c r="H90" s="57">
        <f t="shared" si="34"/>
        <v>0</v>
      </c>
      <c r="I90" s="57">
        <f t="shared" si="34"/>
        <v>0</v>
      </c>
      <c r="J90" s="57">
        <f t="shared" si="34"/>
        <v>0</v>
      </c>
      <c r="K90" s="57">
        <f t="shared" si="34"/>
        <v>0</v>
      </c>
      <c r="L90" s="57">
        <f t="shared" si="34"/>
        <v>0</v>
      </c>
      <c r="M90" s="57">
        <f t="shared" si="34"/>
        <v>0</v>
      </c>
      <c r="N90" s="57">
        <f t="shared" si="34"/>
        <v>0</v>
      </c>
      <c r="O90" s="57">
        <f t="shared" si="34"/>
        <v>0</v>
      </c>
      <c r="P90" s="57">
        <f t="shared" si="34"/>
        <v>0</v>
      </c>
      <c r="Q90" s="57">
        <f t="shared" si="34"/>
        <v>0</v>
      </c>
      <c r="R90" s="57">
        <f t="shared" si="34"/>
        <v>0</v>
      </c>
      <c r="S90" s="57">
        <f t="shared" si="34"/>
        <v>0</v>
      </c>
      <c r="T90" s="57">
        <f t="shared" si="34"/>
        <v>0</v>
      </c>
      <c r="U90" s="57">
        <f t="shared" si="34"/>
        <v>0</v>
      </c>
      <c r="V90" s="57">
        <f t="shared" si="34"/>
        <v>0</v>
      </c>
      <c r="W90" s="57">
        <f t="shared" si="34"/>
        <v>0</v>
      </c>
      <c r="X90" s="57">
        <f t="shared" si="34"/>
        <v>0</v>
      </c>
      <c r="Y90" s="57">
        <f t="shared" si="34"/>
        <v>0</v>
      </c>
      <c r="Z90" s="57">
        <f t="shared" si="34"/>
        <v>0</v>
      </c>
      <c r="AA90" s="57">
        <f t="shared" si="34"/>
        <v>0</v>
      </c>
      <c r="AB90" s="57">
        <f t="shared" si="34"/>
        <v>0</v>
      </c>
      <c r="AC90" s="57"/>
      <c r="AD90" s="57"/>
    </row>
    <row r="91" spans="1:30" x14ac:dyDescent="0.3">
      <c r="A91" s="54"/>
      <c r="B91" s="54" t="s">
        <v>142</v>
      </c>
      <c r="C91" s="57"/>
      <c r="D91" s="57">
        <f t="shared" ref="D91:AB91" si="35">IF(D90&gt;0,D90*$I$31,C92)</f>
        <v>0</v>
      </c>
      <c r="E91" s="57">
        <f t="shared" si="35"/>
        <v>0</v>
      </c>
      <c r="F91" s="57">
        <f t="shared" si="35"/>
        <v>0</v>
      </c>
      <c r="G91" s="57">
        <f t="shared" si="35"/>
        <v>0</v>
      </c>
      <c r="H91" s="57">
        <f t="shared" si="35"/>
        <v>0</v>
      </c>
      <c r="I91" s="57">
        <f t="shared" si="35"/>
        <v>0</v>
      </c>
      <c r="J91" s="57">
        <f t="shared" si="35"/>
        <v>0</v>
      </c>
      <c r="K91" s="57">
        <f t="shared" si="35"/>
        <v>0</v>
      </c>
      <c r="L91" s="57">
        <f t="shared" si="35"/>
        <v>0</v>
      </c>
      <c r="M91" s="57">
        <f t="shared" si="35"/>
        <v>0</v>
      </c>
      <c r="N91" s="57">
        <f t="shared" si="35"/>
        <v>0</v>
      </c>
      <c r="O91" s="57">
        <f t="shared" si="35"/>
        <v>0</v>
      </c>
      <c r="P91" s="57">
        <f t="shared" si="35"/>
        <v>0</v>
      </c>
      <c r="Q91" s="57">
        <f t="shared" si="35"/>
        <v>0</v>
      </c>
      <c r="R91" s="57">
        <f t="shared" si="35"/>
        <v>0</v>
      </c>
      <c r="S91" s="57">
        <f t="shared" si="35"/>
        <v>0</v>
      </c>
      <c r="T91" s="57">
        <f t="shared" si="35"/>
        <v>0</v>
      </c>
      <c r="U91" s="57">
        <f t="shared" si="35"/>
        <v>0</v>
      </c>
      <c r="V91" s="57">
        <f t="shared" si="35"/>
        <v>0</v>
      </c>
      <c r="W91" s="57">
        <f t="shared" si="35"/>
        <v>0</v>
      </c>
      <c r="X91" s="57">
        <f t="shared" si="35"/>
        <v>0</v>
      </c>
      <c r="Y91" s="57">
        <f t="shared" si="35"/>
        <v>0</v>
      </c>
      <c r="Z91" s="57">
        <f t="shared" si="35"/>
        <v>0</v>
      </c>
      <c r="AA91" s="57">
        <f t="shared" si="35"/>
        <v>0</v>
      </c>
      <c r="AB91" s="57">
        <f t="shared" si="35"/>
        <v>0</v>
      </c>
      <c r="AC91" s="57"/>
      <c r="AD91" s="57"/>
    </row>
    <row r="92" spans="1:30" x14ac:dyDescent="0.3">
      <c r="A92" s="54"/>
      <c r="B92" s="54" t="s">
        <v>143</v>
      </c>
      <c r="C92" s="57"/>
      <c r="D92" s="57">
        <f t="shared" ref="D92:AB92" si="36">D91-D89</f>
        <v>0</v>
      </c>
      <c r="E92" s="57">
        <f t="shared" si="36"/>
        <v>0</v>
      </c>
      <c r="F92" s="57">
        <f t="shared" si="36"/>
        <v>0</v>
      </c>
      <c r="G92" s="57">
        <f t="shared" si="36"/>
        <v>0</v>
      </c>
      <c r="H92" s="57">
        <f t="shared" si="36"/>
        <v>0</v>
      </c>
      <c r="I92" s="57">
        <f t="shared" si="36"/>
        <v>0</v>
      </c>
      <c r="J92" s="57">
        <f t="shared" si="36"/>
        <v>0</v>
      </c>
      <c r="K92" s="57">
        <f t="shared" si="36"/>
        <v>0</v>
      </c>
      <c r="L92" s="57">
        <f t="shared" si="36"/>
        <v>0</v>
      </c>
      <c r="M92" s="57">
        <f t="shared" si="36"/>
        <v>0</v>
      </c>
      <c r="N92" s="57">
        <f t="shared" si="36"/>
        <v>0</v>
      </c>
      <c r="O92" s="57">
        <f t="shared" si="36"/>
        <v>0</v>
      </c>
      <c r="P92" s="57">
        <f t="shared" si="36"/>
        <v>0</v>
      </c>
      <c r="Q92" s="57">
        <f t="shared" si="36"/>
        <v>0</v>
      </c>
      <c r="R92" s="57">
        <f t="shared" si="36"/>
        <v>0</v>
      </c>
      <c r="S92" s="57">
        <f t="shared" si="36"/>
        <v>0</v>
      </c>
      <c r="T92" s="57">
        <f t="shared" si="36"/>
        <v>0</v>
      </c>
      <c r="U92" s="57">
        <f t="shared" si="36"/>
        <v>0</v>
      </c>
      <c r="V92" s="57">
        <f t="shared" si="36"/>
        <v>0</v>
      </c>
      <c r="W92" s="57">
        <f t="shared" si="36"/>
        <v>0</v>
      </c>
      <c r="X92" s="57">
        <f t="shared" si="36"/>
        <v>0</v>
      </c>
      <c r="Y92" s="57">
        <f t="shared" si="36"/>
        <v>0</v>
      </c>
      <c r="Z92" s="57">
        <f t="shared" si="36"/>
        <v>0</v>
      </c>
      <c r="AA92" s="57">
        <f t="shared" si="36"/>
        <v>0</v>
      </c>
      <c r="AB92" s="57">
        <f t="shared" si="36"/>
        <v>0</v>
      </c>
      <c r="AC92" s="57"/>
      <c r="AD92" s="57"/>
    </row>
    <row r="93" spans="1:30" x14ac:dyDescent="0.3">
      <c r="A93" s="3"/>
      <c r="B93" s="3" t="s">
        <v>151</v>
      </c>
      <c r="C93" s="61"/>
      <c r="D93" s="61">
        <f t="shared" ref="D93:AB93" si="37">D66-D69</f>
        <v>3252.4592911886371</v>
      </c>
      <c r="E93" s="61">
        <f t="shared" si="37"/>
        <v>3351.2477296010106</v>
      </c>
      <c r="F93" s="61">
        <f t="shared" si="37"/>
        <v>3451.8563034768299</v>
      </c>
      <c r="G93" s="61">
        <f t="shared" si="37"/>
        <v>3877.3847933896818</v>
      </c>
      <c r="H93" s="61">
        <f t="shared" si="37"/>
        <v>3989.8086553350199</v>
      </c>
      <c r="I93" s="61">
        <f t="shared" si="37"/>
        <v>4104.3540325159393</v>
      </c>
      <c r="J93" s="61">
        <f t="shared" si="37"/>
        <v>4221.0602673222329</v>
      </c>
      <c r="K93" s="61">
        <f t="shared" si="37"/>
        <v>4339.9674135055557</v>
      </c>
      <c r="L93" s="61">
        <f t="shared" si="37"/>
        <v>4461.1162485535242</v>
      </c>
      <c r="M93" s="61">
        <f t="shared" si="37"/>
        <v>4584.5482862656881</v>
      </c>
      <c r="N93" s="61">
        <f t="shared" si="37"/>
        <v>5190.3057895341844</v>
      </c>
      <c r="O93" s="61">
        <f t="shared" si="37"/>
        <v>5318.4317833321165</v>
      </c>
      <c r="P93" s="61">
        <f t="shared" si="37"/>
        <v>5448.9700679125563</v>
      </c>
      <c r="Q93" s="61">
        <f t="shared" si="37"/>
        <v>5581.9652322211969</v>
      </c>
      <c r="R93" s="61">
        <f t="shared" si="37"/>
        <v>5717.4626675256986</v>
      </c>
      <c r="S93" s="61">
        <f t="shared" si="37"/>
        <v>5855.5085812647285</v>
      </c>
      <c r="T93" s="61">
        <f t="shared" si="37"/>
        <v>5996.1500111198693</v>
      </c>
      <c r="U93" s="61">
        <f t="shared" si="37"/>
        <v>6139.4348393134442</v>
      </c>
      <c r="V93" s="61">
        <f t="shared" si="37"/>
        <v>6285.4118071354333</v>
      </c>
      <c r="W93" s="61">
        <f t="shared" si="37"/>
        <v>6434.1305297026483</v>
      </c>
      <c r="X93" s="61">
        <f t="shared" si="37"/>
        <v>0</v>
      </c>
      <c r="Y93" s="61">
        <f t="shared" si="37"/>
        <v>0</v>
      </c>
      <c r="Z93" s="61">
        <f t="shared" si="37"/>
        <v>0</v>
      </c>
      <c r="AA93" s="61">
        <f t="shared" si="37"/>
        <v>0</v>
      </c>
      <c r="AB93" s="61">
        <f t="shared" si="37"/>
        <v>0</v>
      </c>
      <c r="AC93" s="61"/>
      <c r="AD93" s="61"/>
    </row>
    <row r="94" spans="1:30" x14ac:dyDescent="0.3">
      <c r="A94" s="59"/>
      <c r="B94" s="59" t="s">
        <v>152</v>
      </c>
      <c r="C94" s="60"/>
      <c r="D94" s="60">
        <f>D93</f>
        <v>3252.4592911886371</v>
      </c>
      <c r="E94" s="60">
        <f t="shared" ref="E94:AB94" si="38">(D94+E93)*(E42&lt;=$C$19)</f>
        <v>6603.7070207896477</v>
      </c>
      <c r="F94" s="60">
        <f t="shared" si="38"/>
        <v>10055.563324266477</v>
      </c>
      <c r="G94" s="60">
        <f t="shared" si="38"/>
        <v>13932.948117656159</v>
      </c>
      <c r="H94" s="60">
        <f t="shared" si="38"/>
        <v>17922.756772991179</v>
      </c>
      <c r="I94" s="60">
        <f t="shared" si="38"/>
        <v>22027.110805507116</v>
      </c>
      <c r="J94" s="60">
        <f t="shared" si="38"/>
        <v>26248.171072829347</v>
      </c>
      <c r="K94" s="60">
        <f t="shared" si="38"/>
        <v>30588.138486334901</v>
      </c>
      <c r="L94" s="60">
        <f t="shared" si="38"/>
        <v>35049.254734888425</v>
      </c>
      <c r="M94" s="60">
        <f t="shared" si="38"/>
        <v>39633.803021154112</v>
      </c>
      <c r="N94" s="60">
        <f t="shared" si="38"/>
        <v>44824.108810688296</v>
      </c>
      <c r="O94" s="60">
        <f t="shared" si="38"/>
        <v>50142.540594020415</v>
      </c>
      <c r="P94" s="60">
        <f t="shared" si="38"/>
        <v>55591.510661932974</v>
      </c>
      <c r="Q94" s="60">
        <f t="shared" si="38"/>
        <v>61173.475894154173</v>
      </c>
      <c r="R94" s="60">
        <f t="shared" si="38"/>
        <v>66890.938561679868</v>
      </c>
      <c r="S94" s="60">
        <f t="shared" si="38"/>
        <v>72746.447142944598</v>
      </c>
      <c r="T94" s="60">
        <f t="shared" si="38"/>
        <v>78742.597154064468</v>
      </c>
      <c r="U94" s="60">
        <f t="shared" si="38"/>
        <v>84882.03199337791</v>
      </c>
      <c r="V94" s="60">
        <f t="shared" si="38"/>
        <v>91167.443800513342</v>
      </c>
      <c r="W94" s="60">
        <f t="shared" si="38"/>
        <v>97601.574330215983</v>
      </c>
      <c r="X94" s="60">
        <f t="shared" si="38"/>
        <v>0</v>
      </c>
      <c r="Y94" s="60">
        <f t="shared" si="38"/>
        <v>0</v>
      </c>
      <c r="Z94" s="60">
        <f t="shared" si="38"/>
        <v>0</v>
      </c>
      <c r="AA94" s="60">
        <f t="shared" si="38"/>
        <v>0</v>
      </c>
      <c r="AB94" s="60">
        <f t="shared" si="38"/>
        <v>0</v>
      </c>
      <c r="AC94" s="60"/>
      <c r="AD94" s="60"/>
    </row>
    <row r="95" spans="1:30" x14ac:dyDescent="0.3">
      <c r="A95" s="59"/>
      <c r="B95" s="59" t="s">
        <v>153</v>
      </c>
      <c r="C95" s="60"/>
      <c r="D95" s="60">
        <f t="shared" ref="D95:AB95" si="39">IF((C94+D93)&lt;0,0,(D93+MIN(0,C94))*$H$32)</f>
        <v>813.11482279715926</v>
      </c>
      <c r="E95" s="60">
        <f t="shared" si="39"/>
        <v>837.81193240025266</v>
      </c>
      <c r="F95" s="60">
        <f t="shared" si="39"/>
        <v>862.96407586920748</v>
      </c>
      <c r="G95" s="60">
        <f t="shared" si="39"/>
        <v>969.34619834742045</v>
      </c>
      <c r="H95" s="60">
        <f t="shared" si="39"/>
        <v>997.45216383375498</v>
      </c>
      <c r="I95" s="60">
        <f t="shared" si="39"/>
        <v>1026.0885081289848</v>
      </c>
      <c r="J95" s="60">
        <f t="shared" si="39"/>
        <v>1055.2650668305582</v>
      </c>
      <c r="K95" s="60">
        <f t="shared" si="39"/>
        <v>1084.9918533763889</v>
      </c>
      <c r="L95" s="60">
        <f t="shared" si="39"/>
        <v>1115.2790621383811</v>
      </c>
      <c r="M95" s="60">
        <f t="shared" si="39"/>
        <v>1146.137071566422</v>
      </c>
      <c r="N95" s="60">
        <f t="shared" si="39"/>
        <v>1297.5764473835461</v>
      </c>
      <c r="O95" s="60">
        <f t="shared" si="39"/>
        <v>1329.6079458330291</v>
      </c>
      <c r="P95" s="60">
        <f t="shared" si="39"/>
        <v>1362.2425169781391</v>
      </c>
      <c r="Q95" s="60">
        <f t="shared" si="39"/>
        <v>1395.4913080552992</v>
      </c>
      <c r="R95" s="60">
        <f t="shared" si="39"/>
        <v>1429.3656668814247</v>
      </c>
      <c r="S95" s="60">
        <f t="shared" si="39"/>
        <v>1463.8771453161821</v>
      </c>
      <c r="T95" s="60">
        <f t="shared" si="39"/>
        <v>1499.0375027799673</v>
      </c>
      <c r="U95" s="60">
        <f t="shared" si="39"/>
        <v>1534.858709828361</v>
      </c>
      <c r="V95" s="60">
        <f t="shared" si="39"/>
        <v>1571.3529517838583</v>
      </c>
      <c r="W95" s="60">
        <f t="shared" si="39"/>
        <v>1608.5326324256621</v>
      </c>
      <c r="X95" s="60">
        <f t="shared" si="39"/>
        <v>0</v>
      </c>
      <c r="Y95" s="60">
        <f t="shared" si="39"/>
        <v>0</v>
      </c>
      <c r="Z95" s="60">
        <f t="shared" si="39"/>
        <v>0</v>
      </c>
      <c r="AA95" s="60">
        <f t="shared" si="39"/>
        <v>0</v>
      </c>
      <c r="AB95" s="60">
        <f t="shared" si="39"/>
        <v>0</v>
      </c>
      <c r="AC95" s="60"/>
      <c r="AD95" s="60"/>
    </row>
    <row r="96" spans="1:30" x14ac:dyDescent="0.3">
      <c r="C96" s="52"/>
      <c r="D96" s="52">
        <f t="shared" ref="D96:AB96" si="40">IF(ISERR(D93/D52),"n/a",D93/D52)</f>
        <v>0.51001534419497463</v>
      </c>
      <c r="E96" s="52">
        <f t="shared" si="40"/>
        <v>0.51526537493327063</v>
      </c>
      <c r="F96" s="52">
        <f t="shared" si="40"/>
        <v>0.52039149356164238</v>
      </c>
      <c r="G96" s="52">
        <f t="shared" si="40"/>
        <v>0.57315150506691392</v>
      </c>
      <c r="H96" s="52">
        <f t="shared" si="40"/>
        <v>0.57827665000162554</v>
      </c>
      <c r="I96" s="52">
        <f t="shared" si="40"/>
        <v>0.5832858717956606</v>
      </c>
      <c r="J96" s="52">
        <f t="shared" si="40"/>
        <v>0.58818134888947116</v>
      </c>
      <c r="K96" s="52">
        <f t="shared" si="40"/>
        <v>0.59296521686556358</v>
      </c>
      <c r="L96" s="52">
        <f t="shared" si="40"/>
        <v>0.59763956928166351</v>
      </c>
      <c r="M96" s="52">
        <f t="shared" si="40"/>
        <v>0.60220645848763699</v>
      </c>
      <c r="N96" s="52">
        <f t="shared" si="40"/>
        <v>0.66848991038823069</v>
      </c>
      <c r="O96" s="52">
        <f t="shared" si="40"/>
        <v>0.67164310161333085</v>
      </c>
      <c r="P96" s="52">
        <f t="shared" si="40"/>
        <v>0.67471822549435934</v>
      </c>
      <c r="Q96" s="52">
        <f t="shared" si="40"/>
        <v>0.67771671987057835</v>
      </c>
      <c r="R96" s="52">
        <f t="shared" si="40"/>
        <v>0.68063999414143661</v>
      </c>
      <c r="S96" s="52">
        <f t="shared" si="40"/>
        <v>0.68348942981868377</v>
      </c>
      <c r="T96" s="52">
        <f t="shared" si="40"/>
        <v>0.68626638106772031</v>
      </c>
      <c r="U96" s="52">
        <f t="shared" si="40"/>
        <v>0.68897217523838228</v>
      </c>
      <c r="V96" s="52">
        <f t="shared" si="40"/>
        <v>0.69160811338537587</v>
      </c>
      <c r="W96" s="52">
        <f t="shared" si="40"/>
        <v>0.69417547077855413</v>
      </c>
      <c r="X96" s="52" t="str">
        <f t="shared" si="40"/>
        <v>n/a</v>
      </c>
      <c r="Y96" s="52" t="str">
        <f t="shared" si="40"/>
        <v>n/a</v>
      </c>
      <c r="Z96" s="52" t="str">
        <f t="shared" si="40"/>
        <v>n/a</v>
      </c>
      <c r="AA96" s="52" t="str">
        <f t="shared" si="40"/>
        <v>n/a</v>
      </c>
      <c r="AB96" s="52" t="str">
        <f t="shared" si="40"/>
        <v>n/a</v>
      </c>
      <c r="AC96" s="52"/>
      <c r="AD96" s="52"/>
    </row>
    <row r="98" spans="1:30" x14ac:dyDescent="0.3">
      <c r="A98" s="151"/>
      <c r="B98" s="151" t="s">
        <v>154</v>
      </c>
      <c r="C98" s="151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</row>
    <row r="99" spans="1:30" x14ac:dyDescent="0.3">
      <c r="B99" t="s">
        <v>155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</row>
    <row r="100" spans="1:30" x14ac:dyDescent="0.3">
      <c r="A100" s="3"/>
      <c r="B100" s="3" t="s">
        <v>156</v>
      </c>
      <c r="C100" s="3"/>
      <c r="D100" s="61">
        <f t="shared" ref="D100:AB100" si="41">D93-D98+D99</f>
        <v>3252.4592911886371</v>
      </c>
      <c r="E100" s="61">
        <f t="shared" si="41"/>
        <v>3351.2477296010106</v>
      </c>
      <c r="F100" s="61">
        <f t="shared" si="41"/>
        <v>3451.8563034768299</v>
      </c>
      <c r="G100" s="61">
        <f t="shared" si="41"/>
        <v>3877.3847933896818</v>
      </c>
      <c r="H100" s="61">
        <f t="shared" si="41"/>
        <v>3989.8086553350199</v>
      </c>
      <c r="I100" s="61">
        <f t="shared" si="41"/>
        <v>4104.3540325159393</v>
      </c>
      <c r="J100" s="61">
        <f t="shared" si="41"/>
        <v>4221.0602673222329</v>
      </c>
      <c r="K100" s="61">
        <f t="shared" si="41"/>
        <v>4339.9674135055557</v>
      </c>
      <c r="L100" s="61">
        <f t="shared" si="41"/>
        <v>4461.1162485535242</v>
      </c>
      <c r="M100" s="61">
        <f t="shared" si="41"/>
        <v>4584.5482862656881</v>
      </c>
      <c r="N100" s="61">
        <f t="shared" si="41"/>
        <v>5190.3057895341844</v>
      </c>
      <c r="O100" s="61">
        <f t="shared" si="41"/>
        <v>5318.4317833321165</v>
      </c>
      <c r="P100" s="61">
        <f t="shared" si="41"/>
        <v>5448.9700679125563</v>
      </c>
      <c r="Q100" s="61">
        <f t="shared" si="41"/>
        <v>5581.9652322211969</v>
      </c>
      <c r="R100" s="61">
        <f t="shared" si="41"/>
        <v>5717.4626675256986</v>
      </c>
      <c r="S100" s="61">
        <f t="shared" si="41"/>
        <v>5855.5085812647285</v>
      </c>
      <c r="T100" s="61">
        <f t="shared" si="41"/>
        <v>5996.1500111198693</v>
      </c>
      <c r="U100" s="61">
        <f t="shared" si="41"/>
        <v>6139.4348393134442</v>
      </c>
      <c r="V100" s="61">
        <f t="shared" si="41"/>
        <v>6285.4118071354333</v>
      </c>
      <c r="W100" s="61">
        <f t="shared" si="41"/>
        <v>6434.1305297026483</v>
      </c>
      <c r="X100" s="61">
        <f t="shared" si="41"/>
        <v>0</v>
      </c>
      <c r="Y100" s="61">
        <f t="shared" si="41"/>
        <v>0</v>
      </c>
      <c r="Z100" s="61">
        <f t="shared" si="41"/>
        <v>0</v>
      </c>
      <c r="AA100" s="61">
        <f t="shared" si="41"/>
        <v>0</v>
      </c>
      <c r="AB100" s="61">
        <f t="shared" si="41"/>
        <v>0</v>
      </c>
      <c r="AC100" s="61"/>
      <c r="AD100" s="61"/>
    </row>
    <row r="101" spans="1:30" x14ac:dyDescent="0.3">
      <c r="A101" s="3"/>
      <c r="B101" s="3" t="s">
        <v>157</v>
      </c>
      <c r="C101" s="3"/>
      <c r="D101" s="61">
        <f t="shared" ref="D101:AB101" si="42">D66-D82-D98+D99</f>
        <v>1726.059291188637</v>
      </c>
      <c r="E101" s="61">
        <f t="shared" si="42"/>
        <v>1824.8477296010105</v>
      </c>
      <c r="F101" s="61">
        <f t="shared" si="42"/>
        <v>1925.4563034768298</v>
      </c>
      <c r="G101" s="61">
        <f t="shared" si="42"/>
        <v>2350.9847933896817</v>
      </c>
      <c r="H101" s="61">
        <f t="shared" si="42"/>
        <v>2463.4086553350198</v>
      </c>
      <c r="I101" s="61">
        <f t="shared" si="42"/>
        <v>2577.9540325159387</v>
      </c>
      <c r="J101" s="61">
        <f t="shared" si="42"/>
        <v>2694.6602673222333</v>
      </c>
      <c r="K101" s="61">
        <f t="shared" si="42"/>
        <v>2813.5674135055551</v>
      </c>
      <c r="L101" s="61">
        <f t="shared" si="42"/>
        <v>2934.7162485535237</v>
      </c>
      <c r="M101" s="61">
        <f t="shared" si="42"/>
        <v>3058.1482862656876</v>
      </c>
      <c r="N101" s="61">
        <f t="shared" si="42"/>
        <v>3663.9057895341839</v>
      </c>
      <c r="O101" s="61">
        <f t="shared" si="42"/>
        <v>3792.0317833321169</v>
      </c>
      <c r="P101" s="61">
        <f t="shared" si="42"/>
        <v>5448.9700679125535</v>
      </c>
      <c r="Q101" s="61">
        <f t="shared" si="42"/>
        <v>7108.3652322211974</v>
      </c>
      <c r="R101" s="61">
        <f t="shared" si="42"/>
        <v>7243.8626675256983</v>
      </c>
      <c r="S101" s="61">
        <f t="shared" si="42"/>
        <v>7381.9085812647281</v>
      </c>
      <c r="T101" s="61">
        <f t="shared" si="42"/>
        <v>7522.5500111198689</v>
      </c>
      <c r="U101" s="61">
        <f t="shared" si="42"/>
        <v>7665.8348393134447</v>
      </c>
      <c r="V101" s="61">
        <f t="shared" si="42"/>
        <v>7811.8118071354329</v>
      </c>
      <c r="W101" s="61">
        <f t="shared" si="42"/>
        <v>7960.5305297026489</v>
      </c>
      <c r="X101" s="61">
        <f t="shared" si="42"/>
        <v>0</v>
      </c>
      <c r="Y101" s="61">
        <f t="shared" si="42"/>
        <v>0</v>
      </c>
      <c r="Z101" s="61">
        <f t="shared" si="42"/>
        <v>0</v>
      </c>
      <c r="AA101" s="61">
        <f t="shared" si="42"/>
        <v>0</v>
      </c>
      <c r="AB101" s="61">
        <f t="shared" si="42"/>
        <v>0</v>
      </c>
      <c r="AC101" s="61"/>
      <c r="AD101" s="61"/>
    </row>
    <row r="102" spans="1:30" x14ac:dyDescent="0.3">
      <c r="B102" t="s">
        <v>158</v>
      </c>
      <c r="C102" s="42"/>
      <c r="D102" s="42">
        <f t="shared" ref="D102:AB102" si="43">IF((C104+D101)&lt;0,0,MAX(0,(D101+(MIN(0,C104)))*$H$32))</f>
        <v>431.51482279715924</v>
      </c>
      <c r="E102" s="42">
        <f t="shared" si="43"/>
        <v>456.21193240025264</v>
      </c>
      <c r="F102" s="42">
        <f t="shared" si="43"/>
        <v>481.36407586920745</v>
      </c>
      <c r="G102" s="42">
        <f t="shared" si="43"/>
        <v>587.74619834742043</v>
      </c>
      <c r="H102" s="42">
        <f t="shared" si="43"/>
        <v>615.85216383375496</v>
      </c>
      <c r="I102" s="42">
        <f t="shared" si="43"/>
        <v>644.48850812898468</v>
      </c>
      <c r="J102" s="42">
        <f t="shared" si="43"/>
        <v>673.66506683055832</v>
      </c>
      <c r="K102" s="42">
        <f t="shared" si="43"/>
        <v>703.39185337638878</v>
      </c>
      <c r="L102" s="42">
        <f t="shared" si="43"/>
        <v>733.67906213838091</v>
      </c>
      <c r="M102" s="42">
        <f t="shared" si="43"/>
        <v>764.5370715664219</v>
      </c>
      <c r="N102" s="42">
        <f t="shared" si="43"/>
        <v>915.97644738354597</v>
      </c>
      <c r="O102" s="42">
        <f t="shared" si="43"/>
        <v>948.00794583302923</v>
      </c>
      <c r="P102" s="42">
        <f t="shared" si="43"/>
        <v>1362.2425169781384</v>
      </c>
      <c r="Q102" s="42">
        <f t="shared" si="43"/>
        <v>1777.0913080552994</v>
      </c>
      <c r="R102" s="42">
        <f t="shared" si="43"/>
        <v>1810.9656668814246</v>
      </c>
      <c r="S102" s="42">
        <f t="shared" si="43"/>
        <v>1845.477145316182</v>
      </c>
      <c r="T102" s="42">
        <f t="shared" si="43"/>
        <v>1880.6375027799672</v>
      </c>
      <c r="U102" s="42">
        <f t="shared" si="43"/>
        <v>1916.4587098283612</v>
      </c>
      <c r="V102" s="42">
        <f t="shared" si="43"/>
        <v>1952.9529517838582</v>
      </c>
      <c r="W102" s="42">
        <f t="shared" si="43"/>
        <v>1990.1326324256622</v>
      </c>
      <c r="X102" s="42">
        <f t="shared" si="43"/>
        <v>0</v>
      </c>
      <c r="Y102" s="42">
        <f t="shared" si="43"/>
        <v>0</v>
      </c>
      <c r="Z102" s="42">
        <f t="shared" si="43"/>
        <v>0</v>
      </c>
      <c r="AA102" s="42">
        <f t="shared" si="43"/>
        <v>0</v>
      </c>
      <c r="AB102" s="42">
        <f t="shared" si="43"/>
        <v>0</v>
      </c>
      <c r="AC102" s="42"/>
      <c r="AD102" s="42"/>
    </row>
    <row r="103" spans="1:30" x14ac:dyDescent="0.3">
      <c r="A103" s="62"/>
      <c r="B103" s="62" t="s">
        <v>159</v>
      </c>
      <c r="C103" s="63"/>
      <c r="D103" s="63">
        <f t="shared" ref="D103:AB103" si="44">D101-D102</f>
        <v>1294.5444683914777</v>
      </c>
      <c r="E103" s="63">
        <f t="shared" si="44"/>
        <v>1368.6357972007579</v>
      </c>
      <c r="F103" s="63">
        <f t="shared" si="44"/>
        <v>1444.0922276076224</v>
      </c>
      <c r="G103" s="63">
        <f t="shared" si="44"/>
        <v>1763.2385950422613</v>
      </c>
      <c r="H103" s="63">
        <f t="shared" si="44"/>
        <v>1847.5564915012649</v>
      </c>
      <c r="I103" s="63">
        <f t="shared" si="44"/>
        <v>1933.465524386954</v>
      </c>
      <c r="J103" s="63">
        <f t="shared" si="44"/>
        <v>2020.995200491675</v>
      </c>
      <c r="K103" s="63">
        <f t="shared" si="44"/>
        <v>2110.1755601291661</v>
      </c>
      <c r="L103" s="63">
        <f t="shared" si="44"/>
        <v>2201.037186415143</v>
      </c>
      <c r="M103" s="63">
        <f t="shared" si="44"/>
        <v>2293.6112146992655</v>
      </c>
      <c r="N103" s="63">
        <f t="shared" si="44"/>
        <v>2747.9293421506381</v>
      </c>
      <c r="O103" s="63">
        <f t="shared" si="44"/>
        <v>2844.0238374990877</v>
      </c>
      <c r="P103" s="63">
        <f t="shared" si="44"/>
        <v>4086.7275509344154</v>
      </c>
      <c r="Q103" s="63">
        <f t="shared" si="44"/>
        <v>5331.2739241658983</v>
      </c>
      <c r="R103" s="63">
        <f t="shared" si="44"/>
        <v>5432.8970006442742</v>
      </c>
      <c r="S103" s="63">
        <f t="shared" si="44"/>
        <v>5536.4314359485461</v>
      </c>
      <c r="T103" s="63">
        <f t="shared" si="44"/>
        <v>5641.9125083399013</v>
      </c>
      <c r="U103" s="63">
        <f t="shared" si="44"/>
        <v>5749.3761294850838</v>
      </c>
      <c r="V103" s="63">
        <f t="shared" si="44"/>
        <v>5858.8588553515747</v>
      </c>
      <c r="W103" s="63">
        <f t="shared" si="44"/>
        <v>5970.3978972769864</v>
      </c>
      <c r="X103" s="63">
        <f t="shared" si="44"/>
        <v>0</v>
      </c>
      <c r="Y103" s="63">
        <f t="shared" si="44"/>
        <v>0</v>
      </c>
      <c r="Z103" s="63">
        <f t="shared" si="44"/>
        <v>0</v>
      </c>
      <c r="AA103" s="63">
        <f t="shared" si="44"/>
        <v>0</v>
      </c>
      <c r="AB103" s="63">
        <f t="shared" si="44"/>
        <v>0</v>
      </c>
      <c r="AC103" s="63"/>
      <c r="AD103" s="63"/>
    </row>
    <row r="104" spans="1:30" x14ac:dyDescent="0.3">
      <c r="A104" s="62"/>
      <c r="B104" s="62" t="s">
        <v>160</v>
      </c>
      <c r="C104" s="63">
        <v>0</v>
      </c>
      <c r="D104" s="64">
        <f>D103</f>
        <v>1294.5444683914777</v>
      </c>
      <c r="E104" s="64">
        <f t="shared" ref="E104:AB104" si="45">(D104+E103)*(E42&lt;=$C$19)</f>
        <v>2663.1802655922356</v>
      </c>
      <c r="F104" s="64">
        <f t="shared" si="45"/>
        <v>4107.2724931998582</v>
      </c>
      <c r="G104" s="64">
        <f t="shared" si="45"/>
        <v>5870.5110882421195</v>
      </c>
      <c r="H104" s="64">
        <f t="shared" si="45"/>
        <v>7718.0675797433842</v>
      </c>
      <c r="I104" s="64">
        <f t="shared" si="45"/>
        <v>9651.533104130338</v>
      </c>
      <c r="J104" s="64">
        <f t="shared" si="45"/>
        <v>11672.528304622014</v>
      </c>
      <c r="K104" s="64">
        <f t="shared" si="45"/>
        <v>13782.70386475118</v>
      </c>
      <c r="L104" s="64">
        <f t="shared" si="45"/>
        <v>15983.741051166322</v>
      </c>
      <c r="M104" s="64">
        <f t="shared" si="45"/>
        <v>18277.352265865586</v>
      </c>
      <c r="N104" s="64">
        <f t="shared" si="45"/>
        <v>21025.281608016223</v>
      </c>
      <c r="O104" s="64">
        <f t="shared" si="45"/>
        <v>23869.305445515311</v>
      </c>
      <c r="P104" s="64">
        <f t="shared" si="45"/>
        <v>27956.032996449725</v>
      </c>
      <c r="Q104" s="64">
        <f t="shared" si="45"/>
        <v>33287.306920615621</v>
      </c>
      <c r="R104" s="64">
        <f t="shared" si="45"/>
        <v>38720.203921259897</v>
      </c>
      <c r="S104" s="64">
        <f t="shared" si="45"/>
        <v>44256.635357208441</v>
      </c>
      <c r="T104" s="64">
        <f t="shared" si="45"/>
        <v>49898.547865548346</v>
      </c>
      <c r="U104" s="64">
        <f t="shared" si="45"/>
        <v>55647.92399503343</v>
      </c>
      <c r="V104" s="64">
        <f t="shared" si="45"/>
        <v>61506.782850385003</v>
      </c>
      <c r="W104" s="64">
        <f t="shared" si="45"/>
        <v>67477.180747661987</v>
      </c>
      <c r="X104" s="64">
        <f t="shared" si="45"/>
        <v>0</v>
      </c>
      <c r="Y104" s="64">
        <f t="shared" si="45"/>
        <v>0</v>
      </c>
      <c r="Z104" s="64">
        <f t="shared" si="45"/>
        <v>0</v>
      </c>
      <c r="AA104" s="64">
        <f t="shared" si="45"/>
        <v>0</v>
      </c>
      <c r="AB104" s="64">
        <f t="shared" si="45"/>
        <v>0</v>
      </c>
      <c r="AC104" s="64"/>
      <c r="AD104" s="64"/>
    </row>
    <row r="105" spans="1:30" x14ac:dyDescent="0.3">
      <c r="A105" s="62"/>
      <c r="B105" s="62" t="s">
        <v>161</v>
      </c>
      <c r="C105" s="63"/>
      <c r="D105" s="64">
        <f t="shared" ref="D105:AB105" si="46">D101+D98</f>
        <v>1726.059291188637</v>
      </c>
      <c r="E105" s="64">
        <f t="shared" si="46"/>
        <v>1824.8477296010105</v>
      </c>
      <c r="F105" s="64">
        <f t="shared" si="46"/>
        <v>1925.4563034768298</v>
      </c>
      <c r="G105" s="64">
        <f t="shared" si="46"/>
        <v>2350.9847933896817</v>
      </c>
      <c r="H105" s="64">
        <f t="shared" si="46"/>
        <v>2463.4086553350198</v>
      </c>
      <c r="I105" s="64">
        <f t="shared" si="46"/>
        <v>2577.9540325159387</v>
      </c>
      <c r="J105" s="64">
        <f t="shared" si="46"/>
        <v>2694.6602673222333</v>
      </c>
      <c r="K105" s="64">
        <f t="shared" si="46"/>
        <v>2813.5674135055551</v>
      </c>
      <c r="L105" s="64">
        <f t="shared" si="46"/>
        <v>2934.7162485535237</v>
      </c>
      <c r="M105" s="64">
        <f t="shared" si="46"/>
        <v>3058.1482862656876</v>
      </c>
      <c r="N105" s="64">
        <f t="shared" si="46"/>
        <v>3663.9057895341839</v>
      </c>
      <c r="O105" s="64">
        <f t="shared" si="46"/>
        <v>3792.0317833321169</v>
      </c>
      <c r="P105" s="64">
        <f t="shared" si="46"/>
        <v>5448.9700679125535</v>
      </c>
      <c r="Q105" s="64">
        <f t="shared" si="46"/>
        <v>7108.3652322211974</v>
      </c>
      <c r="R105" s="64">
        <f t="shared" si="46"/>
        <v>7243.8626675256983</v>
      </c>
      <c r="S105" s="64">
        <f t="shared" si="46"/>
        <v>7381.9085812647281</v>
      </c>
      <c r="T105" s="64">
        <f t="shared" si="46"/>
        <v>7522.5500111198689</v>
      </c>
      <c r="U105" s="64">
        <f t="shared" si="46"/>
        <v>7665.8348393134447</v>
      </c>
      <c r="V105" s="64">
        <f t="shared" si="46"/>
        <v>7811.8118071354329</v>
      </c>
      <c r="W105" s="64">
        <f t="shared" si="46"/>
        <v>7960.5305297026489</v>
      </c>
      <c r="X105" s="64">
        <f t="shared" si="46"/>
        <v>0</v>
      </c>
      <c r="Y105" s="64">
        <f t="shared" si="46"/>
        <v>0</v>
      </c>
      <c r="Z105" s="64">
        <f t="shared" si="46"/>
        <v>0</v>
      </c>
      <c r="AA105" s="64">
        <f t="shared" si="46"/>
        <v>0</v>
      </c>
      <c r="AB105" s="64">
        <f t="shared" si="46"/>
        <v>0</v>
      </c>
      <c r="AC105" s="64"/>
      <c r="AD105" s="64"/>
    </row>
    <row r="106" spans="1:30" x14ac:dyDescent="0.3">
      <c r="A106" s="62"/>
      <c r="B106" s="62" t="s">
        <v>162</v>
      </c>
      <c r="C106" s="63"/>
      <c r="D106" s="63">
        <f t="shared" ref="D106:AB106" si="47">IF((C108+D105)&lt;0,0,MAX(0,(D105+(MIN(0,C108)))*$H$32))</f>
        <v>431.51482279715924</v>
      </c>
      <c r="E106" s="63">
        <f t="shared" si="47"/>
        <v>456.21193240025264</v>
      </c>
      <c r="F106" s="63">
        <f t="shared" si="47"/>
        <v>481.36407586920745</v>
      </c>
      <c r="G106" s="63">
        <f t="shared" si="47"/>
        <v>587.74619834742043</v>
      </c>
      <c r="H106" s="63">
        <f t="shared" si="47"/>
        <v>615.85216383375496</v>
      </c>
      <c r="I106" s="63">
        <f t="shared" si="47"/>
        <v>644.48850812898468</v>
      </c>
      <c r="J106" s="63">
        <f t="shared" si="47"/>
        <v>673.66506683055832</v>
      </c>
      <c r="K106" s="63">
        <f t="shared" si="47"/>
        <v>703.39185337638878</v>
      </c>
      <c r="L106" s="63">
        <f t="shared" si="47"/>
        <v>733.67906213838091</v>
      </c>
      <c r="M106" s="63">
        <f t="shared" si="47"/>
        <v>764.5370715664219</v>
      </c>
      <c r="N106" s="63">
        <f t="shared" si="47"/>
        <v>915.97644738354597</v>
      </c>
      <c r="O106" s="63">
        <f t="shared" si="47"/>
        <v>948.00794583302923</v>
      </c>
      <c r="P106" s="63">
        <f t="shared" si="47"/>
        <v>1362.2425169781384</v>
      </c>
      <c r="Q106" s="63">
        <f t="shared" si="47"/>
        <v>1777.0913080552994</v>
      </c>
      <c r="R106" s="63">
        <f t="shared" si="47"/>
        <v>1810.9656668814246</v>
      </c>
      <c r="S106" s="63">
        <f t="shared" si="47"/>
        <v>1845.477145316182</v>
      </c>
      <c r="T106" s="63">
        <f t="shared" si="47"/>
        <v>1880.6375027799672</v>
      </c>
      <c r="U106" s="63">
        <f t="shared" si="47"/>
        <v>1916.4587098283612</v>
      </c>
      <c r="V106" s="63">
        <f t="shared" si="47"/>
        <v>1952.9529517838582</v>
      </c>
      <c r="W106" s="63">
        <f t="shared" si="47"/>
        <v>1990.1326324256622</v>
      </c>
      <c r="X106" s="63">
        <f t="shared" si="47"/>
        <v>0</v>
      </c>
      <c r="Y106" s="63">
        <f t="shared" si="47"/>
        <v>0</v>
      </c>
      <c r="Z106" s="63">
        <f t="shared" si="47"/>
        <v>0</v>
      </c>
      <c r="AA106" s="63">
        <f t="shared" si="47"/>
        <v>0</v>
      </c>
      <c r="AB106" s="63">
        <f t="shared" si="47"/>
        <v>0</v>
      </c>
      <c r="AC106" s="63"/>
      <c r="AD106" s="63"/>
    </row>
    <row r="107" spans="1:30" x14ac:dyDescent="0.3">
      <c r="A107" s="62"/>
      <c r="B107" s="62" t="s">
        <v>163</v>
      </c>
      <c r="C107" s="63"/>
      <c r="D107" s="63">
        <f t="shared" ref="D107:AB107" si="48">D105-D106</f>
        <v>1294.5444683914777</v>
      </c>
      <c r="E107" s="63">
        <f t="shared" si="48"/>
        <v>1368.6357972007579</v>
      </c>
      <c r="F107" s="63">
        <f t="shared" si="48"/>
        <v>1444.0922276076224</v>
      </c>
      <c r="G107" s="63">
        <f t="shared" si="48"/>
        <v>1763.2385950422613</v>
      </c>
      <c r="H107" s="63">
        <f t="shared" si="48"/>
        <v>1847.5564915012649</v>
      </c>
      <c r="I107" s="63">
        <f t="shared" si="48"/>
        <v>1933.465524386954</v>
      </c>
      <c r="J107" s="63">
        <f t="shared" si="48"/>
        <v>2020.995200491675</v>
      </c>
      <c r="K107" s="63">
        <f t="shared" si="48"/>
        <v>2110.1755601291661</v>
      </c>
      <c r="L107" s="63">
        <f t="shared" si="48"/>
        <v>2201.037186415143</v>
      </c>
      <c r="M107" s="63">
        <f t="shared" si="48"/>
        <v>2293.6112146992655</v>
      </c>
      <c r="N107" s="63">
        <f t="shared" si="48"/>
        <v>2747.9293421506381</v>
      </c>
      <c r="O107" s="63">
        <f t="shared" si="48"/>
        <v>2844.0238374990877</v>
      </c>
      <c r="P107" s="63">
        <f t="shared" si="48"/>
        <v>4086.7275509344154</v>
      </c>
      <c r="Q107" s="63">
        <f t="shared" si="48"/>
        <v>5331.2739241658983</v>
      </c>
      <c r="R107" s="63">
        <f t="shared" si="48"/>
        <v>5432.8970006442742</v>
      </c>
      <c r="S107" s="63">
        <f t="shared" si="48"/>
        <v>5536.4314359485461</v>
      </c>
      <c r="T107" s="63">
        <f t="shared" si="48"/>
        <v>5641.9125083399013</v>
      </c>
      <c r="U107" s="63">
        <f t="shared" si="48"/>
        <v>5749.3761294850838</v>
      </c>
      <c r="V107" s="63">
        <f t="shared" si="48"/>
        <v>5858.8588553515747</v>
      </c>
      <c r="W107" s="63">
        <f t="shared" si="48"/>
        <v>5970.3978972769864</v>
      </c>
      <c r="X107" s="63">
        <f t="shared" si="48"/>
        <v>0</v>
      </c>
      <c r="Y107" s="63">
        <f t="shared" si="48"/>
        <v>0</v>
      </c>
      <c r="Z107" s="63">
        <f t="shared" si="48"/>
        <v>0</v>
      </c>
      <c r="AA107" s="63">
        <f t="shared" si="48"/>
        <v>0</v>
      </c>
      <c r="AB107" s="63">
        <f t="shared" si="48"/>
        <v>0</v>
      </c>
      <c r="AC107" s="63"/>
      <c r="AD107" s="63"/>
    </row>
    <row r="108" spans="1:30" x14ac:dyDescent="0.3">
      <c r="A108" s="62"/>
      <c r="B108" s="62" t="s">
        <v>164</v>
      </c>
      <c r="C108" s="63"/>
      <c r="D108" s="64">
        <f>D107</f>
        <v>1294.5444683914777</v>
      </c>
      <c r="E108" s="64">
        <f t="shared" ref="E108:AB108" si="49">(D108+E107)*(E42&lt;=$C$19)</f>
        <v>2663.1802655922356</v>
      </c>
      <c r="F108" s="64">
        <f t="shared" si="49"/>
        <v>4107.2724931998582</v>
      </c>
      <c r="G108" s="64">
        <f t="shared" si="49"/>
        <v>5870.5110882421195</v>
      </c>
      <c r="H108" s="64">
        <f t="shared" si="49"/>
        <v>7718.0675797433842</v>
      </c>
      <c r="I108" s="64">
        <f t="shared" si="49"/>
        <v>9651.533104130338</v>
      </c>
      <c r="J108" s="64">
        <f t="shared" si="49"/>
        <v>11672.528304622014</v>
      </c>
      <c r="K108" s="64">
        <f t="shared" si="49"/>
        <v>13782.70386475118</v>
      </c>
      <c r="L108" s="64">
        <f t="shared" si="49"/>
        <v>15983.741051166322</v>
      </c>
      <c r="M108" s="64">
        <f t="shared" si="49"/>
        <v>18277.352265865586</v>
      </c>
      <c r="N108" s="64">
        <f t="shared" si="49"/>
        <v>21025.281608016223</v>
      </c>
      <c r="O108" s="64">
        <f t="shared" si="49"/>
        <v>23869.305445515311</v>
      </c>
      <c r="P108" s="64">
        <f t="shared" si="49"/>
        <v>27956.032996449725</v>
      </c>
      <c r="Q108" s="64">
        <f t="shared" si="49"/>
        <v>33287.306920615621</v>
      </c>
      <c r="R108" s="64">
        <f t="shared" si="49"/>
        <v>38720.203921259897</v>
      </c>
      <c r="S108" s="64">
        <f t="shared" si="49"/>
        <v>44256.635357208441</v>
      </c>
      <c r="T108" s="64">
        <f t="shared" si="49"/>
        <v>49898.547865548346</v>
      </c>
      <c r="U108" s="64">
        <f t="shared" si="49"/>
        <v>55647.92399503343</v>
      </c>
      <c r="V108" s="64">
        <f t="shared" si="49"/>
        <v>61506.782850385003</v>
      </c>
      <c r="W108" s="64">
        <f t="shared" si="49"/>
        <v>67477.180747661987</v>
      </c>
      <c r="X108" s="64">
        <f t="shared" si="49"/>
        <v>0</v>
      </c>
      <c r="Y108" s="64">
        <f t="shared" si="49"/>
        <v>0</v>
      </c>
      <c r="Z108" s="64">
        <f t="shared" si="49"/>
        <v>0</v>
      </c>
      <c r="AA108" s="64">
        <f t="shared" si="49"/>
        <v>0</v>
      </c>
      <c r="AB108" s="64">
        <f t="shared" si="49"/>
        <v>0</v>
      </c>
      <c r="AC108" s="64"/>
      <c r="AD108" s="64"/>
    </row>
    <row r="109" spans="1:30" x14ac:dyDescent="0.3">
      <c r="A109" s="62"/>
      <c r="B109" s="62" t="s">
        <v>165</v>
      </c>
      <c r="C109" s="63"/>
      <c r="D109" s="64">
        <f t="shared" ref="D109:AB109" si="50">MAX(0,D106-D102)</f>
        <v>0</v>
      </c>
      <c r="E109" s="64">
        <f t="shared" si="50"/>
        <v>0</v>
      </c>
      <c r="F109" s="64">
        <f t="shared" si="50"/>
        <v>0</v>
      </c>
      <c r="G109" s="64">
        <f t="shared" si="50"/>
        <v>0</v>
      </c>
      <c r="H109" s="64">
        <f t="shared" si="50"/>
        <v>0</v>
      </c>
      <c r="I109" s="64">
        <f t="shared" si="50"/>
        <v>0</v>
      </c>
      <c r="J109" s="64">
        <f t="shared" si="50"/>
        <v>0</v>
      </c>
      <c r="K109" s="64">
        <f t="shared" si="50"/>
        <v>0</v>
      </c>
      <c r="L109" s="64">
        <f t="shared" si="50"/>
        <v>0</v>
      </c>
      <c r="M109" s="64">
        <f t="shared" si="50"/>
        <v>0</v>
      </c>
      <c r="N109" s="64">
        <f t="shared" si="50"/>
        <v>0</v>
      </c>
      <c r="O109" s="64">
        <f t="shared" si="50"/>
        <v>0</v>
      </c>
      <c r="P109" s="64">
        <f t="shared" si="50"/>
        <v>0</v>
      </c>
      <c r="Q109" s="64">
        <f t="shared" si="50"/>
        <v>0</v>
      </c>
      <c r="R109" s="64">
        <f t="shared" si="50"/>
        <v>0</v>
      </c>
      <c r="S109" s="64">
        <f t="shared" si="50"/>
        <v>0</v>
      </c>
      <c r="T109" s="64">
        <f t="shared" si="50"/>
        <v>0</v>
      </c>
      <c r="U109" s="64">
        <f t="shared" si="50"/>
        <v>0</v>
      </c>
      <c r="V109" s="64">
        <f t="shared" si="50"/>
        <v>0</v>
      </c>
      <c r="W109" s="64">
        <f t="shared" si="50"/>
        <v>0</v>
      </c>
      <c r="X109" s="64">
        <f t="shared" si="50"/>
        <v>0</v>
      </c>
      <c r="Y109" s="64">
        <f t="shared" si="50"/>
        <v>0</v>
      </c>
      <c r="Z109" s="64">
        <f t="shared" si="50"/>
        <v>0</v>
      </c>
      <c r="AA109" s="64">
        <f t="shared" si="50"/>
        <v>0</v>
      </c>
      <c r="AB109" s="64">
        <f t="shared" si="50"/>
        <v>0</v>
      </c>
      <c r="AC109" s="64"/>
      <c r="AD109" s="64"/>
    </row>
    <row r="110" spans="1:30" x14ac:dyDescent="0.3">
      <c r="A110" s="3"/>
      <c r="B110" s="65" t="s">
        <v>166</v>
      </c>
      <c r="C110" s="66"/>
      <c r="D110" s="66">
        <f t="shared" ref="D110:AB110" si="51">D100-D102</f>
        <v>2820.944468391478</v>
      </c>
      <c r="E110" s="61">
        <f t="shared" si="51"/>
        <v>2895.0357972007578</v>
      </c>
      <c r="F110" s="61">
        <f t="shared" si="51"/>
        <v>2970.4922276076222</v>
      </c>
      <c r="G110" s="61">
        <f t="shared" si="51"/>
        <v>3289.6385950422614</v>
      </c>
      <c r="H110" s="61">
        <f t="shared" si="51"/>
        <v>3373.9564915012652</v>
      </c>
      <c r="I110" s="61">
        <f t="shared" si="51"/>
        <v>3459.8655243869543</v>
      </c>
      <c r="J110" s="61">
        <f t="shared" si="51"/>
        <v>3547.3952004916746</v>
      </c>
      <c r="K110" s="61">
        <f t="shared" si="51"/>
        <v>3636.5755601291667</v>
      </c>
      <c r="L110" s="61">
        <f t="shared" si="51"/>
        <v>3727.4371864151435</v>
      </c>
      <c r="M110" s="61">
        <f t="shared" si="51"/>
        <v>3820.011214699266</v>
      </c>
      <c r="N110" s="61">
        <f t="shared" si="51"/>
        <v>4274.3293421506387</v>
      </c>
      <c r="O110" s="61">
        <f t="shared" si="51"/>
        <v>4370.4238374990873</v>
      </c>
      <c r="P110" s="61">
        <f t="shared" si="51"/>
        <v>4086.7275509344181</v>
      </c>
      <c r="Q110" s="61">
        <f t="shared" si="51"/>
        <v>3804.8739241658977</v>
      </c>
      <c r="R110" s="61">
        <f t="shared" si="51"/>
        <v>3906.4970006442741</v>
      </c>
      <c r="S110" s="61">
        <f t="shared" si="51"/>
        <v>4010.0314359485465</v>
      </c>
      <c r="T110" s="61">
        <f t="shared" si="51"/>
        <v>4115.5125083399016</v>
      </c>
      <c r="U110" s="61">
        <f t="shared" si="51"/>
        <v>4222.9761294850832</v>
      </c>
      <c r="V110" s="61">
        <f t="shared" si="51"/>
        <v>4332.458855351575</v>
      </c>
      <c r="W110" s="61">
        <f t="shared" si="51"/>
        <v>4443.9978972769859</v>
      </c>
      <c r="X110" s="61">
        <f t="shared" si="51"/>
        <v>0</v>
      </c>
      <c r="Y110" s="61">
        <f t="shared" si="51"/>
        <v>0</v>
      </c>
      <c r="Z110" s="61">
        <f t="shared" si="51"/>
        <v>0</v>
      </c>
      <c r="AA110" s="61">
        <f t="shared" si="51"/>
        <v>0</v>
      </c>
      <c r="AB110" s="61">
        <f t="shared" si="51"/>
        <v>0</v>
      </c>
      <c r="AC110" s="61"/>
      <c r="AD110" s="61"/>
    </row>
    <row r="111" spans="1:30" x14ac:dyDescent="0.3">
      <c r="A111" s="3"/>
      <c r="B111" t="s">
        <v>152</v>
      </c>
      <c r="C111" s="61"/>
      <c r="D111" s="38">
        <f>D110</f>
        <v>2820.944468391478</v>
      </c>
      <c r="E111" s="38">
        <f t="shared" ref="E111:AB111" si="52">(D111+E110)*(E42&lt;=$C$19)</f>
        <v>5715.9802655922358</v>
      </c>
      <c r="F111" s="38">
        <f t="shared" si="52"/>
        <v>8686.4724931998571</v>
      </c>
      <c r="G111" s="38">
        <f t="shared" si="52"/>
        <v>11976.111088242118</v>
      </c>
      <c r="H111" s="38">
        <f t="shared" si="52"/>
        <v>15350.067579743383</v>
      </c>
      <c r="I111" s="38">
        <f t="shared" si="52"/>
        <v>18809.933104130338</v>
      </c>
      <c r="J111" s="38">
        <f t="shared" si="52"/>
        <v>22357.328304622013</v>
      </c>
      <c r="K111" s="38">
        <f t="shared" si="52"/>
        <v>25993.903864751181</v>
      </c>
      <c r="L111" s="38">
        <f t="shared" si="52"/>
        <v>29721.341051166324</v>
      </c>
      <c r="M111" s="38">
        <f t="shared" si="52"/>
        <v>33541.352265865593</v>
      </c>
      <c r="N111" s="38">
        <f t="shared" si="52"/>
        <v>37815.681608016232</v>
      </c>
      <c r="O111" s="38">
        <f t="shared" si="52"/>
        <v>42186.105445515321</v>
      </c>
      <c r="P111" s="38">
        <f t="shared" si="52"/>
        <v>46272.832996449739</v>
      </c>
      <c r="Q111" s="38">
        <f t="shared" si="52"/>
        <v>50077.706920615638</v>
      </c>
      <c r="R111" s="38">
        <f t="shared" si="52"/>
        <v>53984.203921259912</v>
      </c>
      <c r="S111" s="38">
        <f t="shared" si="52"/>
        <v>57994.235357208461</v>
      </c>
      <c r="T111" s="38">
        <f t="shared" si="52"/>
        <v>62109.747865548365</v>
      </c>
      <c r="U111" s="38">
        <f t="shared" si="52"/>
        <v>66332.723995033448</v>
      </c>
      <c r="V111" s="38">
        <f t="shared" si="52"/>
        <v>70665.182850385027</v>
      </c>
      <c r="W111" s="38">
        <f t="shared" si="52"/>
        <v>75109.180747662016</v>
      </c>
      <c r="X111" s="38">
        <f t="shared" si="52"/>
        <v>0</v>
      </c>
      <c r="Y111" s="38">
        <f t="shared" si="52"/>
        <v>0</v>
      </c>
      <c r="Z111" s="38">
        <f t="shared" si="52"/>
        <v>0</v>
      </c>
      <c r="AA111" s="38">
        <f t="shared" si="52"/>
        <v>0</v>
      </c>
      <c r="AB111" s="38">
        <f t="shared" si="52"/>
        <v>0</v>
      </c>
      <c r="AC111" s="38"/>
      <c r="AD111" s="38"/>
    </row>
    <row r="112" spans="1:30" x14ac:dyDescent="0.3">
      <c r="C112" s="52"/>
      <c r="D112" s="52">
        <f t="shared" ref="D112:AB112" si="53">IF(ISERR(D110/D52),"n/a",D110/D52)</f>
        <v>0.44234987595364983</v>
      </c>
      <c r="E112" s="52">
        <f t="shared" si="53"/>
        <v>0.44512128790535194</v>
      </c>
      <c r="F112" s="52">
        <f t="shared" si="53"/>
        <v>0.44782249057730994</v>
      </c>
      <c r="G112" s="52">
        <f t="shared" si="53"/>
        <v>0.4862713948559062</v>
      </c>
      <c r="H112" s="52">
        <f t="shared" si="53"/>
        <v>0.48901599693200315</v>
      </c>
      <c r="I112" s="52">
        <f t="shared" si="53"/>
        <v>0.49169507861648093</v>
      </c>
      <c r="J112" s="52">
        <f t="shared" si="53"/>
        <v>0.49430985627525181</v>
      </c>
      <c r="K112" s="52">
        <f t="shared" si="53"/>
        <v>0.49686152226618308</v>
      </c>
      <c r="L112" s="52">
        <f t="shared" si="53"/>
        <v>0.49935124540542997</v>
      </c>
      <c r="M112" s="52">
        <f t="shared" si="53"/>
        <v>0.5017801714246759</v>
      </c>
      <c r="N112" s="52">
        <f t="shared" si="53"/>
        <v>0.55051593389076681</v>
      </c>
      <c r="O112" s="52">
        <f t="shared" si="53"/>
        <v>0.55192303693395328</v>
      </c>
      <c r="P112" s="52">
        <f t="shared" si="53"/>
        <v>0.50603866912076956</v>
      </c>
      <c r="Q112" s="52">
        <f t="shared" si="53"/>
        <v>0.46195677832638721</v>
      </c>
      <c r="R112" s="52">
        <f t="shared" si="53"/>
        <v>0.46505211319250078</v>
      </c>
      <c r="S112" s="52">
        <f t="shared" si="53"/>
        <v>0.46807447409111008</v>
      </c>
      <c r="T112" s="52">
        <f t="shared" si="53"/>
        <v>0.47102521953247023</v>
      </c>
      <c r="U112" s="52">
        <f t="shared" si="53"/>
        <v>0.47390568123310595</v>
      </c>
      <c r="V112" s="52">
        <f t="shared" si="53"/>
        <v>0.47671716463635433</v>
      </c>
      <c r="W112" s="52">
        <f t="shared" si="53"/>
        <v>0.47946094942275358</v>
      </c>
      <c r="X112" s="52" t="str">
        <f t="shared" si="53"/>
        <v>n/a</v>
      </c>
      <c r="Y112" s="52" t="str">
        <f t="shared" si="53"/>
        <v>n/a</v>
      </c>
      <c r="Z112" s="52" t="str">
        <f t="shared" si="53"/>
        <v>n/a</v>
      </c>
      <c r="AA112" s="52" t="str">
        <f t="shared" si="53"/>
        <v>n/a</v>
      </c>
      <c r="AB112" s="52" t="str">
        <f t="shared" si="53"/>
        <v>n/a</v>
      </c>
      <c r="AC112" s="52"/>
      <c r="AD112" s="52"/>
    </row>
    <row r="113" spans="1:30" x14ac:dyDescent="0.3"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 spans="1:30" x14ac:dyDescent="0.3">
      <c r="B114" t="s">
        <v>167</v>
      </c>
      <c r="C114" s="52"/>
      <c r="D114" s="42">
        <f t="shared" ref="D114:AB114" si="54">MAX(0,D110*$C$31)*(D42&lt;=$C$19)</f>
        <v>0</v>
      </c>
      <c r="E114" s="42">
        <f t="shared" si="54"/>
        <v>0</v>
      </c>
      <c r="F114" s="42">
        <f t="shared" si="54"/>
        <v>0</v>
      </c>
      <c r="G114" s="42">
        <f t="shared" si="54"/>
        <v>0</v>
      </c>
      <c r="H114" s="42">
        <f t="shared" si="54"/>
        <v>0</v>
      </c>
      <c r="I114" s="42">
        <f t="shared" si="54"/>
        <v>0</v>
      </c>
      <c r="J114" s="42">
        <f t="shared" si="54"/>
        <v>0</v>
      </c>
      <c r="K114" s="42">
        <f t="shared" si="54"/>
        <v>0</v>
      </c>
      <c r="L114" s="42">
        <f t="shared" si="54"/>
        <v>0</v>
      </c>
      <c r="M114" s="42">
        <f t="shared" si="54"/>
        <v>0</v>
      </c>
      <c r="N114" s="42">
        <f t="shared" si="54"/>
        <v>0</v>
      </c>
      <c r="O114" s="42">
        <f t="shared" si="54"/>
        <v>0</v>
      </c>
      <c r="P114" s="42">
        <f t="shared" si="54"/>
        <v>0</v>
      </c>
      <c r="Q114" s="42">
        <f t="shared" si="54"/>
        <v>0</v>
      </c>
      <c r="R114" s="42">
        <f t="shared" si="54"/>
        <v>0</v>
      </c>
      <c r="S114" s="42">
        <f t="shared" si="54"/>
        <v>0</v>
      </c>
      <c r="T114" s="42">
        <f t="shared" si="54"/>
        <v>0</v>
      </c>
      <c r="U114" s="42">
        <f t="shared" si="54"/>
        <v>0</v>
      </c>
      <c r="V114" s="42">
        <f t="shared" si="54"/>
        <v>0</v>
      </c>
      <c r="W114" s="42">
        <f t="shared" si="54"/>
        <v>0</v>
      </c>
      <c r="X114" s="42">
        <f t="shared" si="54"/>
        <v>0</v>
      </c>
      <c r="Y114" s="42">
        <f t="shared" si="54"/>
        <v>0</v>
      </c>
      <c r="Z114" s="42">
        <f t="shared" si="54"/>
        <v>0</v>
      </c>
      <c r="AA114" s="42">
        <f t="shared" si="54"/>
        <v>0</v>
      </c>
      <c r="AB114" s="42">
        <f t="shared" si="54"/>
        <v>0</v>
      </c>
      <c r="AC114" s="42"/>
      <c r="AD114" s="42"/>
    </row>
    <row r="115" spans="1:30" x14ac:dyDescent="0.3">
      <c r="A115" s="3"/>
      <c r="B115" s="3" t="s">
        <v>168</v>
      </c>
      <c r="C115" s="61"/>
      <c r="D115" s="61">
        <f t="shared" ref="D115:AB115" si="55">D110-D114</f>
        <v>2820.944468391478</v>
      </c>
      <c r="E115" s="61">
        <f t="shared" si="55"/>
        <v>2895.0357972007578</v>
      </c>
      <c r="F115" s="61">
        <f t="shared" si="55"/>
        <v>2970.4922276076222</v>
      </c>
      <c r="G115" s="61">
        <f t="shared" si="55"/>
        <v>3289.6385950422614</v>
      </c>
      <c r="H115" s="61">
        <f t="shared" si="55"/>
        <v>3373.9564915012652</v>
      </c>
      <c r="I115" s="61">
        <f t="shared" si="55"/>
        <v>3459.8655243869543</v>
      </c>
      <c r="J115" s="61">
        <f t="shared" si="55"/>
        <v>3547.3952004916746</v>
      </c>
      <c r="K115" s="61">
        <f t="shared" si="55"/>
        <v>3636.5755601291667</v>
      </c>
      <c r="L115" s="61">
        <f t="shared" si="55"/>
        <v>3727.4371864151435</v>
      </c>
      <c r="M115" s="61">
        <f t="shared" si="55"/>
        <v>3820.011214699266</v>
      </c>
      <c r="N115" s="61">
        <f t="shared" si="55"/>
        <v>4274.3293421506387</v>
      </c>
      <c r="O115" s="61">
        <f t="shared" si="55"/>
        <v>4370.4238374990873</v>
      </c>
      <c r="P115" s="61">
        <f t="shared" si="55"/>
        <v>4086.7275509344181</v>
      </c>
      <c r="Q115" s="61">
        <f t="shared" si="55"/>
        <v>3804.8739241658977</v>
      </c>
      <c r="R115" s="61">
        <f t="shared" si="55"/>
        <v>3906.4970006442741</v>
      </c>
      <c r="S115" s="61">
        <f t="shared" si="55"/>
        <v>4010.0314359485465</v>
      </c>
      <c r="T115" s="61">
        <f t="shared" si="55"/>
        <v>4115.5125083399016</v>
      </c>
      <c r="U115" s="61">
        <f t="shared" si="55"/>
        <v>4222.9761294850832</v>
      </c>
      <c r="V115" s="61">
        <f t="shared" si="55"/>
        <v>4332.458855351575</v>
      </c>
      <c r="W115" s="61">
        <f t="shared" si="55"/>
        <v>4443.9978972769859</v>
      </c>
      <c r="X115" s="61">
        <f t="shared" si="55"/>
        <v>0</v>
      </c>
      <c r="Y115" s="61">
        <f t="shared" si="55"/>
        <v>0</v>
      </c>
      <c r="Z115" s="61">
        <f t="shared" si="55"/>
        <v>0</v>
      </c>
      <c r="AA115" s="61">
        <f t="shared" si="55"/>
        <v>0</v>
      </c>
      <c r="AB115" s="61">
        <f t="shared" si="55"/>
        <v>0</v>
      </c>
      <c r="AC115" s="61"/>
      <c r="AD115" s="61"/>
    </row>
    <row r="116" spans="1:30" x14ac:dyDescent="0.3">
      <c r="A116" s="3"/>
      <c r="B116" s="3"/>
      <c r="C116" s="61"/>
      <c r="D116" s="61">
        <f>SUM(D115*40%)</f>
        <v>1128.3777873565912</v>
      </c>
      <c r="E116" s="61">
        <f>SUM(E115*40%)</f>
        <v>1158.0143188803031</v>
      </c>
      <c r="F116" s="61">
        <f>SUM(F115*40%)</f>
        <v>1188.1968910430489</v>
      </c>
      <c r="G116" s="61">
        <f>SUM(D116:F116)</f>
        <v>3474.5889972799432</v>
      </c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spans="1:30" x14ac:dyDescent="0.3">
      <c r="D117" s="49">
        <f>SUM(D116/3)</f>
        <v>376.12592911886372</v>
      </c>
      <c r="E117" s="49">
        <f>SUM(E116/3)</f>
        <v>386.00477296010104</v>
      </c>
      <c r="F117" s="49">
        <f>SUM(F116/3)</f>
        <v>396.065630347683</v>
      </c>
      <c r="G117" s="49">
        <f>SUM(D117:F117)</f>
        <v>1158.1963324266478</v>
      </c>
      <c r="H117" s="67">
        <v>423000</v>
      </c>
      <c r="I117" s="68">
        <f>SUM(AB175*70%*40%/3)</f>
        <v>0</v>
      </c>
      <c r="J117" s="69">
        <f>SUM(I117*5)</f>
        <v>0</v>
      </c>
    </row>
    <row r="118" spans="1:30" x14ac:dyDescent="0.3">
      <c r="B118" s="2" t="s">
        <v>169</v>
      </c>
      <c r="C118" s="2">
        <v>0</v>
      </c>
      <c r="D118" s="2">
        <v>1</v>
      </c>
      <c r="E118" s="2">
        <v>2</v>
      </c>
      <c r="F118" s="2">
        <v>3</v>
      </c>
      <c r="G118" s="2">
        <v>4</v>
      </c>
      <c r="H118" s="2">
        <v>5</v>
      </c>
      <c r="I118" s="2">
        <v>6</v>
      </c>
      <c r="J118" s="2">
        <v>7</v>
      </c>
      <c r="K118" s="2">
        <v>8</v>
      </c>
      <c r="L118" s="2">
        <v>9</v>
      </c>
      <c r="M118" s="2">
        <v>10</v>
      </c>
      <c r="N118" s="2">
        <v>11</v>
      </c>
      <c r="O118" s="2">
        <v>12</v>
      </c>
      <c r="P118" s="2">
        <v>13</v>
      </c>
      <c r="Q118" s="2">
        <v>14</v>
      </c>
      <c r="R118" s="2">
        <v>15</v>
      </c>
      <c r="S118" s="2">
        <v>16</v>
      </c>
      <c r="T118" s="2">
        <v>17</v>
      </c>
      <c r="U118" s="2">
        <v>18</v>
      </c>
      <c r="V118" s="2">
        <v>19</v>
      </c>
      <c r="W118" s="2">
        <v>20</v>
      </c>
      <c r="X118" s="2">
        <v>21</v>
      </c>
      <c r="Y118" s="2">
        <v>22</v>
      </c>
      <c r="Z118" s="2">
        <v>23</v>
      </c>
      <c r="AA118" s="2">
        <v>24</v>
      </c>
      <c r="AB118" s="2">
        <v>25</v>
      </c>
      <c r="AC118" s="2"/>
      <c r="AD118" s="2"/>
    </row>
    <row r="120" spans="1:30" x14ac:dyDescent="0.3">
      <c r="B120" t="s">
        <v>166</v>
      </c>
      <c r="C120" s="42"/>
      <c r="D120" s="42">
        <f t="shared" ref="D120:AB120" si="56">D110</f>
        <v>2820.944468391478</v>
      </c>
      <c r="E120" s="42">
        <f t="shared" si="56"/>
        <v>2895.0357972007578</v>
      </c>
      <c r="F120" s="42">
        <f t="shared" si="56"/>
        <v>2970.4922276076222</v>
      </c>
      <c r="G120" s="42">
        <f t="shared" si="56"/>
        <v>3289.6385950422614</v>
      </c>
      <c r="H120" s="42">
        <f t="shared" si="56"/>
        <v>3373.9564915012652</v>
      </c>
      <c r="I120" s="42">
        <f t="shared" si="56"/>
        <v>3459.8655243869543</v>
      </c>
      <c r="J120" s="42">
        <f t="shared" si="56"/>
        <v>3547.3952004916746</v>
      </c>
      <c r="K120" s="42">
        <f t="shared" si="56"/>
        <v>3636.5755601291667</v>
      </c>
      <c r="L120" s="42">
        <f t="shared" si="56"/>
        <v>3727.4371864151435</v>
      </c>
      <c r="M120" s="42">
        <f t="shared" si="56"/>
        <v>3820.011214699266</v>
      </c>
      <c r="N120" s="42">
        <f t="shared" si="56"/>
        <v>4274.3293421506387</v>
      </c>
      <c r="O120" s="42">
        <f t="shared" si="56"/>
        <v>4370.4238374990873</v>
      </c>
      <c r="P120" s="42">
        <f t="shared" si="56"/>
        <v>4086.7275509344181</v>
      </c>
      <c r="Q120" s="42">
        <f t="shared" si="56"/>
        <v>3804.8739241658977</v>
      </c>
      <c r="R120" s="42">
        <f t="shared" si="56"/>
        <v>3906.4970006442741</v>
      </c>
      <c r="S120" s="42">
        <f t="shared" si="56"/>
        <v>4010.0314359485465</v>
      </c>
      <c r="T120" s="42">
        <f t="shared" si="56"/>
        <v>4115.5125083399016</v>
      </c>
      <c r="U120" s="42">
        <f t="shared" si="56"/>
        <v>4222.9761294850832</v>
      </c>
      <c r="V120" s="42">
        <f t="shared" si="56"/>
        <v>4332.458855351575</v>
      </c>
      <c r="W120" s="42">
        <f t="shared" si="56"/>
        <v>4443.9978972769859</v>
      </c>
      <c r="X120" s="42">
        <f t="shared" si="56"/>
        <v>0</v>
      </c>
      <c r="Y120" s="42">
        <f t="shared" si="56"/>
        <v>0</v>
      </c>
      <c r="Z120" s="42">
        <f t="shared" si="56"/>
        <v>0</v>
      </c>
      <c r="AA120" s="42">
        <f t="shared" si="56"/>
        <v>0</v>
      </c>
      <c r="AB120" s="42">
        <f t="shared" si="56"/>
        <v>0</v>
      </c>
      <c r="AC120" s="42"/>
      <c r="AD120" s="42"/>
    </row>
    <row r="121" spans="1:30" x14ac:dyDescent="0.3">
      <c r="B121" t="s">
        <v>170</v>
      </c>
      <c r="C121" s="42"/>
      <c r="D121" s="42">
        <f t="shared" ref="D121:AB121" si="57">D98</f>
        <v>0</v>
      </c>
      <c r="E121" s="42">
        <f t="shared" si="57"/>
        <v>0</v>
      </c>
      <c r="F121" s="42">
        <f t="shared" si="57"/>
        <v>0</v>
      </c>
      <c r="G121" s="42">
        <f t="shared" si="57"/>
        <v>0</v>
      </c>
      <c r="H121" s="42">
        <f t="shared" si="57"/>
        <v>0</v>
      </c>
      <c r="I121" s="42">
        <f t="shared" si="57"/>
        <v>0</v>
      </c>
      <c r="J121" s="42">
        <f t="shared" si="57"/>
        <v>0</v>
      </c>
      <c r="K121" s="42">
        <f t="shared" si="57"/>
        <v>0</v>
      </c>
      <c r="L121" s="42">
        <f t="shared" si="57"/>
        <v>0</v>
      </c>
      <c r="M121" s="42">
        <f t="shared" si="57"/>
        <v>0</v>
      </c>
      <c r="N121" s="42">
        <f t="shared" si="57"/>
        <v>0</v>
      </c>
      <c r="O121" s="42">
        <f t="shared" si="57"/>
        <v>0</v>
      </c>
      <c r="P121" s="42">
        <f t="shared" si="57"/>
        <v>0</v>
      </c>
      <c r="Q121" s="42">
        <f t="shared" si="57"/>
        <v>0</v>
      </c>
      <c r="R121" s="42">
        <f t="shared" si="57"/>
        <v>0</v>
      </c>
      <c r="S121" s="42">
        <f t="shared" si="57"/>
        <v>0</v>
      </c>
      <c r="T121" s="42">
        <f t="shared" si="57"/>
        <v>0</v>
      </c>
      <c r="U121" s="42">
        <f t="shared" si="57"/>
        <v>0</v>
      </c>
      <c r="V121" s="42">
        <f t="shared" si="57"/>
        <v>0</v>
      </c>
      <c r="W121" s="42">
        <f t="shared" si="57"/>
        <v>0</v>
      </c>
      <c r="X121" s="42">
        <f t="shared" si="57"/>
        <v>0</v>
      </c>
      <c r="Y121" s="42">
        <f t="shared" si="57"/>
        <v>0</v>
      </c>
      <c r="Z121" s="42">
        <f t="shared" si="57"/>
        <v>0</v>
      </c>
      <c r="AA121" s="42">
        <f t="shared" si="57"/>
        <v>0</v>
      </c>
      <c r="AB121" s="42">
        <f t="shared" si="57"/>
        <v>0</v>
      </c>
      <c r="AC121" s="42"/>
      <c r="AD121" s="42"/>
    </row>
    <row r="122" spans="1:30" x14ac:dyDescent="0.3">
      <c r="B122" t="s">
        <v>171</v>
      </c>
      <c r="C122" s="42"/>
      <c r="D122" s="42">
        <f t="shared" ref="D122:AB122" si="58">D99</f>
        <v>0</v>
      </c>
      <c r="E122" s="42">
        <f t="shared" si="58"/>
        <v>0</v>
      </c>
      <c r="F122" s="42">
        <f t="shared" si="58"/>
        <v>0</v>
      </c>
      <c r="G122" s="42">
        <f t="shared" si="58"/>
        <v>0</v>
      </c>
      <c r="H122" s="42">
        <f t="shared" si="58"/>
        <v>0</v>
      </c>
      <c r="I122" s="42">
        <f t="shared" si="58"/>
        <v>0</v>
      </c>
      <c r="J122" s="42">
        <f t="shared" si="58"/>
        <v>0</v>
      </c>
      <c r="K122" s="42">
        <f t="shared" si="58"/>
        <v>0</v>
      </c>
      <c r="L122" s="42">
        <f t="shared" si="58"/>
        <v>0</v>
      </c>
      <c r="M122" s="42">
        <f t="shared" si="58"/>
        <v>0</v>
      </c>
      <c r="N122" s="42">
        <f t="shared" si="58"/>
        <v>0</v>
      </c>
      <c r="O122" s="42">
        <f t="shared" si="58"/>
        <v>0</v>
      </c>
      <c r="P122" s="42">
        <f t="shared" si="58"/>
        <v>0</v>
      </c>
      <c r="Q122" s="42">
        <f t="shared" si="58"/>
        <v>0</v>
      </c>
      <c r="R122" s="42">
        <f t="shared" si="58"/>
        <v>0</v>
      </c>
      <c r="S122" s="42">
        <f t="shared" si="58"/>
        <v>0</v>
      </c>
      <c r="T122" s="42">
        <f t="shared" si="58"/>
        <v>0</v>
      </c>
      <c r="U122" s="42">
        <f t="shared" si="58"/>
        <v>0</v>
      </c>
      <c r="V122" s="42">
        <f t="shared" si="58"/>
        <v>0</v>
      </c>
      <c r="W122" s="42">
        <f t="shared" si="58"/>
        <v>0</v>
      </c>
      <c r="X122" s="42">
        <f t="shared" si="58"/>
        <v>0</v>
      </c>
      <c r="Y122" s="42">
        <f t="shared" si="58"/>
        <v>0</v>
      </c>
      <c r="Z122" s="42">
        <f t="shared" si="58"/>
        <v>0</v>
      </c>
      <c r="AA122" s="42">
        <f t="shared" si="58"/>
        <v>0</v>
      </c>
      <c r="AB122" s="42">
        <f t="shared" si="58"/>
        <v>0</v>
      </c>
      <c r="AC122" s="42"/>
      <c r="AD122" s="42"/>
    </row>
    <row r="123" spans="1:30" x14ac:dyDescent="0.3">
      <c r="B123" t="s">
        <v>172</v>
      </c>
      <c r="C123" s="42"/>
      <c r="D123" s="42">
        <f t="shared" ref="D123:AB123" si="59">D109</f>
        <v>0</v>
      </c>
      <c r="E123" s="42">
        <f t="shared" si="59"/>
        <v>0</v>
      </c>
      <c r="F123" s="42">
        <f t="shared" si="59"/>
        <v>0</v>
      </c>
      <c r="G123" s="42">
        <f t="shared" si="59"/>
        <v>0</v>
      </c>
      <c r="H123" s="42">
        <f t="shared" si="59"/>
        <v>0</v>
      </c>
      <c r="I123" s="42">
        <f t="shared" si="59"/>
        <v>0</v>
      </c>
      <c r="J123" s="42">
        <f t="shared" si="59"/>
        <v>0</v>
      </c>
      <c r="K123" s="42">
        <f t="shared" si="59"/>
        <v>0</v>
      </c>
      <c r="L123" s="42">
        <f t="shared" si="59"/>
        <v>0</v>
      </c>
      <c r="M123" s="42">
        <f t="shared" si="59"/>
        <v>0</v>
      </c>
      <c r="N123" s="42">
        <f t="shared" si="59"/>
        <v>0</v>
      </c>
      <c r="O123" s="42">
        <f t="shared" si="59"/>
        <v>0</v>
      </c>
      <c r="P123" s="42">
        <f t="shared" si="59"/>
        <v>0</v>
      </c>
      <c r="Q123" s="42">
        <f t="shared" si="59"/>
        <v>0</v>
      </c>
      <c r="R123" s="42">
        <f t="shared" si="59"/>
        <v>0</v>
      </c>
      <c r="S123" s="42">
        <f t="shared" si="59"/>
        <v>0</v>
      </c>
      <c r="T123" s="42">
        <f t="shared" si="59"/>
        <v>0</v>
      </c>
      <c r="U123" s="42">
        <f t="shared" si="59"/>
        <v>0</v>
      </c>
      <c r="V123" s="42">
        <f t="shared" si="59"/>
        <v>0</v>
      </c>
      <c r="W123" s="42">
        <f t="shared" si="59"/>
        <v>0</v>
      </c>
      <c r="X123" s="42">
        <f t="shared" si="59"/>
        <v>0</v>
      </c>
      <c r="Y123" s="42">
        <f t="shared" si="59"/>
        <v>0</v>
      </c>
      <c r="Z123" s="42">
        <f t="shared" si="59"/>
        <v>0</v>
      </c>
      <c r="AA123" s="42">
        <f t="shared" si="59"/>
        <v>0</v>
      </c>
      <c r="AB123" s="42">
        <f t="shared" si="59"/>
        <v>0</v>
      </c>
      <c r="AC123" s="42"/>
      <c r="AD123" s="42"/>
    </row>
    <row r="124" spans="1:30" x14ac:dyDescent="0.3">
      <c r="B124" t="s">
        <v>173</v>
      </c>
      <c r="C124" s="42"/>
      <c r="D124" s="42">
        <f t="shared" ref="D124:AB124" si="60">D69</f>
        <v>1526.4</v>
      </c>
      <c r="E124" s="42">
        <f t="shared" si="60"/>
        <v>1526.4</v>
      </c>
      <c r="F124" s="42">
        <f t="shared" si="60"/>
        <v>1526.4</v>
      </c>
      <c r="G124" s="42">
        <f t="shared" si="60"/>
        <v>1526.4</v>
      </c>
      <c r="H124" s="42">
        <f t="shared" si="60"/>
        <v>1526.4</v>
      </c>
      <c r="I124" s="42">
        <f t="shared" si="60"/>
        <v>1526.4</v>
      </c>
      <c r="J124" s="42">
        <f t="shared" si="60"/>
        <v>1526.4</v>
      </c>
      <c r="K124" s="42">
        <f t="shared" si="60"/>
        <v>1526.4</v>
      </c>
      <c r="L124" s="42">
        <f t="shared" si="60"/>
        <v>1526.4</v>
      </c>
      <c r="M124" s="42">
        <f t="shared" si="60"/>
        <v>1526.4</v>
      </c>
      <c r="N124" s="42">
        <f t="shared" si="60"/>
        <v>1526.4</v>
      </c>
      <c r="O124" s="42">
        <f t="shared" si="60"/>
        <v>1526.4</v>
      </c>
      <c r="P124" s="42">
        <f t="shared" si="60"/>
        <v>1526.4</v>
      </c>
      <c r="Q124" s="42">
        <f t="shared" si="60"/>
        <v>1526.4</v>
      </c>
      <c r="R124" s="42">
        <f t="shared" si="60"/>
        <v>1526.4</v>
      </c>
      <c r="S124" s="42">
        <f t="shared" si="60"/>
        <v>1526.4</v>
      </c>
      <c r="T124" s="42">
        <f t="shared" si="60"/>
        <v>1526.4</v>
      </c>
      <c r="U124" s="42">
        <f t="shared" si="60"/>
        <v>1526.4</v>
      </c>
      <c r="V124" s="42">
        <f t="shared" si="60"/>
        <v>1526.4</v>
      </c>
      <c r="W124" s="42">
        <f t="shared" si="60"/>
        <v>1526.4</v>
      </c>
      <c r="X124" s="42">
        <f t="shared" si="60"/>
        <v>0</v>
      </c>
      <c r="Y124" s="42">
        <f t="shared" si="60"/>
        <v>0</v>
      </c>
      <c r="Z124" s="42">
        <f t="shared" si="60"/>
        <v>0</v>
      </c>
      <c r="AA124" s="42">
        <f t="shared" si="60"/>
        <v>0</v>
      </c>
      <c r="AB124" s="42">
        <f t="shared" si="60"/>
        <v>0</v>
      </c>
      <c r="AC124" s="42"/>
      <c r="AD124" s="42"/>
    </row>
    <row r="125" spans="1:30" x14ac:dyDescent="0.3">
      <c r="A125" s="70"/>
      <c r="B125" s="3" t="s">
        <v>174</v>
      </c>
      <c r="C125" s="48"/>
      <c r="D125" s="48">
        <f t="shared" ref="D125:AB125" si="61">D120+D124+D121-D122-D123</f>
        <v>4347.3444683914786</v>
      </c>
      <c r="E125" s="48">
        <f t="shared" si="61"/>
        <v>4421.4357972007583</v>
      </c>
      <c r="F125" s="48">
        <f t="shared" si="61"/>
        <v>4496.8922276076228</v>
      </c>
      <c r="G125" s="48">
        <f t="shared" si="61"/>
        <v>4816.0385950422615</v>
      </c>
      <c r="H125" s="48">
        <f t="shared" si="61"/>
        <v>4900.3564915012648</v>
      </c>
      <c r="I125" s="48">
        <f t="shared" si="61"/>
        <v>4986.265524386954</v>
      </c>
      <c r="J125" s="48">
        <f t="shared" si="61"/>
        <v>5073.7952004916751</v>
      </c>
      <c r="K125" s="48">
        <f t="shared" si="61"/>
        <v>5162.9755601291672</v>
      </c>
      <c r="L125" s="48">
        <f t="shared" si="61"/>
        <v>5253.8371864151432</v>
      </c>
      <c r="M125" s="48">
        <f t="shared" si="61"/>
        <v>5346.4112146992666</v>
      </c>
      <c r="N125" s="48">
        <f t="shared" si="61"/>
        <v>5800.7293421506383</v>
      </c>
      <c r="O125" s="48">
        <f t="shared" si="61"/>
        <v>5896.8238374990869</v>
      </c>
      <c r="P125" s="48">
        <f t="shared" si="61"/>
        <v>5613.1275509344177</v>
      </c>
      <c r="Q125" s="48">
        <f t="shared" si="61"/>
        <v>5331.2739241658983</v>
      </c>
      <c r="R125" s="48">
        <f t="shared" si="61"/>
        <v>5432.8970006442742</v>
      </c>
      <c r="S125" s="48">
        <f t="shared" si="61"/>
        <v>5536.431435948547</v>
      </c>
      <c r="T125" s="48">
        <f t="shared" si="61"/>
        <v>5641.9125083399013</v>
      </c>
      <c r="U125" s="48">
        <f t="shared" si="61"/>
        <v>5749.3761294850829</v>
      </c>
      <c r="V125" s="48">
        <f t="shared" si="61"/>
        <v>5858.8588553515747</v>
      </c>
      <c r="W125" s="48">
        <f t="shared" si="61"/>
        <v>5970.3978972769855</v>
      </c>
      <c r="X125" s="48">
        <f t="shared" si="61"/>
        <v>0</v>
      </c>
      <c r="Y125" s="48">
        <f t="shared" si="61"/>
        <v>0</v>
      </c>
      <c r="Z125" s="48">
        <f t="shared" si="61"/>
        <v>0</v>
      </c>
      <c r="AA125" s="48">
        <f t="shared" si="61"/>
        <v>0</v>
      </c>
      <c r="AB125" s="48">
        <f t="shared" si="61"/>
        <v>0</v>
      </c>
      <c r="AC125" s="48"/>
      <c r="AD125" s="48"/>
    </row>
    <row r="126" spans="1:30" x14ac:dyDescent="0.3">
      <c r="B126" t="s">
        <v>66</v>
      </c>
      <c r="C126" s="47">
        <f>'Calculation Debt'!C127</f>
        <v>38160</v>
      </c>
      <c r="D126" s="47">
        <f t="shared" ref="D126:AB126" si="62">(D42=$H$6)*(($C$7*$H$8)+$H$7)</f>
        <v>0</v>
      </c>
      <c r="E126" s="47">
        <f t="shared" si="62"/>
        <v>0</v>
      </c>
      <c r="F126" s="47">
        <f t="shared" si="62"/>
        <v>0</v>
      </c>
      <c r="G126" s="47">
        <f t="shared" si="62"/>
        <v>0</v>
      </c>
      <c r="H126" s="47">
        <f t="shared" si="62"/>
        <v>0</v>
      </c>
      <c r="I126" s="47">
        <f t="shared" si="62"/>
        <v>0</v>
      </c>
      <c r="J126" s="47">
        <f t="shared" si="62"/>
        <v>0</v>
      </c>
      <c r="K126" s="47">
        <f t="shared" si="62"/>
        <v>0</v>
      </c>
      <c r="L126" s="47">
        <f t="shared" si="62"/>
        <v>0</v>
      </c>
      <c r="M126" s="47">
        <f t="shared" si="62"/>
        <v>0</v>
      </c>
      <c r="N126" s="47">
        <f t="shared" si="62"/>
        <v>0</v>
      </c>
      <c r="O126" s="47">
        <f t="shared" si="62"/>
        <v>0</v>
      </c>
      <c r="P126" s="47">
        <f t="shared" si="62"/>
        <v>0</v>
      </c>
      <c r="Q126" s="47">
        <f t="shared" si="62"/>
        <v>0</v>
      </c>
      <c r="R126" s="47">
        <f t="shared" si="62"/>
        <v>0</v>
      </c>
      <c r="S126" s="47">
        <f t="shared" si="62"/>
        <v>0</v>
      </c>
      <c r="T126" s="47">
        <f t="shared" si="62"/>
        <v>0</v>
      </c>
      <c r="U126" s="47">
        <f t="shared" si="62"/>
        <v>0</v>
      </c>
      <c r="V126" s="47">
        <f t="shared" si="62"/>
        <v>0</v>
      </c>
      <c r="W126" s="47">
        <f t="shared" si="62"/>
        <v>0</v>
      </c>
      <c r="X126" s="47">
        <f t="shared" si="62"/>
        <v>0</v>
      </c>
      <c r="Y126" s="47">
        <f t="shared" si="62"/>
        <v>0</v>
      </c>
      <c r="Z126" s="47">
        <f t="shared" si="62"/>
        <v>0</v>
      </c>
      <c r="AA126" s="47">
        <f t="shared" si="62"/>
        <v>0</v>
      </c>
      <c r="AB126" s="47">
        <f t="shared" si="62"/>
        <v>0</v>
      </c>
      <c r="AC126" s="47"/>
      <c r="AD126" s="47"/>
    </row>
    <row r="127" spans="1:30" x14ac:dyDescent="0.3">
      <c r="B127" t="s">
        <v>175</v>
      </c>
      <c r="C127" s="47"/>
      <c r="D127" s="47">
        <f t="shared" ref="D127:AB127" si="63">-D132</f>
        <v>0</v>
      </c>
      <c r="E127" s="47">
        <f t="shared" si="63"/>
        <v>0</v>
      </c>
      <c r="F127" s="47">
        <f t="shared" si="63"/>
        <v>0</v>
      </c>
      <c r="G127" s="47">
        <f t="shared" si="63"/>
        <v>0</v>
      </c>
      <c r="H127" s="47">
        <f t="shared" si="63"/>
        <v>0</v>
      </c>
      <c r="I127" s="47">
        <f t="shared" si="63"/>
        <v>0</v>
      </c>
      <c r="J127" s="47">
        <f t="shared" si="63"/>
        <v>0</v>
      </c>
      <c r="K127" s="47">
        <f t="shared" si="63"/>
        <v>0</v>
      </c>
      <c r="L127" s="47">
        <f t="shared" si="63"/>
        <v>0</v>
      </c>
      <c r="M127" s="47">
        <f t="shared" si="63"/>
        <v>0</v>
      </c>
      <c r="N127" s="47">
        <f t="shared" si="63"/>
        <v>0</v>
      </c>
      <c r="O127" s="47">
        <f t="shared" si="63"/>
        <v>0</v>
      </c>
      <c r="P127" s="47">
        <f t="shared" si="63"/>
        <v>0</v>
      </c>
      <c r="Q127" s="47">
        <f t="shared" si="63"/>
        <v>0</v>
      </c>
      <c r="R127" s="47">
        <f t="shared" si="63"/>
        <v>0</v>
      </c>
      <c r="S127" s="47">
        <f t="shared" si="63"/>
        <v>0</v>
      </c>
      <c r="T127" s="47">
        <f t="shared" si="63"/>
        <v>0</v>
      </c>
      <c r="U127" s="47">
        <f t="shared" si="63"/>
        <v>0</v>
      </c>
      <c r="V127" s="47">
        <f t="shared" si="63"/>
        <v>0</v>
      </c>
      <c r="W127" s="47">
        <f t="shared" si="63"/>
        <v>0</v>
      </c>
      <c r="X127" s="47">
        <f t="shared" si="63"/>
        <v>0</v>
      </c>
      <c r="Y127" s="47">
        <f t="shared" si="63"/>
        <v>0</v>
      </c>
      <c r="Z127" s="47">
        <f t="shared" si="63"/>
        <v>0</v>
      </c>
      <c r="AA127" s="47">
        <f t="shared" si="63"/>
        <v>0</v>
      </c>
      <c r="AB127" s="47">
        <f t="shared" si="63"/>
        <v>0</v>
      </c>
      <c r="AC127" s="47"/>
      <c r="AD127" s="47"/>
    </row>
    <row r="128" spans="1:30" x14ac:dyDescent="0.3">
      <c r="A128" s="14"/>
      <c r="B128" s="14" t="s">
        <v>176</v>
      </c>
      <c r="C128" s="71"/>
      <c r="D128" s="71">
        <f t="shared" ref="D128:AB128" si="64">-D134</f>
        <v>0</v>
      </c>
      <c r="E128" s="71">
        <f t="shared" si="64"/>
        <v>0</v>
      </c>
      <c r="F128" s="71">
        <f t="shared" si="64"/>
        <v>0</v>
      </c>
      <c r="G128" s="71">
        <f t="shared" si="64"/>
        <v>0</v>
      </c>
      <c r="H128" s="71">
        <f t="shared" si="64"/>
        <v>0</v>
      </c>
      <c r="I128" s="71">
        <f t="shared" si="64"/>
        <v>0</v>
      </c>
      <c r="J128" s="71">
        <f t="shared" si="64"/>
        <v>0</v>
      </c>
      <c r="K128" s="71">
        <f t="shared" si="64"/>
        <v>0</v>
      </c>
      <c r="L128" s="71">
        <f t="shared" si="64"/>
        <v>0</v>
      </c>
      <c r="M128" s="71">
        <f t="shared" si="64"/>
        <v>0</v>
      </c>
      <c r="N128" s="71">
        <f t="shared" si="64"/>
        <v>0</v>
      </c>
      <c r="O128" s="71">
        <f t="shared" si="64"/>
        <v>0</v>
      </c>
      <c r="P128" s="71">
        <f t="shared" si="64"/>
        <v>0</v>
      </c>
      <c r="Q128" s="71">
        <f t="shared" si="64"/>
        <v>0</v>
      </c>
      <c r="R128" s="71">
        <f t="shared" si="64"/>
        <v>0</v>
      </c>
      <c r="S128" s="71">
        <f t="shared" si="64"/>
        <v>0</v>
      </c>
      <c r="T128" s="71">
        <f t="shared" si="64"/>
        <v>0</v>
      </c>
      <c r="U128" s="71">
        <f t="shared" si="64"/>
        <v>0</v>
      </c>
      <c r="V128" s="71">
        <f t="shared" si="64"/>
        <v>0</v>
      </c>
      <c r="W128" s="71">
        <f t="shared" si="64"/>
        <v>0</v>
      </c>
      <c r="X128" s="71">
        <f t="shared" si="64"/>
        <v>0</v>
      </c>
      <c r="Y128" s="71">
        <f t="shared" si="64"/>
        <v>0</v>
      </c>
      <c r="Z128" s="71">
        <f t="shared" si="64"/>
        <v>0</v>
      </c>
      <c r="AA128" s="71">
        <f t="shared" si="64"/>
        <v>0</v>
      </c>
      <c r="AB128" s="71">
        <f t="shared" si="64"/>
        <v>0</v>
      </c>
      <c r="AC128" s="71"/>
      <c r="AD128" s="71"/>
    </row>
    <row r="129" spans="1:30" x14ac:dyDescent="0.3">
      <c r="A129" s="3"/>
      <c r="B129" s="3" t="s">
        <v>177</v>
      </c>
      <c r="C129" s="48">
        <f t="shared" ref="C129:AB129" si="65">SUM(C126:C128)</f>
        <v>38160</v>
      </c>
      <c r="D129" s="48">
        <f t="shared" si="65"/>
        <v>0</v>
      </c>
      <c r="E129" s="48">
        <f t="shared" si="65"/>
        <v>0</v>
      </c>
      <c r="F129" s="48">
        <f t="shared" si="65"/>
        <v>0</v>
      </c>
      <c r="G129" s="48">
        <f t="shared" si="65"/>
        <v>0</v>
      </c>
      <c r="H129" s="48">
        <f t="shared" si="65"/>
        <v>0</v>
      </c>
      <c r="I129" s="48">
        <f t="shared" si="65"/>
        <v>0</v>
      </c>
      <c r="J129" s="48">
        <f t="shared" si="65"/>
        <v>0</v>
      </c>
      <c r="K129" s="48">
        <f t="shared" si="65"/>
        <v>0</v>
      </c>
      <c r="L129" s="48">
        <f t="shared" si="65"/>
        <v>0</v>
      </c>
      <c r="M129" s="48">
        <f t="shared" si="65"/>
        <v>0</v>
      </c>
      <c r="N129" s="48">
        <f t="shared" si="65"/>
        <v>0</v>
      </c>
      <c r="O129" s="48">
        <f t="shared" si="65"/>
        <v>0</v>
      </c>
      <c r="P129" s="48">
        <f t="shared" si="65"/>
        <v>0</v>
      </c>
      <c r="Q129" s="48">
        <f t="shared" si="65"/>
        <v>0</v>
      </c>
      <c r="R129" s="48">
        <f t="shared" si="65"/>
        <v>0</v>
      </c>
      <c r="S129" s="48">
        <f t="shared" si="65"/>
        <v>0</v>
      </c>
      <c r="T129" s="48">
        <f t="shared" si="65"/>
        <v>0</v>
      </c>
      <c r="U129" s="48">
        <f t="shared" si="65"/>
        <v>0</v>
      </c>
      <c r="V129" s="48">
        <f t="shared" si="65"/>
        <v>0</v>
      </c>
      <c r="W129" s="48">
        <f t="shared" si="65"/>
        <v>0</v>
      </c>
      <c r="X129" s="48">
        <f t="shared" si="65"/>
        <v>0</v>
      </c>
      <c r="Y129" s="48">
        <f t="shared" si="65"/>
        <v>0</v>
      </c>
      <c r="Z129" s="48">
        <f t="shared" si="65"/>
        <v>0</v>
      </c>
      <c r="AA129" s="48">
        <f t="shared" si="65"/>
        <v>0</v>
      </c>
      <c r="AB129" s="48">
        <f t="shared" si="65"/>
        <v>0</v>
      </c>
      <c r="AC129" s="48"/>
      <c r="AD129" s="48"/>
    </row>
    <row r="130" spans="1:30" x14ac:dyDescent="0.3">
      <c r="A130" s="3"/>
      <c r="B130" s="3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</row>
    <row r="131" spans="1:30" x14ac:dyDescent="0.3">
      <c r="A131" s="14"/>
      <c r="B131" s="14" t="s">
        <v>178</v>
      </c>
      <c r="C131" s="71"/>
      <c r="D131" s="71">
        <f t="shared" ref="D131:AB131" si="66">IF(D42&lt;=$H$12,$H$15,0)</f>
        <v>0</v>
      </c>
      <c r="E131" s="71">
        <f t="shared" si="66"/>
        <v>0</v>
      </c>
      <c r="F131" s="71">
        <f t="shared" si="66"/>
        <v>0</v>
      </c>
      <c r="G131" s="71">
        <f t="shared" si="66"/>
        <v>0</v>
      </c>
      <c r="H131" s="71">
        <f t="shared" si="66"/>
        <v>0</v>
      </c>
      <c r="I131" s="71">
        <f t="shared" si="66"/>
        <v>0</v>
      </c>
      <c r="J131" s="71">
        <f t="shared" si="66"/>
        <v>0</v>
      </c>
      <c r="K131" s="71">
        <f t="shared" si="66"/>
        <v>0</v>
      </c>
      <c r="L131" s="71">
        <f t="shared" si="66"/>
        <v>0</v>
      </c>
      <c r="M131" s="71">
        <f t="shared" si="66"/>
        <v>0</v>
      </c>
      <c r="N131" s="71">
        <f t="shared" si="66"/>
        <v>0</v>
      </c>
      <c r="O131" s="71">
        <f t="shared" si="66"/>
        <v>0</v>
      </c>
      <c r="P131" s="71">
        <f t="shared" si="66"/>
        <v>0</v>
      </c>
      <c r="Q131" s="71">
        <f t="shared" si="66"/>
        <v>0</v>
      </c>
      <c r="R131" s="71">
        <f t="shared" si="66"/>
        <v>0</v>
      </c>
      <c r="S131" s="71">
        <f t="shared" si="66"/>
        <v>0</v>
      </c>
      <c r="T131" s="71">
        <f t="shared" si="66"/>
        <v>0</v>
      </c>
      <c r="U131" s="71">
        <f t="shared" si="66"/>
        <v>0</v>
      </c>
      <c r="V131" s="71">
        <f t="shared" si="66"/>
        <v>0</v>
      </c>
      <c r="W131" s="71">
        <f t="shared" si="66"/>
        <v>0</v>
      </c>
      <c r="X131" s="71">
        <f t="shared" si="66"/>
        <v>0</v>
      </c>
      <c r="Y131" s="71">
        <f t="shared" si="66"/>
        <v>0</v>
      </c>
      <c r="Z131" s="71">
        <f t="shared" si="66"/>
        <v>0</v>
      </c>
      <c r="AA131" s="71">
        <f t="shared" si="66"/>
        <v>0</v>
      </c>
      <c r="AB131" s="71">
        <f t="shared" si="66"/>
        <v>0</v>
      </c>
      <c r="AC131" s="71"/>
      <c r="AD131" s="71"/>
    </row>
    <row r="132" spans="1:30" x14ac:dyDescent="0.3">
      <c r="A132" s="72"/>
      <c r="B132" s="14" t="s">
        <v>179</v>
      </c>
      <c r="C132" s="73"/>
      <c r="D132" s="73">
        <f t="shared" ref="D132:AB132" si="67">-IF(D$42=$H$12,$H$11,0)</f>
        <v>0</v>
      </c>
      <c r="E132" s="73">
        <f t="shared" si="67"/>
        <v>0</v>
      </c>
      <c r="F132" s="73">
        <f t="shared" si="67"/>
        <v>0</v>
      </c>
      <c r="G132" s="73">
        <f t="shared" si="67"/>
        <v>0</v>
      </c>
      <c r="H132" s="73">
        <f t="shared" si="67"/>
        <v>0</v>
      </c>
      <c r="I132" s="73">
        <f t="shared" si="67"/>
        <v>0</v>
      </c>
      <c r="J132" s="73">
        <f t="shared" si="67"/>
        <v>0</v>
      </c>
      <c r="K132" s="73">
        <f t="shared" si="67"/>
        <v>0</v>
      </c>
      <c r="L132" s="73">
        <f t="shared" si="67"/>
        <v>0</v>
      </c>
      <c r="M132" s="73">
        <f t="shared" si="67"/>
        <v>0</v>
      </c>
      <c r="N132" s="73">
        <f t="shared" si="67"/>
        <v>0</v>
      </c>
      <c r="O132" s="73">
        <f t="shared" si="67"/>
        <v>0</v>
      </c>
      <c r="P132" s="73">
        <f t="shared" si="67"/>
        <v>0</v>
      </c>
      <c r="Q132" s="73">
        <f t="shared" si="67"/>
        <v>0</v>
      </c>
      <c r="R132" s="73">
        <f t="shared" si="67"/>
        <v>0</v>
      </c>
      <c r="S132" s="73">
        <f t="shared" si="67"/>
        <v>0</v>
      </c>
      <c r="T132" s="73">
        <f t="shared" si="67"/>
        <v>0</v>
      </c>
      <c r="U132" s="73">
        <f t="shared" si="67"/>
        <v>0</v>
      </c>
      <c r="V132" s="73">
        <f t="shared" si="67"/>
        <v>0</v>
      </c>
      <c r="W132" s="73">
        <f t="shared" si="67"/>
        <v>0</v>
      </c>
      <c r="X132" s="73">
        <f t="shared" si="67"/>
        <v>0</v>
      </c>
      <c r="Y132" s="73">
        <f t="shared" si="67"/>
        <v>0</v>
      </c>
      <c r="Z132" s="73">
        <f t="shared" si="67"/>
        <v>0</v>
      </c>
      <c r="AA132" s="73">
        <f t="shared" si="67"/>
        <v>0</v>
      </c>
      <c r="AB132" s="73">
        <f t="shared" si="67"/>
        <v>0</v>
      </c>
      <c r="AC132" s="73"/>
      <c r="AD132" s="73"/>
    </row>
    <row r="133" spans="1:30" x14ac:dyDescent="0.3">
      <c r="A133" s="14"/>
      <c r="B133" s="14" t="s">
        <v>180</v>
      </c>
      <c r="C133" s="71"/>
      <c r="D133" s="71">
        <f t="shared" ref="D133:AB133" si="68">IF(D42&lt;=$H$14,$H$16,0)</f>
        <v>0</v>
      </c>
      <c r="E133" s="71">
        <f t="shared" si="68"/>
        <v>0</v>
      </c>
      <c r="F133" s="71">
        <f t="shared" si="68"/>
        <v>0</v>
      </c>
      <c r="G133" s="71">
        <f t="shared" si="68"/>
        <v>0</v>
      </c>
      <c r="H133" s="71">
        <f t="shared" si="68"/>
        <v>0</v>
      </c>
      <c r="I133" s="71">
        <f t="shared" si="68"/>
        <v>0</v>
      </c>
      <c r="J133" s="71">
        <f t="shared" si="68"/>
        <v>0</v>
      </c>
      <c r="K133" s="71">
        <f t="shared" si="68"/>
        <v>0</v>
      </c>
      <c r="L133" s="71">
        <f t="shared" si="68"/>
        <v>0</v>
      </c>
      <c r="M133" s="71">
        <f t="shared" si="68"/>
        <v>0</v>
      </c>
      <c r="N133" s="71">
        <f t="shared" si="68"/>
        <v>0</v>
      </c>
      <c r="O133" s="71">
        <f t="shared" si="68"/>
        <v>0</v>
      </c>
      <c r="P133" s="71">
        <f t="shared" si="68"/>
        <v>0</v>
      </c>
      <c r="Q133" s="71">
        <f t="shared" si="68"/>
        <v>0</v>
      </c>
      <c r="R133" s="71">
        <f t="shared" si="68"/>
        <v>0</v>
      </c>
      <c r="S133" s="71">
        <f t="shared" si="68"/>
        <v>0</v>
      </c>
      <c r="T133" s="71">
        <f t="shared" si="68"/>
        <v>0</v>
      </c>
      <c r="U133" s="71">
        <f t="shared" si="68"/>
        <v>0</v>
      </c>
      <c r="V133" s="71">
        <f t="shared" si="68"/>
        <v>0</v>
      </c>
      <c r="W133" s="71">
        <f t="shared" si="68"/>
        <v>0</v>
      </c>
      <c r="X133" s="71">
        <f t="shared" si="68"/>
        <v>0</v>
      </c>
      <c r="Y133" s="71">
        <f t="shared" si="68"/>
        <v>0</v>
      </c>
      <c r="Z133" s="71">
        <f t="shared" si="68"/>
        <v>0</v>
      </c>
      <c r="AA133" s="71">
        <f t="shared" si="68"/>
        <v>0</v>
      </c>
      <c r="AB133" s="71">
        <f t="shared" si="68"/>
        <v>0</v>
      </c>
      <c r="AC133" s="71"/>
      <c r="AD133" s="71"/>
    </row>
    <row r="134" spans="1:30" x14ac:dyDescent="0.3">
      <c r="A134" s="72"/>
      <c r="B134" s="14" t="s">
        <v>181</v>
      </c>
      <c r="C134" s="73"/>
      <c r="D134" s="73">
        <f t="shared" ref="D134:AB134" si="69">-IF(D$42=$H$14,$H$13,0)</f>
        <v>0</v>
      </c>
      <c r="E134" s="73">
        <f t="shared" si="69"/>
        <v>0</v>
      </c>
      <c r="F134" s="73">
        <f t="shared" si="69"/>
        <v>0</v>
      </c>
      <c r="G134" s="73">
        <f t="shared" si="69"/>
        <v>0</v>
      </c>
      <c r="H134" s="73">
        <f t="shared" si="69"/>
        <v>0</v>
      </c>
      <c r="I134" s="73">
        <f t="shared" si="69"/>
        <v>0</v>
      </c>
      <c r="J134" s="73">
        <f t="shared" si="69"/>
        <v>0</v>
      </c>
      <c r="K134" s="73">
        <f t="shared" si="69"/>
        <v>0</v>
      </c>
      <c r="L134" s="73">
        <f t="shared" si="69"/>
        <v>0</v>
      </c>
      <c r="M134" s="73">
        <f t="shared" si="69"/>
        <v>0</v>
      </c>
      <c r="N134" s="73">
        <f t="shared" si="69"/>
        <v>0</v>
      </c>
      <c r="O134" s="73">
        <f t="shared" si="69"/>
        <v>0</v>
      </c>
      <c r="P134" s="73">
        <f t="shared" si="69"/>
        <v>0</v>
      </c>
      <c r="Q134" s="73">
        <f t="shared" si="69"/>
        <v>0</v>
      </c>
      <c r="R134" s="73">
        <f t="shared" si="69"/>
        <v>0</v>
      </c>
      <c r="S134" s="73">
        <f t="shared" si="69"/>
        <v>0</v>
      </c>
      <c r="T134" s="73">
        <f t="shared" si="69"/>
        <v>0</v>
      </c>
      <c r="U134" s="73">
        <f t="shared" si="69"/>
        <v>0</v>
      </c>
      <c r="V134" s="73">
        <f t="shared" si="69"/>
        <v>0</v>
      </c>
      <c r="W134" s="73">
        <f t="shared" si="69"/>
        <v>0</v>
      </c>
      <c r="X134" s="73">
        <f t="shared" si="69"/>
        <v>0</v>
      </c>
      <c r="Y134" s="73">
        <f t="shared" si="69"/>
        <v>0</v>
      </c>
      <c r="Z134" s="73">
        <f t="shared" si="69"/>
        <v>0</v>
      </c>
      <c r="AA134" s="73">
        <f t="shared" si="69"/>
        <v>0</v>
      </c>
      <c r="AB134" s="73">
        <f t="shared" si="69"/>
        <v>0</v>
      </c>
      <c r="AC134" s="73"/>
      <c r="AD134" s="73"/>
    </row>
    <row r="135" spans="1:30" x14ac:dyDescent="0.3">
      <c r="A135" s="72"/>
      <c r="B135" s="14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</row>
    <row r="136" spans="1:30" x14ac:dyDescent="0.3">
      <c r="A136" s="74">
        <f>SUM(C136:AB136)</f>
        <v>67477.180747661987</v>
      </c>
      <c r="B136" s="3" t="s">
        <v>182</v>
      </c>
      <c r="C136" s="48">
        <f t="shared" ref="C136:AB136" si="70">-C129+C125-SUM(C131:C134)</f>
        <v>-38160</v>
      </c>
      <c r="D136" s="48">
        <f t="shared" si="70"/>
        <v>4347.3444683914786</v>
      </c>
      <c r="E136" s="48">
        <f t="shared" si="70"/>
        <v>4421.4357972007583</v>
      </c>
      <c r="F136" s="48">
        <f t="shared" si="70"/>
        <v>4496.8922276076228</v>
      </c>
      <c r="G136" s="48">
        <f t="shared" si="70"/>
        <v>4816.0385950422615</v>
      </c>
      <c r="H136" s="48">
        <f t="shared" si="70"/>
        <v>4900.3564915012648</v>
      </c>
      <c r="I136" s="48">
        <f t="shared" si="70"/>
        <v>4986.265524386954</v>
      </c>
      <c r="J136" s="48">
        <f t="shared" si="70"/>
        <v>5073.7952004916751</v>
      </c>
      <c r="K136" s="48">
        <f t="shared" si="70"/>
        <v>5162.9755601291672</v>
      </c>
      <c r="L136" s="48">
        <f t="shared" si="70"/>
        <v>5253.8371864151432</v>
      </c>
      <c r="M136" s="48">
        <f t="shared" si="70"/>
        <v>5346.4112146992666</v>
      </c>
      <c r="N136" s="48">
        <f t="shared" si="70"/>
        <v>5800.7293421506383</v>
      </c>
      <c r="O136" s="48">
        <f t="shared" si="70"/>
        <v>5896.8238374990869</v>
      </c>
      <c r="P136" s="48">
        <f t="shared" si="70"/>
        <v>5613.1275509344177</v>
      </c>
      <c r="Q136" s="48">
        <f t="shared" si="70"/>
        <v>5331.2739241658983</v>
      </c>
      <c r="R136" s="48">
        <f t="shared" si="70"/>
        <v>5432.8970006442742</v>
      </c>
      <c r="S136" s="48">
        <f t="shared" si="70"/>
        <v>5536.431435948547</v>
      </c>
      <c r="T136" s="48">
        <f t="shared" si="70"/>
        <v>5641.9125083399013</v>
      </c>
      <c r="U136" s="48">
        <f t="shared" si="70"/>
        <v>5749.3761294850829</v>
      </c>
      <c r="V136" s="48">
        <f t="shared" si="70"/>
        <v>5858.8588553515747</v>
      </c>
      <c r="W136" s="48">
        <f t="shared" si="70"/>
        <v>5970.3978972769855</v>
      </c>
      <c r="X136" s="48">
        <f t="shared" si="70"/>
        <v>0</v>
      </c>
      <c r="Y136" s="48">
        <f t="shared" si="70"/>
        <v>0</v>
      </c>
      <c r="Z136" s="48">
        <f t="shared" si="70"/>
        <v>0</v>
      </c>
      <c r="AA136" s="48">
        <f t="shared" si="70"/>
        <v>0</v>
      </c>
      <c r="AB136" s="48">
        <f t="shared" si="70"/>
        <v>0</v>
      </c>
      <c r="AC136" s="48"/>
      <c r="AD136" s="48"/>
    </row>
    <row r="137" spans="1:30" x14ac:dyDescent="0.3">
      <c r="A137" s="75">
        <f>SUM(C137:AB137)</f>
        <v>0</v>
      </c>
      <c r="B137" s="72" t="s">
        <v>183</v>
      </c>
      <c r="C137" s="76">
        <f t="shared" ref="C137:AB137" si="71">-C141-C151-C146</f>
        <v>0</v>
      </c>
      <c r="D137" s="76">
        <f t="shared" si="71"/>
        <v>0</v>
      </c>
      <c r="E137" s="76">
        <f t="shared" si="71"/>
        <v>0</v>
      </c>
      <c r="F137" s="76">
        <f t="shared" si="71"/>
        <v>0</v>
      </c>
      <c r="G137" s="76">
        <f t="shared" si="71"/>
        <v>0</v>
      </c>
      <c r="H137" s="76">
        <f t="shared" si="71"/>
        <v>0</v>
      </c>
      <c r="I137" s="76">
        <f t="shared" si="71"/>
        <v>0</v>
      </c>
      <c r="J137" s="76">
        <f t="shared" si="71"/>
        <v>0</v>
      </c>
      <c r="K137" s="76">
        <f t="shared" si="71"/>
        <v>0</v>
      </c>
      <c r="L137" s="76">
        <f t="shared" si="71"/>
        <v>0</v>
      </c>
      <c r="M137" s="76">
        <f t="shared" si="71"/>
        <v>0</v>
      </c>
      <c r="N137" s="76">
        <f t="shared" si="71"/>
        <v>0</v>
      </c>
      <c r="O137" s="76">
        <f t="shared" si="71"/>
        <v>0</v>
      </c>
      <c r="P137" s="76">
        <f t="shared" si="71"/>
        <v>0</v>
      </c>
      <c r="Q137" s="76">
        <f t="shared" si="71"/>
        <v>0</v>
      </c>
      <c r="R137" s="76">
        <f t="shared" si="71"/>
        <v>0</v>
      </c>
      <c r="S137" s="76">
        <f t="shared" si="71"/>
        <v>0</v>
      </c>
      <c r="T137" s="76">
        <f t="shared" si="71"/>
        <v>0</v>
      </c>
      <c r="U137" s="76">
        <f t="shared" si="71"/>
        <v>0</v>
      </c>
      <c r="V137" s="76">
        <f t="shared" si="71"/>
        <v>0</v>
      </c>
      <c r="W137" s="76">
        <f t="shared" si="71"/>
        <v>0</v>
      </c>
      <c r="X137" s="76">
        <f t="shared" si="71"/>
        <v>0</v>
      </c>
      <c r="Y137" s="76">
        <f t="shared" si="71"/>
        <v>0</v>
      </c>
      <c r="Z137" s="76">
        <f t="shared" si="71"/>
        <v>0</v>
      </c>
      <c r="AA137" s="76">
        <f t="shared" si="71"/>
        <v>0</v>
      </c>
      <c r="AB137" s="76">
        <f t="shared" si="71"/>
        <v>0</v>
      </c>
      <c r="AC137" s="76"/>
      <c r="AD137" s="76"/>
    </row>
    <row r="138" spans="1:30" x14ac:dyDescent="0.3">
      <c r="A138" s="59"/>
      <c r="B138" s="59" t="s">
        <v>184</v>
      </c>
      <c r="C138" s="77">
        <f>C136</f>
        <v>-38160</v>
      </c>
      <c r="D138" s="77">
        <f t="shared" ref="D138:AB138" si="72">(C138+D136)*(D42&lt;=$C$19)</f>
        <v>-33812.655531608521</v>
      </c>
      <c r="E138" s="77">
        <f t="shared" si="72"/>
        <v>-29391.219734407765</v>
      </c>
      <c r="F138" s="77">
        <f t="shared" si="72"/>
        <v>-24894.327506800142</v>
      </c>
      <c r="G138" s="77">
        <f t="shared" si="72"/>
        <v>-20078.288911757882</v>
      </c>
      <c r="H138" s="77">
        <f t="shared" si="72"/>
        <v>-15177.932420256617</v>
      </c>
      <c r="I138" s="77">
        <f t="shared" si="72"/>
        <v>-10191.666895869663</v>
      </c>
      <c r="J138" s="77">
        <f t="shared" si="72"/>
        <v>-5117.8716953779876</v>
      </c>
      <c r="K138" s="77">
        <f t="shared" si="72"/>
        <v>45.103864751179572</v>
      </c>
      <c r="L138" s="77">
        <f t="shared" si="72"/>
        <v>5298.9410511663227</v>
      </c>
      <c r="M138" s="77">
        <f t="shared" si="72"/>
        <v>10645.352265865589</v>
      </c>
      <c r="N138" s="77">
        <f t="shared" si="72"/>
        <v>16446.081608016226</v>
      </c>
      <c r="O138" s="77">
        <f t="shared" si="72"/>
        <v>22342.905445515313</v>
      </c>
      <c r="P138" s="77">
        <f t="shared" si="72"/>
        <v>27956.032996449729</v>
      </c>
      <c r="Q138" s="77">
        <f t="shared" si="72"/>
        <v>33287.306920615629</v>
      </c>
      <c r="R138" s="77">
        <f t="shared" si="72"/>
        <v>38720.203921259905</v>
      </c>
      <c r="S138" s="77">
        <f t="shared" si="72"/>
        <v>44256.635357208448</v>
      </c>
      <c r="T138" s="77">
        <f t="shared" si="72"/>
        <v>49898.547865548346</v>
      </c>
      <c r="U138" s="77">
        <f t="shared" si="72"/>
        <v>55647.92399503343</v>
      </c>
      <c r="V138" s="77">
        <f t="shared" si="72"/>
        <v>61506.782850385003</v>
      </c>
      <c r="W138" s="77">
        <f t="shared" si="72"/>
        <v>67477.180747661987</v>
      </c>
      <c r="X138" s="77">
        <f t="shared" si="72"/>
        <v>0</v>
      </c>
      <c r="Y138" s="77">
        <f t="shared" si="72"/>
        <v>0</v>
      </c>
      <c r="Z138" s="77">
        <f t="shared" si="72"/>
        <v>0</v>
      </c>
      <c r="AA138" s="77">
        <f t="shared" si="72"/>
        <v>0</v>
      </c>
      <c r="AB138" s="77">
        <f t="shared" si="72"/>
        <v>0</v>
      </c>
      <c r="AC138" s="77"/>
      <c r="AD138" s="77"/>
    </row>
    <row r="139" spans="1:30" x14ac:dyDescent="0.3">
      <c r="A139" s="59"/>
      <c r="B139" s="78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</row>
    <row r="140" spans="1:30" x14ac:dyDescent="0.3"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x14ac:dyDescent="0.3">
      <c r="B141" t="s">
        <v>185</v>
      </c>
      <c r="C141" s="42">
        <f>C129*Finance!E22</f>
        <v>0</v>
      </c>
      <c r="D141" s="42">
        <f t="shared" ref="D141:AB141" si="73">MAX(0,D129-D142)</f>
        <v>0</v>
      </c>
      <c r="E141" s="42">
        <f t="shared" si="73"/>
        <v>0</v>
      </c>
      <c r="F141" s="42">
        <f t="shared" si="73"/>
        <v>0</v>
      </c>
      <c r="G141" s="42">
        <f t="shared" si="73"/>
        <v>0</v>
      </c>
      <c r="H141" s="42">
        <f t="shared" si="73"/>
        <v>0</v>
      </c>
      <c r="I141" s="42">
        <f t="shared" si="73"/>
        <v>0</v>
      </c>
      <c r="J141" s="42">
        <f t="shared" si="73"/>
        <v>0</v>
      </c>
      <c r="K141" s="42">
        <f t="shared" si="73"/>
        <v>0</v>
      </c>
      <c r="L141" s="42">
        <f t="shared" si="73"/>
        <v>0</v>
      </c>
      <c r="M141" s="42">
        <f t="shared" si="73"/>
        <v>0</v>
      </c>
      <c r="N141" s="42">
        <f t="shared" si="73"/>
        <v>0</v>
      </c>
      <c r="O141" s="42">
        <f t="shared" si="73"/>
        <v>0</v>
      </c>
      <c r="P141" s="42">
        <f t="shared" si="73"/>
        <v>0</v>
      </c>
      <c r="Q141" s="42">
        <f t="shared" si="73"/>
        <v>0</v>
      </c>
      <c r="R141" s="42">
        <f t="shared" si="73"/>
        <v>0</v>
      </c>
      <c r="S141" s="42">
        <f t="shared" si="73"/>
        <v>0</v>
      </c>
      <c r="T141" s="42">
        <f t="shared" si="73"/>
        <v>0</v>
      </c>
      <c r="U141" s="42">
        <f t="shared" si="73"/>
        <v>0</v>
      </c>
      <c r="V141" s="42">
        <f t="shared" si="73"/>
        <v>0</v>
      </c>
      <c r="W141" s="42">
        <f t="shared" si="73"/>
        <v>0</v>
      </c>
      <c r="X141" s="42">
        <f t="shared" si="73"/>
        <v>0</v>
      </c>
      <c r="Y141" s="42">
        <f t="shared" si="73"/>
        <v>0</v>
      </c>
      <c r="Z141" s="42">
        <f t="shared" si="73"/>
        <v>0</v>
      </c>
      <c r="AA141" s="42">
        <f t="shared" si="73"/>
        <v>0</v>
      </c>
      <c r="AB141" s="42">
        <f t="shared" si="73"/>
        <v>0</v>
      </c>
      <c r="AC141" s="42"/>
      <c r="AD141" s="42"/>
    </row>
    <row r="142" spans="1:30" x14ac:dyDescent="0.3">
      <c r="A142" s="117"/>
      <c r="B142" s="117" t="s">
        <v>186</v>
      </c>
      <c r="C142" s="118">
        <f>C129*Finance!E19</f>
        <v>38160</v>
      </c>
      <c r="D142" s="118">
        <f>(C142-D144)*(D$42&lt;=Finance!$E$20)</f>
        <v>35616</v>
      </c>
      <c r="E142" s="118">
        <f>(D142-E144)*(E$42&lt;=Finance!$E$20)</f>
        <v>33072</v>
      </c>
      <c r="F142" s="118">
        <f>(E142-F144)*(F$42&lt;=Finance!$E$20)</f>
        <v>30528</v>
      </c>
      <c r="G142" s="118">
        <f>(F142-G144)*(G$42&lt;=Finance!$E$20)</f>
        <v>27984</v>
      </c>
      <c r="H142" s="118">
        <f>(G142-H144)*(H$42&lt;=Finance!$E$20)</f>
        <v>25440</v>
      </c>
      <c r="I142" s="118">
        <f>(H142-I144)*(I$42&lt;=Finance!$E$20)</f>
        <v>22896</v>
      </c>
      <c r="J142" s="118">
        <f>(I142-J144)*(J$42&lt;=Finance!$E$20)</f>
        <v>20352</v>
      </c>
      <c r="K142" s="118">
        <f>(J142-K144)*(K$42&lt;=Finance!$E$20)</f>
        <v>17808</v>
      </c>
      <c r="L142" s="118">
        <f>(K142-L144)*(L$42&lt;=Finance!$E$20)</f>
        <v>15264</v>
      </c>
      <c r="M142" s="118">
        <f>(L142-M144)*(M$42&lt;=Finance!$E$20)</f>
        <v>12720</v>
      </c>
      <c r="N142" s="118">
        <f>(M142-N144)*(N$42&lt;=Finance!$E$20)</f>
        <v>10176</v>
      </c>
      <c r="O142" s="118">
        <f>(N142-O144)*(O$42&lt;=Finance!$E$20)</f>
        <v>7632</v>
      </c>
      <c r="P142" s="118">
        <f>(O142-P144)*(P$42&lt;=Finance!$E$20)</f>
        <v>5088</v>
      </c>
      <c r="Q142" s="118">
        <f>(P142-Q144)*(Q$42&lt;=Finance!$E$20)</f>
        <v>2544</v>
      </c>
      <c r="R142" s="118">
        <f>(Q142-R144)*(R$42&lt;=Finance!$E$20)</f>
        <v>0</v>
      </c>
      <c r="S142" s="118">
        <f>(R142-S144)*(S$42&lt;=Finance!$E$20)</f>
        <v>0</v>
      </c>
      <c r="T142" s="118">
        <f>(S142-T144)*(T$42&lt;=Finance!$E$20)</f>
        <v>0</v>
      </c>
      <c r="U142" s="118">
        <f>(T142-U144)*(U$42&lt;=Finance!$E$20)</f>
        <v>0</v>
      </c>
      <c r="V142" s="118">
        <f>(U142-V144)*(V$42&lt;=Finance!$E$20)</f>
        <v>0</v>
      </c>
      <c r="W142" s="118">
        <f>(V142-W144)*(W$42&lt;=Finance!$E$20)</f>
        <v>0</v>
      </c>
      <c r="X142" s="118">
        <f>(W142-X144)*(X$42&lt;=Finance!$E$20)</f>
        <v>0</v>
      </c>
      <c r="Y142" s="118">
        <f>(X142-Y144)*(Y$42&lt;=Finance!$E$20)</f>
        <v>0</v>
      </c>
      <c r="Z142" s="118">
        <f>(Y142-Z144)*(Z$42&lt;=Finance!$E$20)</f>
        <v>0</v>
      </c>
      <c r="AA142" s="118">
        <f>(Z142-AA144)*(AA$42&lt;=Finance!$E$20)</f>
        <v>0</v>
      </c>
      <c r="AB142" s="118">
        <f>(AA142-AB144)*(AB$42&lt;=Finance!$E$20)</f>
        <v>0</v>
      </c>
      <c r="AC142" s="118"/>
      <c r="AD142" s="118"/>
    </row>
    <row r="143" spans="1:30" x14ac:dyDescent="0.3">
      <c r="B143" s="117" t="s">
        <v>187</v>
      </c>
      <c r="C143" s="117"/>
      <c r="D143" s="118">
        <f>C142*Finance!E21</f>
        <v>3434.4</v>
      </c>
      <c r="E143" s="118">
        <f>D142*Finance!$E$21</f>
        <v>3205.44</v>
      </c>
      <c r="F143" s="118">
        <f>E142*Finance!$E$21</f>
        <v>2976.48</v>
      </c>
      <c r="G143" s="118">
        <f>F142*Finance!$E$21</f>
        <v>2747.52</v>
      </c>
      <c r="H143" s="118">
        <f>G142*Finance!$E$21</f>
        <v>2518.56</v>
      </c>
      <c r="I143" s="118">
        <f>H142*Finance!$E$21</f>
        <v>2289.6</v>
      </c>
      <c r="J143" s="118">
        <f>I142*Finance!$E$21</f>
        <v>2060.64</v>
      </c>
      <c r="K143" s="118">
        <f>J142*Finance!$E$21</f>
        <v>1831.6799999999998</v>
      </c>
      <c r="L143" s="118">
        <f>K142*Finance!$E$21</f>
        <v>1602.72</v>
      </c>
      <c r="M143" s="118">
        <f>L142*Finance!$E$21</f>
        <v>1373.76</v>
      </c>
      <c r="N143" s="118">
        <f>M142*Finance!$E$21</f>
        <v>1144.8</v>
      </c>
      <c r="O143" s="118">
        <f>N142*Finance!$E$21</f>
        <v>915.83999999999992</v>
      </c>
      <c r="P143" s="118">
        <f>O142*Finance!$E$21</f>
        <v>686.88</v>
      </c>
      <c r="Q143" s="118">
        <f>P142*Finance!$E$21</f>
        <v>457.91999999999996</v>
      </c>
      <c r="R143" s="118">
        <f>Q142*Finance!$E$21</f>
        <v>228.95999999999998</v>
      </c>
      <c r="S143" s="118">
        <f>R142*Finance!$E$21</f>
        <v>0</v>
      </c>
      <c r="T143" s="118">
        <f>S142*Finance!$E$21</f>
        <v>0</v>
      </c>
      <c r="U143" s="118">
        <f>T142*Finance!$E$21</f>
        <v>0</v>
      </c>
      <c r="V143" s="118">
        <f>U142*Finance!$E$21</f>
        <v>0</v>
      </c>
      <c r="W143" s="118">
        <f>V142*Finance!$E$21</f>
        <v>0</v>
      </c>
      <c r="X143" s="118">
        <f>W142*Finance!$E$21</f>
        <v>0</v>
      </c>
      <c r="Y143" s="118">
        <f>X142*Finance!$E$21</f>
        <v>0</v>
      </c>
      <c r="Z143" s="118">
        <f>Y142*Finance!$E$21</f>
        <v>0</v>
      </c>
      <c r="AA143" s="118">
        <f>Z142*Finance!$E$21</f>
        <v>0</v>
      </c>
      <c r="AB143" s="118">
        <f>AA142*Finance!$E$21</f>
        <v>0</v>
      </c>
      <c r="AC143" s="42"/>
      <c r="AD143" s="42"/>
    </row>
    <row r="144" spans="1:30" x14ac:dyDescent="0.3">
      <c r="B144" s="117" t="s">
        <v>188</v>
      </c>
      <c r="C144" s="117"/>
      <c r="D144" s="118">
        <f>C142/Finance!E20</f>
        <v>2544</v>
      </c>
      <c r="E144" s="118">
        <f>D144*(E$42&lt;=Finance!$E$20)</f>
        <v>2544</v>
      </c>
      <c r="F144" s="118">
        <f>E144*(F$42&lt;=Finance!$E$20)</f>
        <v>2544</v>
      </c>
      <c r="G144" s="118">
        <f>F144*(G$42&lt;=Finance!$E$20)</f>
        <v>2544</v>
      </c>
      <c r="H144" s="118">
        <f>G144*(H$42&lt;=Finance!$E$20)</f>
        <v>2544</v>
      </c>
      <c r="I144" s="118">
        <f>H144*(I$42&lt;=Finance!$E$20)</f>
        <v>2544</v>
      </c>
      <c r="J144" s="118">
        <f>I144*(J$42&lt;=Finance!$E$20)</f>
        <v>2544</v>
      </c>
      <c r="K144" s="118">
        <f>J144*(K$42&lt;=Finance!$E$20)</f>
        <v>2544</v>
      </c>
      <c r="L144" s="118">
        <f>K144*(L$42&lt;=Finance!$E$20)</f>
        <v>2544</v>
      </c>
      <c r="M144" s="118">
        <f>L144*(M$42&lt;=Finance!$E$20)</f>
        <v>2544</v>
      </c>
      <c r="N144" s="118">
        <f>M144*(N$42&lt;=Finance!$E$20)</f>
        <v>2544</v>
      </c>
      <c r="O144" s="118">
        <f>N144*(O$42&lt;=Finance!$E$20)</f>
        <v>2544</v>
      </c>
      <c r="P144" s="118">
        <f>O144*(P$42&lt;=Finance!$E$20)</f>
        <v>2544</v>
      </c>
      <c r="Q144" s="118">
        <f>P144*(Q$42&lt;=Finance!$E$20)</f>
        <v>2544</v>
      </c>
      <c r="R144" s="118">
        <f>Q144*(R$42&lt;=Finance!$E$20)</f>
        <v>2544</v>
      </c>
      <c r="S144" s="118">
        <f>R144*(S$42&lt;=Finance!$E$20)</f>
        <v>0</v>
      </c>
      <c r="T144" s="118">
        <f>S144*(T$42&lt;=Finance!$E$20)</f>
        <v>0</v>
      </c>
      <c r="U144" s="118">
        <f>T144*(U$42&lt;=Finance!$E$20)</f>
        <v>0</v>
      </c>
      <c r="V144" s="118">
        <f>U144*(V$42&lt;=Finance!$E$20)</f>
        <v>0</v>
      </c>
      <c r="W144" s="118">
        <f>V144*(W$42&lt;=Finance!$E$20)</f>
        <v>0</v>
      </c>
      <c r="X144" s="118">
        <f>W144*(X$42&lt;=Finance!$E$20)</f>
        <v>0</v>
      </c>
      <c r="Y144" s="118">
        <f>X144*(Y$42&lt;=Finance!$E$20)</f>
        <v>0</v>
      </c>
      <c r="Z144" s="118">
        <f>Y144*(Z$42&lt;=Finance!$E$20)</f>
        <v>0</v>
      </c>
      <c r="AA144" s="118">
        <f>Z144*(AA$42&lt;=Finance!$E$20)</f>
        <v>0</v>
      </c>
      <c r="AB144" s="118">
        <f>AA144*(AB$42&lt;=Finance!$E$20)</f>
        <v>0</v>
      </c>
      <c r="AC144" s="42"/>
      <c r="AD144" s="42"/>
    </row>
    <row r="145" spans="1:30" x14ac:dyDescent="0.3"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</row>
    <row r="146" spans="1:30" x14ac:dyDescent="0.3">
      <c r="A146" s="151"/>
      <c r="B146" s="151" t="s">
        <v>189</v>
      </c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</row>
    <row r="147" spans="1:30" x14ac:dyDescent="0.3">
      <c r="A147" s="151"/>
      <c r="B147" s="151" t="s">
        <v>190</v>
      </c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</row>
    <row r="148" spans="1:30" x14ac:dyDescent="0.3">
      <c r="A148" s="154">
        <f>SUM(C148:AB148)</f>
        <v>0</v>
      </c>
      <c r="B148" s="151" t="s">
        <v>191</v>
      </c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</row>
    <row r="149" spans="1:30" x14ac:dyDescent="0.3">
      <c r="A149" s="151"/>
      <c r="B149" s="151" t="s">
        <v>192</v>
      </c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</row>
    <row r="150" spans="1:30" x14ac:dyDescent="0.3">
      <c r="B150" t="s">
        <v>193</v>
      </c>
      <c r="C150" s="42">
        <f t="shared" ref="C150:AB150" si="74">C123</f>
        <v>0</v>
      </c>
      <c r="D150" s="42">
        <f t="shared" si="74"/>
        <v>0</v>
      </c>
      <c r="E150" s="42">
        <f t="shared" si="74"/>
        <v>0</v>
      </c>
      <c r="F150" s="42">
        <f t="shared" si="74"/>
        <v>0</v>
      </c>
      <c r="G150" s="42">
        <f t="shared" si="74"/>
        <v>0</v>
      </c>
      <c r="H150" s="42">
        <f t="shared" si="74"/>
        <v>0</v>
      </c>
      <c r="I150" s="42">
        <f t="shared" si="74"/>
        <v>0</v>
      </c>
      <c r="J150" s="42">
        <f t="shared" si="74"/>
        <v>0</v>
      </c>
      <c r="K150" s="42">
        <f t="shared" si="74"/>
        <v>0</v>
      </c>
      <c r="L150" s="42">
        <f t="shared" si="74"/>
        <v>0</v>
      </c>
      <c r="M150" s="42">
        <f t="shared" si="74"/>
        <v>0</v>
      </c>
      <c r="N150" s="42">
        <f t="shared" si="74"/>
        <v>0</v>
      </c>
      <c r="O150" s="42">
        <f t="shared" si="74"/>
        <v>0</v>
      </c>
      <c r="P150" s="42">
        <f t="shared" si="74"/>
        <v>0</v>
      </c>
      <c r="Q150" s="42">
        <f t="shared" si="74"/>
        <v>0</v>
      </c>
      <c r="R150" s="42">
        <f t="shared" si="74"/>
        <v>0</v>
      </c>
      <c r="S150" s="42">
        <f t="shared" si="74"/>
        <v>0</v>
      </c>
      <c r="T150" s="42">
        <f t="shared" si="74"/>
        <v>0</v>
      </c>
      <c r="U150" s="42">
        <f t="shared" si="74"/>
        <v>0</v>
      </c>
      <c r="V150" s="42">
        <f t="shared" si="74"/>
        <v>0</v>
      </c>
      <c r="W150" s="42">
        <f t="shared" si="74"/>
        <v>0</v>
      </c>
      <c r="X150" s="42">
        <f t="shared" si="74"/>
        <v>0</v>
      </c>
      <c r="Y150" s="42">
        <f t="shared" si="74"/>
        <v>0</v>
      </c>
      <c r="Z150" s="42">
        <f t="shared" si="74"/>
        <v>0</v>
      </c>
      <c r="AA150" s="42">
        <f t="shared" si="74"/>
        <v>0</v>
      </c>
      <c r="AB150" s="42">
        <f t="shared" si="74"/>
        <v>0</v>
      </c>
      <c r="AC150" s="42"/>
      <c r="AD150" s="42"/>
    </row>
    <row r="151" spans="1:30" x14ac:dyDescent="0.3">
      <c r="B151" t="s">
        <v>194</v>
      </c>
      <c r="C151" s="42"/>
      <c r="D151" s="42">
        <f t="shared" ref="D151:AB151" si="75">MIN(0,$C$33-$C$32*(D136+D146+D147+D148+D149+D150+C164))*(D42&lt;=$C$19)*(C164&gt;$C$33)</f>
        <v>0</v>
      </c>
      <c r="E151" s="42">
        <f t="shared" si="75"/>
        <v>0</v>
      </c>
      <c r="F151" s="42">
        <f t="shared" si="75"/>
        <v>0</v>
      </c>
      <c r="G151" s="42">
        <f t="shared" si="75"/>
        <v>0</v>
      </c>
      <c r="H151" s="42">
        <f t="shared" si="75"/>
        <v>0</v>
      </c>
      <c r="I151" s="42">
        <f t="shared" si="75"/>
        <v>0</v>
      </c>
      <c r="J151" s="42">
        <f t="shared" si="75"/>
        <v>0</v>
      </c>
      <c r="K151" s="42">
        <f t="shared" si="75"/>
        <v>0</v>
      </c>
      <c r="L151" s="42">
        <f t="shared" si="75"/>
        <v>0</v>
      </c>
      <c r="M151" s="42">
        <f t="shared" si="75"/>
        <v>0</v>
      </c>
      <c r="N151" s="42">
        <f t="shared" si="75"/>
        <v>0</v>
      </c>
      <c r="O151" s="42">
        <f t="shared" si="75"/>
        <v>0</v>
      </c>
      <c r="P151" s="42">
        <f t="shared" si="75"/>
        <v>0</v>
      </c>
      <c r="Q151" s="42">
        <f t="shared" si="75"/>
        <v>0</v>
      </c>
      <c r="R151" s="42">
        <f t="shared" si="75"/>
        <v>0</v>
      </c>
      <c r="S151" s="42">
        <f t="shared" si="75"/>
        <v>0</v>
      </c>
      <c r="T151" s="42">
        <f t="shared" si="75"/>
        <v>0</v>
      </c>
      <c r="U151" s="42">
        <f t="shared" si="75"/>
        <v>0</v>
      </c>
      <c r="V151" s="42">
        <f t="shared" si="75"/>
        <v>0</v>
      </c>
      <c r="W151" s="42">
        <f t="shared" si="75"/>
        <v>0</v>
      </c>
      <c r="X151" s="42">
        <f t="shared" si="75"/>
        <v>0</v>
      </c>
      <c r="Y151" s="42">
        <f t="shared" si="75"/>
        <v>0</v>
      </c>
      <c r="Z151" s="42">
        <f t="shared" si="75"/>
        <v>0</v>
      </c>
      <c r="AA151" s="42">
        <f t="shared" si="75"/>
        <v>0</v>
      </c>
      <c r="AB151" s="42">
        <f t="shared" si="75"/>
        <v>0</v>
      </c>
      <c r="AC151" s="42"/>
      <c r="AD151" s="42"/>
    </row>
    <row r="152" spans="1:30" x14ac:dyDescent="0.3">
      <c r="B152" s="3" t="s">
        <v>195</v>
      </c>
      <c r="C152" s="48">
        <f t="shared" ref="C152:AB152" si="76">C136+SUM(C141:C151)</f>
        <v>0</v>
      </c>
      <c r="D152" s="48">
        <f t="shared" si="76"/>
        <v>45941.74446839148</v>
      </c>
      <c r="E152" s="48">
        <f t="shared" si="76"/>
        <v>43242.875797200759</v>
      </c>
      <c r="F152" s="48">
        <f t="shared" si="76"/>
        <v>40545.37222760763</v>
      </c>
      <c r="G152" s="48">
        <f t="shared" si="76"/>
        <v>38091.558595042268</v>
      </c>
      <c r="H152" s="48">
        <f t="shared" si="76"/>
        <v>35402.916491501266</v>
      </c>
      <c r="I152" s="48">
        <f t="shared" si="76"/>
        <v>32715.865524386951</v>
      </c>
      <c r="J152" s="48">
        <f t="shared" si="76"/>
        <v>30030.435200491673</v>
      </c>
      <c r="K152" s="48">
        <f t="shared" si="76"/>
        <v>27346.655560129169</v>
      </c>
      <c r="L152" s="48">
        <f t="shared" si="76"/>
        <v>24664.557186415142</v>
      </c>
      <c r="M152" s="48">
        <f t="shared" si="76"/>
        <v>21984.171214699269</v>
      </c>
      <c r="N152" s="48">
        <f t="shared" si="76"/>
        <v>19665.529342150636</v>
      </c>
      <c r="O152" s="48">
        <f t="shared" si="76"/>
        <v>16988.663837499087</v>
      </c>
      <c r="P152" s="48">
        <f t="shared" si="76"/>
        <v>13932.007550934419</v>
      </c>
      <c r="Q152" s="48">
        <f t="shared" si="76"/>
        <v>10877.193924165898</v>
      </c>
      <c r="R152" s="48">
        <f t="shared" si="76"/>
        <v>8205.8570006442751</v>
      </c>
      <c r="S152" s="48">
        <f t="shared" si="76"/>
        <v>5536.431435948547</v>
      </c>
      <c r="T152" s="48">
        <f t="shared" si="76"/>
        <v>5641.9125083399013</v>
      </c>
      <c r="U152" s="48">
        <f t="shared" si="76"/>
        <v>5749.3761294850829</v>
      </c>
      <c r="V152" s="48">
        <f t="shared" si="76"/>
        <v>5858.8588553515747</v>
      </c>
      <c r="W152" s="48">
        <f t="shared" si="76"/>
        <v>5970.3978972769855</v>
      </c>
      <c r="X152" s="48">
        <f t="shared" si="76"/>
        <v>0</v>
      </c>
      <c r="Y152" s="48">
        <f t="shared" si="76"/>
        <v>0</v>
      </c>
      <c r="Z152" s="48">
        <f t="shared" si="76"/>
        <v>0</v>
      </c>
      <c r="AA152" s="48">
        <f t="shared" si="76"/>
        <v>0</v>
      </c>
      <c r="AB152" s="48">
        <f t="shared" si="76"/>
        <v>0</v>
      </c>
      <c r="AC152" s="48"/>
      <c r="AD152" s="48"/>
    </row>
    <row r="153" spans="1:30" x14ac:dyDescent="0.3">
      <c r="C153" s="79">
        <f t="shared" ref="C153:AB153" si="77">C152/MAX($C$126:$AB$126)</f>
        <v>0</v>
      </c>
      <c r="D153" s="79">
        <f t="shared" si="77"/>
        <v>1.203924121289085</v>
      </c>
      <c r="E153" s="79">
        <f t="shared" si="77"/>
        <v>1.133199051289328</v>
      </c>
      <c r="F153" s="79">
        <f t="shared" si="77"/>
        <v>1.0625097543922335</v>
      </c>
      <c r="G153" s="79">
        <f t="shared" si="77"/>
        <v>0.99820646213423136</v>
      </c>
      <c r="H153" s="79">
        <f t="shared" si="77"/>
        <v>0.92774938394919459</v>
      </c>
      <c r="I153" s="79">
        <f t="shared" si="77"/>
        <v>0.85733400221139811</v>
      </c>
      <c r="J153" s="79">
        <f t="shared" si="77"/>
        <v>0.786961090159635</v>
      </c>
      <c r="K153" s="79">
        <f t="shared" si="77"/>
        <v>0.71663143501386717</v>
      </c>
      <c r="L153" s="79">
        <f t="shared" si="77"/>
        <v>0.64634583821842617</v>
      </c>
      <c r="M153" s="79">
        <f t="shared" si="77"/>
        <v>0.57610511568918421</v>
      </c>
      <c r="N153" s="79">
        <f t="shared" si="77"/>
        <v>0.51534406032889502</v>
      </c>
      <c r="O153" s="79">
        <f t="shared" si="77"/>
        <v>0.44519559322586705</v>
      </c>
      <c r="P153" s="79">
        <f t="shared" si="77"/>
        <v>0.36509453749828141</v>
      </c>
      <c r="Q153" s="79">
        <f t="shared" si="77"/>
        <v>0.2850417695012028</v>
      </c>
      <c r="R153" s="79">
        <f t="shared" si="77"/>
        <v>0.21503818135860259</v>
      </c>
      <c r="S153" s="79">
        <f t="shared" si="77"/>
        <v>0.14508468123554893</v>
      </c>
      <c r="T153" s="79">
        <f t="shared" si="77"/>
        <v>0.14784886028144395</v>
      </c>
      <c r="U153" s="79">
        <f t="shared" si="77"/>
        <v>0.15066499291103466</v>
      </c>
      <c r="V153" s="79">
        <f t="shared" si="77"/>
        <v>0.15353403708992597</v>
      </c>
      <c r="W153" s="79">
        <f t="shared" si="77"/>
        <v>0.15645696795799227</v>
      </c>
      <c r="X153" s="79">
        <f t="shared" si="77"/>
        <v>0</v>
      </c>
      <c r="Y153" s="79">
        <f t="shared" si="77"/>
        <v>0</v>
      </c>
      <c r="Z153" s="79">
        <f t="shared" si="77"/>
        <v>0</v>
      </c>
      <c r="AA153" s="79">
        <f t="shared" si="77"/>
        <v>0</v>
      </c>
      <c r="AB153" s="79">
        <f t="shared" si="77"/>
        <v>0</v>
      </c>
      <c r="AC153" s="79"/>
      <c r="AD153" s="79"/>
    </row>
    <row r="154" spans="1:30" x14ac:dyDescent="0.3">
      <c r="B154" s="11" t="s">
        <v>196</v>
      </c>
      <c r="C154" s="80">
        <f>C136</f>
        <v>-38160</v>
      </c>
      <c r="D154" s="80">
        <f t="shared" ref="D154:AB154" si="78">+D136+D102</f>
        <v>4778.8592911886381</v>
      </c>
      <c r="E154" s="80">
        <f t="shared" si="78"/>
        <v>4877.6477296010107</v>
      </c>
      <c r="F154" s="80">
        <f t="shared" si="78"/>
        <v>4978.25630347683</v>
      </c>
      <c r="G154" s="80">
        <f t="shared" si="78"/>
        <v>5403.7847933896819</v>
      </c>
      <c r="H154" s="80">
        <f t="shared" si="78"/>
        <v>5516.20865533502</v>
      </c>
      <c r="I154" s="80">
        <f t="shared" si="78"/>
        <v>5630.7540325159389</v>
      </c>
      <c r="J154" s="80">
        <f t="shared" si="78"/>
        <v>5747.4602673222334</v>
      </c>
      <c r="K154" s="80">
        <f t="shared" si="78"/>
        <v>5866.3674135055562</v>
      </c>
      <c r="L154" s="80">
        <f t="shared" si="78"/>
        <v>5987.5162485535238</v>
      </c>
      <c r="M154" s="80">
        <f t="shared" si="78"/>
        <v>6110.9482862656887</v>
      </c>
      <c r="N154" s="80">
        <f t="shared" si="78"/>
        <v>6716.7057895341841</v>
      </c>
      <c r="O154" s="80">
        <f t="shared" si="78"/>
        <v>6844.8317833321162</v>
      </c>
      <c r="P154" s="80">
        <f t="shared" si="78"/>
        <v>6975.3700679125559</v>
      </c>
      <c r="Q154" s="80">
        <f t="shared" si="78"/>
        <v>7108.3652322211974</v>
      </c>
      <c r="R154" s="80">
        <f t="shared" si="78"/>
        <v>7243.8626675256983</v>
      </c>
      <c r="S154" s="80">
        <f t="shared" si="78"/>
        <v>7381.908581264729</v>
      </c>
      <c r="T154" s="80">
        <f t="shared" si="78"/>
        <v>7522.5500111198689</v>
      </c>
      <c r="U154" s="80">
        <f t="shared" si="78"/>
        <v>7665.8348393134438</v>
      </c>
      <c r="V154" s="80">
        <f t="shared" si="78"/>
        <v>7811.8118071354329</v>
      </c>
      <c r="W154" s="80">
        <f t="shared" si="78"/>
        <v>7960.530529702648</v>
      </c>
      <c r="X154" s="80">
        <f t="shared" si="78"/>
        <v>0</v>
      </c>
      <c r="Y154" s="80">
        <f t="shared" si="78"/>
        <v>0</v>
      </c>
      <c r="Z154" s="80">
        <f t="shared" si="78"/>
        <v>0</v>
      </c>
      <c r="AA154" s="80">
        <f t="shared" si="78"/>
        <v>0</v>
      </c>
      <c r="AB154" s="80">
        <f t="shared" si="78"/>
        <v>0</v>
      </c>
      <c r="AC154" s="80"/>
      <c r="AD154" s="80"/>
    </row>
    <row r="155" spans="1:30" x14ac:dyDescent="0.3">
      <c r="A155" s="12"/>
      <c r="B155" s="11" t="s">
        <v>197</v>
      </c>
      <c r="C155" s="80">
        <f>C138</f>
        <v>-38160</v>
      </c>
      <c r="D155" s="80">
        <f t="shared" ref="D155:AB155" si="79">D154-D95</f>
        <v>3965.7444683914787</v>
      </c>
      <c r="E155" s="80">
        <f t="shared" si="79"/>
        <v>4039.835797200758</v>
      </c>
      <c r="F155" s="80">
        <f t="shared" si="79"/>
        <v>4115.2922276076224</v>
      </c>
      <c r="G155" s="80">
        <f t="shared" si="79"/>
        <v>4434.4385950422611</v>
      </c>
      <c r="H155" s="80">
        <f t="shared" si="79"/>
        <v>4518.7564915012654</v>
      </c>
      <c r="I155" s="80">
        <f t="shared" si="79"/>
        <v>4604.6655243869536</v>
      </c>
      <c r="J155" s="80">
        <f t="shared" si="79"/>
        <v>4692.1952004916748</v>
      </c>
      <c r="K155" s="80">
        <f t="shared" si="79"/>
        <v>4781.3755601291668</v>
      </c>
      <c r="L155" s="80">
        <f t="shared" si="79"/>
        <v>4872.2371864151428</v>
      </c>
      <c r="M155" s="80">
        <f t="shared" si="79"/>
        <v>4964.8112146992662</v>
      </c>
      <c r="N155" s="80">
        <f t="shared" si="79"/>
        <v>5419.129342150638</v>
      </c>
      <c r="O155" s="80">
        <f t="shared" si="79"/>
        <v>5515.2238374990866</v>
      </c>
      <c r="P155" s="80">
        <f t="shared" si="79"/>
        <v>5613.1275509344168</v>
      </c>
      <c r="Q155" s="80">
        <f t="shared" si="79"/>
        <v>5712.8739241658986</v>
      </c>
      <c r="R155" s="80">
        <f t="shared" si="79"/>
        <v>5814.4970006442736</v>
      </c>
      <c r="S155" s="80">
        <f t="shared" si="79"/>
        <v>5918.0314359485474</v>
      </c>
      <c r="T155" s="80">
        <f t="shared" si="79"/>
        <v>6023.5125083399016</v>
      </c>
      <c r="U155" s="80">
        <f t="shared" si="79"/>
        <v>6130.9761294850832</v>
      </c>
      <c r="V155" s="80">
        <f t="shared" si="79"/>
        <v>6240.458855351575</v>
      </c>
      <c r="W155" s="80">
        <f t="shared" si="79"/>
        <v>6351.9978972769859</v>
      </c>
      <c r="X155" s="80">
        <f t="shared" si="79"/>
        <v>0</v>
      </c>
      <c r="Y155" s="80">
        <f t="shared" si="79"/>
        <v>0</v>
      </c>
      <c r="Z155" s="80">
        <f t="shared" si="79"/>
        <v>0</v>
      </c>
      <c r="AA155" s="80">
        <f t="shared" si="79"/>
        <v>0</v>
      </c>
      <c r="AB155" s="80">
        <f t="shared" si="79"/>
        <v>0</v>
      </c>
      <c r="AC155" s="80"/>
      <c r="AD155" s="80"/>
    </row>
    <row r="156" spans="1:30" x14ac:dyDescent="0.3">
      <c r="A156" s="12"/>
      <c r="B156" s="11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</row>
    <row r="157" spans="1:30" x14ac:dyDescent="0.3">
      <c r="A157" s="12"/>
      <c r="B157" s="11"/>
      <c r="C157" s="80">
        <f>C154</f>
        <v>-38160</v>
      </c>
      <c r="D157" s="80">
        <f t="shared" ref="D157:AB157" si="80">C157+D154</f>
        <v>-33381.140708811363</v>
      </c>
      <c r="E157" s="80">
        <f t="shared" si="80"/>
        <v>-28503.49297921035</v>
      </c>
      <c r="F157" s="80">
        <f t="shared" si="80"/>
        <v>-23525.236675733518</v>
      </c>
      <c r="G157" s="80">
        <f t="shared" si="80"/>
        <v>-18121.451882343837</v>
      </c>
      <c r="H157" s="80">
        <f t="shared" si="80"/>
        <v>-12605.243227008817</v>
      </c>
      <c r="I157" s="80">
        <f t="shared" si="80"/>
        <v>-6974.4891944928786</v>
      </c>
      <c r="J157" s="80">
        <f t="shared" si="80"/>
        <v>-1227.0289271706451</v>
      </c>
      <c r="K157" s="80">
        <f t="shared" si="80"/>
        <v>4639.3384863349111</v>
      </c>
      <c r="L157" s="80">
        <f t="shared" si="80"/>
        <v>10626.854734888435</v>
      </c>
      <c r="M157" s="80">
        <f t="shared" si="80"/>
        <v>16737.803021154123</v>
      </c>
      <c r="N157" s="80">
        <f t="shared" si="80"/>
        <v>23454.508810688305</v>
      </c>
      <c r="O157" s="80">
        <f t="shared" si="80"/>
        <v>30299.340594020421</v>
      </c>
      <c r="P157" s="80">
        <f t="shared" si="80"/>
        <v>37274.710661932979</v>
      </c>
      <c r="Q157" s="80">
        <f t="shared" si="80"/>
        <v>44383.075894154179</v>
      </c>
      <c r="R157" s="80">
        <f t="shared" si="80"/>
        <v>51626.938561679875</v>
      </c>
      <c r="S157" s="80">
        <f t="shared" si="80"/>
        <v>59008.847142944607</v>
      </c>
      <c r="T157" s="80">
        <f t="shared" si="80"/>
        <v>66531.397154064471</v>
      </c>
      <c r="U157" s="80">
        <f t="shared" si="80"/>
        <v>74197.231993377907</v>
      </c>
      <c r="V157" s="80">
        <f t="shared" si="80"/>
        <v>82009.043800513347</v>
      </c>
      <c r="W157" s="80">
        <f t="shared" si="80"/>
        <v>89969.574330215997</v>
      </c>
      <c r="X157" s="80">
        <f t="shared" si="80"/>
        <v>89969.574330215997</v>
      </c>
      <c r="Y157" s="80">
        <f t="shared" si="80"/>
        <v>89969.574330215997</v>
      </c>
      <c r="Z157" s="80">
        <f t="shared" si="80"/>
        <v>89969.574330215997</v>
      </c>
      <c r="AA157" s="80">
        <f t="shared" si="80"/>
        <v>89969.574330215997</v>
      </c>
      <c r="AB157" s="80">
        <f t="shared" si="80"/>
        <v>89969.574330215997</v>
      </c>
      <c r="AC157" s="80"/>
      <c r="AD157" s="80"/>
    </row>
    <row r="158" spans="1:30" x14ac:dyDescent="0.3">
      <c r="A158" s="12"/>
      <c r="B158" s="12"/>
      <c r="C158" s="80">
        <f>C155</f>
        <v>-38160</v>
      </c>
      <c r="D158" s="80">
        <f t="shared" ref="D158:AB158" si="81">C158+D155</f>
        <v>-34194.25553160852</v>
      </c>
      <c r="E158" s="80">
        <f t="shared" si="81"/>
        <v>-30154.419734407762</v>
      </c>
      <c r="F158" s="80">
        <f t="shared" si="81"/>
        <v>-26039.127506800141</v>
      </c>
      <c r="G158" s="80">
        <f t="shared" si="81"/>
        <v>-21604.688911757879</v>
      </c>
      <c r="H158" s="80">
        <f t="shared" si="81"/>
        <v>-17085.932420256613</v>
      </c>
      <c r="I158" s="80">
        <f t="shared" si="81"/>
        <v>-12481.266895869659</v>
      </c>
      <c r="J158" s="80">
        <f t="shared" si="81"/>
        <v>-7789.0716953779847</v>
      </c>
      <c r="K158" s="80">
        <f t="shared" si="81"/>
        <v>-3007.6961352488179</v>
      </c>
      <c r="L158" s="80">
        <f t="shared" si="81"/>
        <v>1864.5410511663249</v>
      </c>
      <c r="M158" s="80">
        <f t="shared" si="81"/>
        <v>6829.3522658655911</v>
      </c>
      <c r="N158" s="80">
        <f t="shared" si="81"/>
        <v>12248.481608016229</v>
      </c>
      <c r="O158" s="80">
        <f t="shared" si="81"/>
        <v>17763.705445515316</v>
      </c>
      <c r="P158" s="80">
        <f t="shared" si="81"/>
        <v>23376.832996449732</v>
      </c>
      <c r="Q158" s="80">
        <f t="shared" si="81"/>
        <v>29089.70692061563</v>
      </c>
      <c r="R158" s="80">
        <f t="shared" si="81"/>
        <v>34904.203921259905</v>
      </c>
      <c r="S158" s="80">
        <f t="shared" si="81"/>
        <v>40822.235357208454</v>
      </c>
      <c r="T158" s="80">
        <f t="shared" si="81"/>
        <v>46845.747865548357</v>
      </c>
      <c r="U158" s="80">
        <f t="shared" si="81"/>
        <v>52976.723995033441</v>
      </c>
      <c r="V158" s="80">
        <f t="shared" si="81"/>
        <v>59217.182850385012</v>
      </c>
      <c r="W158" s="80">
        <f t="shared" si="81"/>
        <v>65569.180747662002</v>
      </c>
      <c r="X158" s="80">
        <f t="shared" si="81"/>
        <v>65569.180747662002</v>
      </c>
      <c r="Y158" s="80">
        <f t="shared" si="81"/>
        <v>65569.180747662002</v>
      </c>
      <c r="Z158" s="80">
        <f t="shared" si="81"/>
        <v>65569.180747662002</v>
      </c>
      <c r="AA158" s="80">
        <f t="shared" si="81"/>
        <v>65569.180747662002</v>
      </c>
      <c r="AB158" s="80">
        <f t="shared" si="81"/>
        <v>65569.180747662002</v>
      </c>
      <c r="AC158" s="80"/>
      <c r="AD158" s="80"/>
    </row>
    <row r="159" spans="1:30" x14ac:dyDescent="0.3">
      <c r="A159" s="12"/>
      <c r="B159" s="12"/>
      <c r="C159" s="101">
        <v>0</v>
      </c>
      <c r="D159" s="101">
        <v>0</v>
      </c>
      <c r="E159" s="101">
        <v>0</v>
      </c>
      <c r="F159" s="101">
        <v>0</v>
      </c>
      <c r="G159" s="101">
        <v>0</v>
      </c>
      <c r="H159" s="101">
        <v>0</v>
      </c>
      <c r="I159" s="101">
        <v>0</v>
      </c>
      <c r="J159" s="101">
        <v>0</v>
      </c>
      <c r="K159" s="101">
        <v>0</v>
      </c>
      <c r="L159" s="101">
        <v>0</v>
      </c>
      <c r="M159" s="101">
        <v>0</v>
      </c>
      <c r="N159" s="101">
        <v>0</v>
      </c>
      <c r="O159" s="101">
        <v>0</v>
      </c>
      <c r="P159" s="101">
        <v>0</v>
      </c>
      <c r="Q159" s="101">
        <v>0</v>
      </c>
      <c r="R159" s="101">
        <v>0</v>
      </c>
      <c r="S159" s="101">
        <v>0</v>
      </c>
      <c r="T159" s="101">
        <v>0</v>
      </c>
      <c r="U159" s="101">
        <v>0</v>
      </c>
      <c r="V159" s="101">
        <v>0</v>
      </c>
      <c r="W159" s="101">
        <v>0</v>
      </c>
      <c r="X159" s="101">
        <v>0</v>
      </c>
      <c r="Y159" s="101">
        <v>0</v>
      </c>
      <c r="Z159" s="101">
        <v>0</v>
      </c>
      <c r="AA159" s="101">
        <v>0</v>
      </c>
      <c r="AB159" s="101">
        <v>0</v>
      </c>
      <c r="AC159" s="80"/>
      <c r="AD159" s="80"/>
    </row>
    <row r="160" spans="1:30" x14ac:dyDescent="0.3">
      <c r="B160" s="2" t="s">
        <v>198</v>
      </c>
      <c r="C160" s="2">
        <v>0</v>
      </c>
      <c r="D160" s="2">
        <v>1</v>
      </c>
      <c r="E160" s="2">
        <v>2</v>
      </c>
      <c r="F160" s="2">
        <v>3</v>
      </c>
      <c r="G160" s="2">
        <v>4</v>
      </c>
      <c r="H160" s="2">
        <v>5</v>
      </c>
      <c r="I160" s="2">
        <v>6</v>
      </c>
      <c r="J160" s="2">
        <v>7</v>
      </c>
      <c r="K160" s="2">
        <v>8</v>
      </c>
      <c r="L160" s="2">
        <v>9</v>
      </c>
      <c r="M160" s="2">
        <v>10</v>
      </c>
      <c r="N160" s="2">
        <v>11</v>
      </c>
      <c r="O160" s="2">
        <v>12</v>
      </c>
      <c r="P160" s="2">
        <v>13</v>
      </c>
      <c r="Q160" s="2">
        <v>14</v>
      </c>
      <c r="R160" s="2">
        <v>15</v>
      </c>
      <c r="S160" s="2">
        <v>16</v>
      </c>
      <c r="T160" s="2">
        <v>17</v>
      </c>
      <c r="U160" s="2">
        <v>18</v>
      </c>
      <c r="V160" s="2">
        <v>19</v>
      </c>
      <c r="W160" s="2">
        <v>20</v>
      </c>
      <c r="X160" s="2">
        <v>21</v>
      </c>
      <c r="Y160" s="2">
        <v>22</v>
      </c>
      <c r="Z160" s="2">
        <v>23</v>
      </c>
      <c r="AA160" s="2">
        <v>24</v>
      </c>
      <c r="AB160" s="2">
        <v>25</v>
      </c>
      <c r="AC160" s="2"/>
      <c r="AD160" s="2"/>
    </row>
    <row r="162" spans="1:30" x14ac:dyDescent="0.3">
      <c r="B162" s="3" t="s">
        <v>199</v>
      </c>
    </row>
    <row r="163" spans="1:30" x14ac:dyDescent="0.3">
      <c r="A163" s="14"/>
      <c r="B163" s="14" t="s">
        <v>200</v>
      </c>
      <c r="C163" s="81">
        <f>C129-C69</f>
        <v>38160</v>
      </c>
      <c r="D163" s="81">
        <f t="shared" ref="D163:AB163" si="82">(D129+C163-D69)*(D42&lt;=$C$19)</f>
        <v>36633.599999999999</v>
      </c>
      <c r="E163" s="81">
        <f t="shared" si="82"/>
        <v>35107.199999999997</v>
      </c>
      <c r="F163" s="81">
        <f t="shared" si="82"/>
        <v>33580.799999999996</v>
      </c>
      <c r="G163" s="81">
        <f t="shared" si="82"/>
        <v>32054.399999999994</v>
      </c>
      <c r="H163" s="81">
        <f t="shared" si="82"/>
        <v>30527.999999999993</v>
      </c>
      <c r="I163" s="81">
        <f t="shared" si="82"/>
        <v>29001.599999999991</v>
      </c>
      <c r="J163" s="81">
        <f t="shared" si="82"/>
        <v>27475.19999999999</v>
      </c>
      <c r="K163" s="81">
        <f t="shared" si="82"/>
        <v>25948.799999999988</v>
      </c>
      <c r="L163" s="81">
        <f t="shared" si="82"/>
        <v>24422.399999999987</v>
      </c>
      <c r="M163" s="81">
        <f t="shared" si="82"/>
        <v>22895.999999999985</v>
      </c>
      <c r="N163" s="81">
        <f t="shared" si="82"/>
        <v>21369.599999999984</v>
      </c>
      <c r="O163" s="81">
        <f t="shared" si="82"/>
        <v>19843.199999999983</v>
      </c>
      <c r="P163" s="81">
        <f t="shared" si="82"/>
        <v>18316.799999999981</v>
      </c>
      <c r="Q163" s="81">
        <f t="shared" si="82"/>
        <v>16790.39999999998</v>
      </c>
      <c r="R163" s="81">
        <f t="shared" si="82"/>
        <v>15263.99999999998</v>
      </c>
      <c r="S163" s="81">
        <f t="shared" si="82"/>
        <v>13737.59999999998</v>
      </c>
      <c r="T163" s="81">
        <f t="shared" si="82"/>
        <v>12211.199999999981</v>
      </c>
      <c r="U163" s="81">
        <f t="shared" si="82"/>
        <v>10684.799999999981</v>
      </c>
      <c r="V163" s="81">
        <f t="shared" si="82"/>
        <v>9158.3999999999814</v>
      </c>
      <c r="W163" s="81">
        <f t="shared" si="82"/>
        <v>7631.9999999999818</v>
      </c>
      <c r="X163" s="81">
        <f t="shared" si="82"/>
        <v>0</v>
      </c>
      <c r="Y163" s="81">
        <f t="shared" si="82"/>
        <v>0</v>
      </c>
      <c r="Z163" s="81">
        <f t="shared" si="82"/>
        <v>0</v>
      </c>
      <c r="AA163" s="81">
        <f t="shared" si="82"/>
        <v>0</v>
      </c>
      <c r="AB163" s="81">
        <f t="shared" si="82"/>
        <v>0</v>
      </c>
      <c r="AC163" s="81"/>
      <c r="AD163" s="81"/>
    </row>
    <row r="164" spans="1:30" x14ac:dyDescent="0.3">
      <c r="B164" t="s">
        <v>201</v>
      </c>
      <c r="C164" s="38">
        <f>C152</f>
        <v>0</v>
      </c>
      <c r="D164" s="38">
        <f t="shared" ref="D164:AB164" si="83">(C164+D152)*(D42&lt;=$C$19)</f>
        <v>45941.74446839148</v>
      </c>
      <c r="E164" s="38">
        <f t="shared" si="83"/>
        <v>89184.620265592239</v>
      </c>
      <c r="F164" s="38">
        <f t="shared" si="83"/>
        <v>129729.99249319987</v>
      </c>
      <c r="G164" s="38">
        <f t="shared" si="83"/>
        <v>167821.55108824215</v>
      </c>
      <c r="H164" s="38">
        <f t="shared" si="83"/>
        <v>203224.46757974342</v>
      </c>
      <c r="I164" s="38">
        <f t="shared" si="83"/>
        <v>235940.33310413038</v>
      </c>
      <c r="J164" s="38">
        <f t="shared" si="83"/>
        <v>265970.76830462203</v>
      </c>
      <c r="K164" s="38">
        <f t="shared" si="83"/>
        <v>293317.42386475118</v>
      </c>
      <c r="L164" s="38">
        <f t="shared" si="83"/>
        <v>317981.98105116631</v>
      </c>
      <c r="M164" s="38">
        <f t="shared" si="83"/>
        <v>339966.15226586559</v>
      </c>
      <c r="N164" s="38">
        <f t="shared" si="83"/>
        <v>359631.68160801625</v>
      </c>
      <c r="O164" s="38">
        <f t="shared" si="83"/>
        <v>376620.34544551536</v>
      </c>
      <c r="P164" s="38">
        <f t="shared" si="83"/>
        <v>390552.3529964498</v>
      </c>
      <c r="Q164" s="38">
        <f t="shared" si="83"/>
        <v>401429.54692061571</v>
      </c>
      <c r="R164" s="38">
        <f t="shared" si="83"/>
        <v>409635.40392125997</v>
      </c>
      <c r="S164" s="38">
        <f t="shared" si="83"/>
        <v>415171.8353572085</v>
      </c>
      <c r="T164" s="38">
        <f t="shared" si="83"/>
        <v>420813.74786554842</v>
      </c>
      <c r="U164" s="38">
        <f t="shared" si="83"/>
        <v>426563.1239950335</v>
      </c>
      <c r="V164" s="38">
        <f t="shared" si="83"/>
        <v>432421.98285038507</v>
      </c>
      <c r="W164" s="38">
        <f t="shared" si="83"/>
        <v>438392.38074766204</v>
      </c>
      <c r="X164" s="38">
        <f t="shared" si="83"/>
        <v>0</v>
      </c>
      <c r="Y164" s="38">
        <f t="shared" si="83"/>
        <v>0</v>
      </c>
      <c r="Z164" s="38">
        <f t="shared" si="83"/>
        <v>0</v>
      </c>
      <c r="AA164" s="38">
        <f t="shared" si="83"/>
        <v>0</v>
      </c>
      <c r="AB164" s="38">
        <f t="shared" si="83"/>
        <v>0</v>
      </c>
      <c r="AC164" s="38"/>
      <c r="AD164" s="38"/>
    </row>
    <row r="165" spans="1:30" x14ac:dyDescent="0.3">
      <c r="B165" t="s">
        <v>202</v>
      </c>
      <c r="C165" s="38"/>
      <c r="D165" s="38">
        <f>SUM($D$131:D134)</f>
        <v>0</v>
      </c>
      <c r="E165" s="38">
        <f>SUM($D$131:E134)</f>
        <v>0</v>
      </c>
      <c r="F165" s="38">
        <f>SUM($D$131:F134)</f>
        <v>0</v>
      </c>
      <c r="G165" s="38">
        <f>SUM($D$131:G134)</f>
        <v>0</v>
      </c>
      <c r="H165" s="38">
        <f>SUM($D$131:H134)</f>
        <v>0</v>
      </c>
      <c r="I165" s="38">
        <f>SUM($D$131:I134)</f>
        <v>0</v>
      </c>
      <c r="J165" s="38">
        <f>SUM($D$131:J134)</f>
        <v>0</v>
      </c>
      <c r="K165" s="38">
        <f>SUM($D$131:K134)</f>
        <v>0</v>
      </c>
      <c r="L165" s="38">
        <f>SUM($D$131:L134)</f>
        <v>0</v>
      </c>
      <c r="M165" s="38">
        <f>SUM($D$131:M134)</f>
        <v>0</v>
      </c>
      <c r="N165" s="38">
        <f>SUM($D$131:N134)</f>
        <v>0</v>
      </c>
      <c r="O165" s="38">
        <f>SUM($D$131:O134)</f>
        <v>0</v>
      </c>
      <c r="P165" s="38">
        <f>SUM($D$131:P134)</f>
        <v>0</v>
      </c>
      <c r="Q165" s="38">
        <f>SUM($D$131:Q134)</f>
        <v>0</v>
      </c>
      <c r="R165" s="38">
        <f>SUM($D$131:R134)</f>
        <v>0</v>
      </c>
      <c r="S165" s="38">
        <f>SUM($D$131:S134)</f>
        <v>0</v>
      </c>
      <c r="T165" s="38">
        <f>SUM($D$131:T134)</f>
        <v>0</v>
      </c>
      <c r="U165" s="38">
        <f>SUM($D$131:U134)</f>
        <v>0</v>
      </c>
      <c r="V165" s="38">
        <f>SUM($D$131:V134)</f>
        <v>0</v>
      </c>
      <c r="W165" s="38">
        <f>SUM($D$131:W134)</f>
        <v>0</v>
      </c>
      <c r="X165" s="38">
        <f>SUM($D$131:X134)</f>
        <v>0</v>
      </c>
      <c r="Y165" s="38">
        <f>SUM($D$131:Y134)</f>
        <v>0</v>
      </c>
      <c r="Z165" s="38">
        <f>SUM($D$131:Z134)</f>
        <v>0</v>
      </c>
      <c r="AA165" s="38">
        <f>SUM($D$131:AA134)</f>
        <v>0</v>
      </c>
      <c r="AB165" s="38">
        <f>SUM($D$131:AB134)</f>
        <v>0</v>
      </c>
      <c r="AC165" s="38"/>
      <c r="AD165" s="38"/>
    </row>
    <row r="166" spans="1:30" x14ac:dyDescent="0.3">
      <c r="B166" s="3" t="s">
        <v>203</v>
      </c>
      <c r="C166" s="61">
        <f>C163+C164</f>
        <v>38160</v>
      </c>
      <c r="D166" s="61">
        <f t="shared" ref="D166:AB166" si="84">D163+D164+D165</f>
        <v>82575.344468391471</v>
      </c>
      <c r="E166" s="61">
        <f t="shared" si="84"/>
        <v>124291.82026559224</v>
      </c>
      <c r="F166" s="61">
        <f t="shared" si="84"/>
        <v>163310.79249319987</v>
      </c>
      <c r="G166" s="61">
        <f t="shared" si="84"/>
        <v>199875.95108824215</v>
      </c>
      <c r="H166" s="61">
        <f t="shared" si="84"/>
        <v>233752.46757974342</v>
      </c>
      <c r="I166" s="61">
        <f t="shared" si="84"/>
        <v>264941.93310413038</v>
      </c>
      <c r="J166" s="61">
        <f t="shared" si="84"/>
        <v>293445.96830462205</v>
      </c>
      <c r="K166" s="61">
        <f t="shared" si="84"/>
        <v>319266.22386475117</v>
      </c>
      <c r="L166" s="61">
        <f t="shared" si="84"/>
        <v>342404.38105116627</v>
      </c>
      <c r="M166" s="61">
        <f t="shared" si="84"/>
        <v>362862.15226586559</v>
      </c>
      <c r="N166" s="61">
        <f t="shared" si="84"/>
        <v>381001.28160801623</v>
      </c>
      <c r="O166" s="61">
        <f t="shared" si="84"/>
        <v>396463.54544551531</v>
      </c>
      <c r="P166" s="61">
        <f t="shared" si="84"/>
        <v>408869.15299644979</v>
      </c>
      <c r="Q166" s="61">
        <f t="shared" si="84"/>
        <v>418219.94692061568</v>
      </c>
      <c r="R166" s="61">
        <f t="shared" si="84"/>
        <v>424899.40392125997</v>
      </c>
      <c r="S166" s="61">
        <f t="shared" si="84"/>
        <v>428909.43535720848</v>
      </c>
      <c r="T166" s="61">
        <f t="shared" si="84"/>
        <v>433024.94786554837</v>
      </c>
      <c r="U166" s="61">
        <f t="shared" si="84"/>
        <v>437247.92399503349</v>
      </c>
      <c r="V166" s="61">
        <f t="shared" si="84"/>
        <v>441580.38285038504</v>
      </c>
      <c r="W166" s="61">
        <f t="shared" si="84"/>
        <v>446024.38074766204</v>
      </c>
      <c r="X166" s="61">
        <f t="shared" si="84"/>
        <v>0</v>
      </c>
      <c r="Y166" s="61">
        <f t="shared" si="84"/>
        <v>0</v>
      </c>
      <c r="Z166" s="61">
        <f t="shared" si="84"/>
        <v>0</v>
      </c>
      <c r="AA166" s="61">
        <f t="shared" si="84"/>
        <v>0</v>
      </c>
      <c r="AB166" s="61">
        <f t="shared" si="84"/>
        <v>0</v>
      </c>
      <c r="AC166" s="61"/>
      <c r="AD166" s="61"/>
    </row>
    <row r="168" spans="1:30" x14ac:dyDescent="0.3">
      <c r="A168" s="3"/>
      <c r="B168" s="3" t="s">
        <v>204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3">
      <c r="B169" t="s">
        <v>205</v>
      </c>
      <c r="C169" s="38">
        <f>C142</f>
        <v>38160</v>
      </c>
      <c r="D169" s="38">
        <f t="shared" ref="D169:AB169" si="85">C142</f>
        <v>38160</v>
      </c>
      <c r="E169" s="38">
        <f t="shared" si="85"/>
        <v>35616</v>
      </c>
      <c r="F169" s="38">
        <f t="shared" si="85"/>
        <v>33072</v>
      </c>
      <c r="G169" s="38">
        <f t="shared" si="85"/>
        <v>30528</v>
      </c>
      <c r="H169" s="38">
        <f t="shared" si="85"/>
        <v>27984</v>
      </c>
      <c r="I169" s="38">
        <f t="shared" si="85"/>
        <v>25440</v>
      </c>
      <c r="J169" s="38">
        <f t="shared" si="85"/>
        <v>22896</v>
      </c>
      <c r="K169" s="38">
        <f t="shared" si="85"/>
        <v>20352</v>
      </c>
      <c r="L169" s="38">
        <f t="shared" si="85"/>
        <v>17808</v>
      </c>
      <c r="M169" s="38">
        <f t="shared" si="85"/>
        <v>15264</v>
      </c>
      <c r="N169" s="38">
        <f t="shared" si="85"/>
        <v>12720</v>
      </c>
      <c r="O169" s="38">
        <f t="shared" si="85"/>
        <v>10176</v>
      </c>
      <c r="P169" s="38">
        <f t="shared" si="85"/>
        <v>7632</v>
      </c>
      <c r="Q169" s="38">
        <f t="shared" si="85"/>
        <v>5088</v>
      </c>
      <c r="R169" s="38">
        <f t="shared" si="85"/>
        <v>2544</v>
      </c>
      <c r="S169" s="38">
        <f t="shared" si="85"/>
        <v>0</v>
      </c>
      <c r="T169" s="38">
        <f t="shared" si="85"/>
        <v>0</v>
      </c>
      <c r="U169" s="38">
        <f t="shared" si="85"/>
        <v>0</v>
      </c>
      <c r="V169" s="38">
        <f t="shared" si="85"/>
        <v>0</v>
      </c>
      <c r="W169" s="38">
        <f t="shared" si="85"/>
        <v>0</v>
      </c>
      <c r="X169" s="38">
        <f t="shared" si="85"/>
        <v>0</v>
      </c>
      <c r="Y169" s="38">
        <f t="shared" si="85"/>
        <v>0</v>
      </c>
      <c r="Z169" s="38">
        <f t="shared" si="85"/>
        <v>0</v>
      </c>
      <c r="AA169" s="38">
        <f t="shared" si="85"/>
        <v>0</v>
      </c>
      <c r="AB169" s="38">
        <f t="shared" si="85"/>
        <v>0</v>
      </c>
      <c r="AC169" s="38"/>
      <c r="AD169" s="38"/>
    </row>
    <row r="170" spans="1:30" x14ac:dyDescent="0.3">
      <c r="B170" s="3" t="s">
        <v>206</v>
      </c>
      <c r="C170" s="38">
        <f t="shared" ref="C170:AB170" si="86">C169+C168</f>
        <v>38160</v>
      </c>
      <c r="D170" s="38">
        <f t="shared" si="86"/>
        <v>38160</v>
      </c>
      <c r="E170" s="38">
        <f t="shared" si="86"/>
        <v>35616</v>
      </c>
      <c r="F170" s="38">
        <f t="shared" si="86"/>
        <v>33072</v>
      </c>
      <c r="G170" s="38">
        <f t="shared" si="86"/>
        <v>30528</v>
      </c>
      <c r="H170" s="38">
        <f t="shared" si="86"/>
        <v>27984</v>
      </c>
      <c r="I170" s="38">
        <f t="shared" si="86"/>
        <v>25440</v>
      </c>
      <c r="J170" s="38">
        <f t="shared" si="86"/>
        <v>22896</v>
      </c>
      <c r="K170" s="38">
        <f t="shared" si="86"/>
        <v>20352</v>
      </c>
      <c r="L170" s="38">
        <f t="shared" si="86"/>
        <v>17808</v>
      </c>
      <c r="M170" s="38">
        <f t="shared" si="86"/>
        <v>15264</v>
      </c>
      <c r="N170" s="38">
        <f t="shared" si="86"/>
        <v>12720</v>
      </c>
      <c r="O170" s="38">
        <f t="shared" si="86"/>
        <v>10176</v>
      </c>
      <c r="P170" s="38">
        <f t="shared" si="86"/>
        <v>7632</v>
      </c>
      <c r="Q170" s="38">
        <f t="shared" si="86"/>
        <v>5088</v>
      </c>
      <c r="R170" s="38">
        <f t="shared" si="86"/>
        <v>2544</v>
      </c>
      <c r="S170" s="38">
        <f t="shared" si="86"/>
        <v>0</v>
      </c>
      <c r="T170" s="38">
        <f t="shared" si="86"/>
        <v>0</v>
      </c>
      <c r="U170" s="38">
        <f t="shared" si="86"/>
        <v>0</v>
      </c>
      <c r="V170" s="38">
        <f t="shared" si="86"/>
        <v>0</v>
      </c>
      <c r="W170" s="38">
        <f t="shared" si="86"/>
        <v>0</v>
      </c>
      <c r="X170" s="38">
        <f t="shared" si="86"/>
        <v>0</v>
      </c>
      <c r="Y170" s="38">
        <f t="shared" si="86"/>
        <v>0</v>
      </c>
      <c r="Z170" s="38">
        <f t="shared" si="86"/>
        <v>0</v>
      </c>
      <c r="AA170" s="38">
        <f t="shared" si="86"/>
        <v>0</v>
      </c>
      <c r="AB170" s="38">
        <f t="shared" si="86"/>
        <v>0</v>
      </c>
      <c r="AC170" s="38"/>
      <c r="AD170" s="38"/>
    </row>
    <row r="172" spans="1:30" x14ac:dyDescent="0.3">
      <c r="B172" s="3" t="s">
        <v>207</v>
      </c>
    </row>
    <row r="173" spans="1:30" x14ac:dyDescent="0.3">
      <c r="B173" t="s">
        <v>208</v>
      </c>
      <c r="C173" s="38">
        <f>C141*(C42&lt;=$C$19)</f>
        <v>0</v>
      </c>
      <c r="D173" s="38">
        <f t="shared" ref="D173:AB173" si="87">(C173*(D42&lt;=$C$19))+D141+D151</f>
        <v>0</v>
      </c>
      <c r="E173" s="38">
        <f t="shared" si="87"/>
        <v>0</v>
      </c>
      <c r="F173" s="38">
        <f t="shared" si="87"/>
        <v>0</v>
      </c>
      <c r="G173" s="38">
        <f t="shared" si="87"/>
        <v>0</v>
      </c>
      <c r="H173" s="38">
        <f t="shared" si="87"/>
        <v>0</v>
      </c>
      <c r="I173" s="38">
        <f t="shared" si="87"/>
        <v>0</v>
      </c>
      <c r="J173" s="38">
        <f t="shared" si="87"/>
        <v>0</v>
      </c>
      <c r="K173" s="38">
        <f t="shared" si="87"/>
        <v>0</v>
      </c>
      <c r="L173" s="38">
        <f t="shared" si="87"/>
        <v>0</v>
      </c>
      <c r="M173" s="38">
        <f t="shared" si="87"/>
        <v>0</v>
      </c>
      <c r="N173" s="38">
        <f t="shared" si="87"/>
        <v>0</v>
      </c>
      <c r="O173" s="38">
        <f t="shared" si="87"/>
        <v>0</v>
      </c>
      <c r="P173" s="38">
        <f t="shared" si="87"/>
        <v>0</v>
      </c>
      <c r="Q173" s="38">
        <f t="shared" si="87"/>
        <v>0</v>
      </c>
      <c r="R173" s="38">
        <f t="shared" si="87"/>
        <v>0</v>
      </c>
      <c r="S173" s="38">
        <f t="shared" si="87"/>
        <v>0</v>
      </c>
      <c r="T173" s="38">
        <f t="shared" si="87"/>
        <v>0</v>
      </c>
      <c r="U173" s="38">
        <f t="shared" si="87"/>
        <v>0</v>
      </c>
      <c r="V173" s="38">
        <f t="shared" si="87"/>
        <v>0</v>
      </c>
      <c r="W173" s="38">
        <f t="shared" si="87"/>
        <v>0</v>
      </c>
      <c r="X173" s="38">
        <f t="shared" si="87"/>
        <v>0</v>
      </c>
      <c r="Y173" s="38">
        <f t="shared" si="87"/>
        <v>0</v>
      </c>
      <c r="Z173" s="38">
        <f t="shared" si="87"/>
        <v>0</v>
      </c>
      <c r="AA173" s="38">
        <f t="shared" si="87"/>
        <v>0</v>
      </c>
      <c r="AB173" s="38">
        <f t="shared" si="87"/>
        <v>0</v>
      </c>
      <c r="AC173" s="38"/>
      <c r="AD173" s="38"/>
    </row>
    <row r="174" spans="1:30" x14ac:dyDescent="0.3">
      <c r="B174" t="s">
        <v>168</v>
      </c>
      <c r="D174" s="38">
        <f t="shared" ref="D174:AB174" si="88">(D115+C174)*(D42&lt;=$C$19)</f>
        <v>2820.944468391478</v>
      </c>
      <c r="E174" s="38">
        <f t="shared" si="88"/>
        <v>5715.9802655922358</v>
      </c>
      <c r="F174" s="38">
        <f t="shared" si="88"/>
        <v>8686.4724931998571</v>
      </c>
      <c r="G174" s="38">
        <f t="shared" si="88"/>
        <v>11976.111088242118</v>
      </c>
      <c r="H174" s="38">
        <f t="shared" si="88"/>
        <v>15350.067579743383</v>
      </c>
      <c r="I174" s="38">
        <f t="shared" si="88"/>
        <v>18809.933104130338</v>
      </c>
      <c r="J174" s="38">
        <f t="shared" si="88"/>
        <v>22357.328304622013</v>
      </c>
      <c r="K174" s="38">
        <f t="shared" si="88"/>
        <v>25993.903864751181</v>
      </c>
      <c r="L174" s="38">
        <f t="shared" si="88"/>
        <v>29721.341051166324</v>
      </c>
      <c r="M174" s="38">
        <f t="shared" si="88"/>
        <v>33541.352265865593</v>
      </c>
      <c r="N174" s="38">
        <f t="shared" si="88"/>
        <v>37815.681608016232</v>
      </c>
      <c r="O174" s="38">
        <f t="shared" si="88"/>
        <v>42186.105445515321</v>
      </c>
      <c r="P174" s="38">
        <f t="shared" si="88"/>
        <v>46272.832996449739</v>
      </c>
      <c r="Q174" s="38">
        <f t="shared" si="88"/>
        <v>50077.706920615638</v>
      </c>
      <c r="R174" s="38">
        <f t="shared" si="88"/>
        <v>53984.203921259912</v>
      </c>
      <c r="S174" s="38">
        <f t="shared" si="88"/>
        <v>57994.235357208461</v>
      </c>
      <c r="T174" s="38">
        <f t="shared" si="88"/>
        <v>62109.747865548365</v>
      </c>
      <c r="U174" s="38">
        <f t="shared" si="88"/>
        <v>66332.723995033448</v>
      </c>
      <c r="V174" s="38">
        <f t="shared" si="88"/>
        <v>70665.182850385027</v>
      </c>
      <c r="W174" s="38">
        <f t="shared" si="88"/>
        <v>75109.180747662016</v>
      </c>
      <c r="X174" s="38">
        <f t="shared" si="88"/>
        <v>0</v>
      </c>
      <c r="Y174" s="38">
        <f t="shared" si="88"/>
        <v>0</v>
      </c>
      <c r="Z174" s="38">
        <f t="shared" si="88"/>
        <v>0</v>
      </c>
      <c r="AA174" s="38">
        <f t="shared" si="88"/>
        <v>0</v>
      </c>
      <c r="AB174" s="38">
        <f t="shared" si="88"/>
        <v>0</v>
      </c>
      <c r="AC174" s="38"/>
      <c r="AD174" s="38"/>
    </row>
    <row r="175" spans="1:30" x14ac:dyDescent="0.3">
      <c r="A175" s="3"/>
      <c r="B175" s="3" t="s">
        <v>209</v>
      </c>
      <c r="C175" s="61">
        <f t="shared" ref="C175:AB175" si="89">C173+C174</f>
        <v>0</v>
      </c>
      <c r="D175" s="61">
        <f t="shared" si="89"/>
        <v>2820.944468391478</v>
      </c>
      <c r="E175" s="61">
        <f t="shared" si="89"/>
        <v>5715.9802655922358</v>
      </c>
      <c r="F175" s="61">
        <f t="shared" si="89"/>
        <v>8686.4724931998571</v>
      </c>
      <c r="G175" s="61">
        <f t="shared" si="89"/>
        <v>11976.111088242118</v>
      </c>
      <c r="H175" s="61">
        <f t="shared" si="89"/>
        <v>15350.067579743383</v>
      </c>
      <c r="I175" s="61">
        <f t="shared" si="89"/>
        <v>18809.933104130338</v>
      </c>
      <c r="J175" s="61">
        <f t="shared" si="89"/>
        <v>22357.328304622013</v>
      </c>
      <c r="K175" s="61">
        <f t="shared" si="89"/>
        <v>25993.903864751181</v>
      </c>
      <c r="L175" s="61">
        <f t="shared" si="89"/>
        <v>29721.341051166324</v>
      </c>
      <c r="M175" s="61">
        <f t="shared" si="89"/>
        <v>33541.352265865593</v>
      </c>
      <c r="N175" s="61">
        <f t="shared" si="89"/>
        <v>37815.681608016232</v>
      </c>
      <c r="O175" s="61">
        <f t="shared" si="89"/>
        <v>42186.105445515321</v>
      </c>
      <c r="P175" s="61">
        <f t="shared" si="89"/>
        <v>46272.832996449739</v>
      </c>
      <c r="Q175" s="61">
        <f t="shared" si="89"/>
        <v>50077.706920615638</v>
      </c>
      <c r="R175" s="61">
        <f t="shared" si="89"/>
        <v>53984.203921259912</v>
      </c>
      <c r="S175" s="61">
        <f t="shared" si="89"/>
        <v>57994.235357208461</v>
      </c>
      <c r="T175" s="61">
        <f t="shared" si="89"/>
        <v>62109.747865548365</v>
      </c>
      <c r="U175" s="61">
        <f t="shared" si="89"/>
        <v>66332.723995033448</v>
      </c>
      <c r="V175" s="61">
        <f t="shared" si="89"/>
        <v>70665.182850385027</v>
      </c>
      <c r="W175" s="61">
        <f t="shared" si="89"/>
        <v>75109.180747662016</v>
      </c>
      <c r="X175" s="61">
        <f t="shared" si="89"/>
        <v>0</v>
      </c>
      <c r="Y175" s="61">
        <f t="shared" si="89"/>
        <v>0</v>
      </c>
      <c r="Z175" s="61">
        <f t="shared" si="89"/>
        <v>0</v>
      </c>
      <c r="AA175" s="61">
        <f t="shared" si="89"/>
        <v>0</v>
      </c>
      <c r="AB175" s="61">
        <f t="shared" si="89"/>
        <v>0</v>
      </c>
      <c r="AC175" s="61"/>
      <c r="AD175" s="61"/>
    </row>
    <row r="177" spans="1:30" x14ac:dyDescent="0.3">
      <c r="A177" s="59"/>
      <c r="B177" s="59" t="s">
        <v>210</v>
      </c>
      <c r="C177" s="60">
        <f t="shared" ref="C177:AB177" si="90">C166-C170-C175</f>
        <v>0</v>
      </c>
      <c r="D177" s="60">
        <f t="shared" si="90"/>
        <v>41594.399999999994</v>
      </c>
      <c r="E177" s="60">
        <f t="shared" si="90"/>
        <v>82959.839999999997</v>
      </c>
      <c r="F177" s="60">
        <f t="shared" si="90"/>
        <v>121552.32000000001</v>
      </c>
      <c r="G177" s="60">
        <f t="shared" si="90"/>
        <v>157371.84000000003</v>
      </c>
      <c r="H177" s="60">
        <f t="shared" si="90"/>
        <v>190418.40000000002</v>
      </c>
      <c r="I177" s="60">
        <f t="shared" si="90"/>
        <v>220692.00000000006</v>
      </c>
      <c r="J177" s="60">
        <f t="shared" si="90"/>
        <v>248192.64000000004</v>
      </c>
      <c r="K177" s="60">
        <f t="shared" si="90"/>
        <v>272920.32000000001</v>
      </c>
      <c r="L177" s="60">
        <f t="shared" si="90"/>
        <v>294875.03999999992</v>
      </c>
      <c r="M177" s="60">
        <f t="shared" si="90"/>
        <v>314056.8</v>
      </c>
      <c r="N177" s="60">
        <f t="shared" si="90"/>
        <v>330465.59999999998</v>
      </c>
      <c r="O177" s="60">
        <f t="shared" si="90"/>
        <v>344101.44</v>
      </c>
      <c r="P177" s="60">
        <f t="shared" si="90"/>
        <v>354964.32000000007</v>
      </c>
      <c r="Q177" s="60">
        <f t="shared" si="90"/>
        <v>363054.24000000005</v>
      </c>
      <c r="R177" s="60">
        <f t="shared" si="90"/>
        <v>368371.20000000007</v>
      </c>
      <c r="S177" s="60">
        <f t="shared" si="90"/>
        <v>370915.2</v>
      </c>
      <c r="T177" s="60">
        <f t="shared" si="90"/>
        <v>370915.2</v>
      </c>
      <c r="U177" s="60">
        <f t="shared" si="90"/>
        <v>370915.20000000007</v>
      </c>
      <c r="V177" s="60">
        <f t="shared" si="90"/>
        <v>370915.2</v>
      </c>
      <c r="W177" s="60">
        <f t="shared" si="90"/>
        <v>370915.2</v>
      </c>
      <c r="X177" s="60">
        <f t="shared" si="90"/>
        <v>0</v>
      </c>
      <c r="Y177" s="60">
        <f t="shared" si="90"/>
        <v>0</v>
      </c>
      <c r="Z177" s="60">
        <f t="shared" si="90"/>
        <v>0</v>
      </c>
      <c r="AA177" s="60">
        <f t="shared" si="90"/>
        <v>0</v>
      </c>
      <c r="AB177" s="60">
        <f t="shared" si="90"/>
        <v>0</v>
      </c>
      <c r="AC177" s="60"/>
      <c r="AD177" s="60"/>
    </row>
    <row r="178" spans="1:30" x14ac:dyDescent="0.3"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</row>
  </sheetData>
  <mergeCells count="3">
    <mergeCell ref="B2:C2"/>
    <mergeCell ref="D2:E2"/>
    <mergeCell ref="A17:A19"/>
  </mergeCells>
  <conditionalFormatting sqref="M26:U40">
    <cfRule type="cellIs" dxfId="0" priority="1" operator="greaterThanOrEqual">
      <formula>$N$12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D26"/>
  <sheetViews>
    <sheetView workbookViewId="0">
      <selection activeCell="E3" sqref="E3:AD3"/>
    </sheetView>
  </sheetViews>
  <sheetFormatPr defaultColWidth="8.77734375" defaultRowHeight="14.4" x14ac:dyDescent="0.3"/>
  <cols>
    <col min="1" max="1" width="13.109375" customWidth="1"/>
    <col min="4" max="4" width="35.109375" customWidth="1"/>
    <col min="5" max="5" width="11.33203125" bestFit="1" customWidth="1"/>
    <col min="6" max="6" width="13.44140625" customWidth="1"/>
    <col min="7" max="14" width="11.109375" bestFit="1" customWidth="1"/>
    <col min="15" max="30" width="9.77734375" bestFit="1" customWidth="1"/>
    <col min="31" max="84" width="9" bestFit="1" customWidth="1"/>
  </cols>
  <sheetData>
    <row r="1" spans="1:30" x14ac:dyDescent="0.3">
      <c r="D1" s="40" t="s">
        <v>121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</row>
    <row r="2" spans="1:30" ht="15" customHeight="1" thickBot="1" x14ac:dyDescent="0.35"/>
    <row r="3" spans="1:30" x14ac:dyDescent="0.3">
      <c r="A3" s="167" t="s">
        <v>205</v>
      </c>
      <c r="B3" s="168"/>
      <c r="C3" s="169"/>
      <c r="D3" s="169" t="str">
        <f>'Calculation Debt'!B156</f>
        <v>Project Cash Flow (post tax)</v>
      </c>
      <c r="E3" s="170">
        <f>'Calculation Debt'!C156</f>
        <v>-38160</v>
      </c>
      <c r="F3" s="170">
        <f>'Calculation Debt'!D156</f>
        <v>-1199.5407088113625</v>
      </c>
      <c r="G3" s="170">
        <f>'Calculation Debt'!E156</f>
        <v>-871.79227039898979</v>
      </c>
      <c r="H3" s="170">
        <f>'Calculation Debt'!F156</f>
        <v>-542.22369652316956</v>
      </c>
      <c r="I3" s="170">
        <f>'Calculation Debt'!G156</f>
        <v>112.26479338968147</v>
      </c>
      <c r="J3" s="170">
        <f>'Calculation Debt'!H156</f>
        <v>453.64865533502052</v>
      </c>
      <c r="K3" s="170">
        <f>'Calculation Debt'!I156</f>
        <v>797.15403251593852</v>
      </c>
      <c r="L3" s="170">
        <f>'Calculation Debt'!J156</f>
        <v>1142.820267322234</v>
      </c>
      <c r="M3" s="170">
        <f>'Calculation Debt'!K156</f>
        <v>1490.6874135055541</v>
      </c>
      <c r="N3" s="170">
        <f>'Calculation Debt'!L156</f>
        <v>1840.7962485535236</v>
      </c>
      <c r="O3" s="170">
        <f>'Calculation Debt'!M156</f>
        <v>2193.1882862656876</v>
      </c>
      <c r="P3" s="170">
        <f>'Calculation Debt'!N156</f>
        <v>3027.9057895341839</v>
      </c>
      <c r="Q3" s="170">
        <f>'Calculation Debt'!O156</f>
        <v>3384.9917833321169</v>
      </c>
      <c r="R3" s="170">
        <f>'Calculation Debt'!P156</f>
        <v>3744.4900679125558</v>
      </c>
      <c r="S3" s="170">
        <f>'Calculation Debt'!Q156</f>
        <v>4106.4452322211973</v>
      </c>
      <c r="T3" s="170">
        <f>'Calculation Debt'!R156</f>
        <v>4156.9680271057314</v>
      </c>
      <c r="U3" s="170">
        <f>'Calculation Debt'!S156</f>
        <v>5918.0314359485455</v>
      </c>
      <c r="V3" s="170">
        <f>'Calculation Debt'!T156</f>
        <v>6023.5125083399016</v>
      </c>
      <c r="W3" s="170">
        <f>'Calculation Debt'!U156</f>
        <v>6130.9761294850832</v>
      </c>
      <c r="X3" s="170">
        <f>'Calculation Debt'!V156</f>
        <v>6240.458855351575</v>
      </c>
      <c r="Y3" s="170">
        <f>'Calculation Debt'!W156</f>
        <v>6351.9978972769859</v>
      </c>
      <c r="Z3" s="170">
        <f>'Calculation Debt'!X156</f>
        <v>0</v>
      </c>
      <c r="AA3" s="170">
        <f>'Calculation Debt'!Y156</f>
        <v>0</v>
      </c>
      <c r="AB3" s="170">
        <f>'Calculation Debt'!Z156</f>
        <v>0</v>
      </c>
      <c r="AC3" s="170">
        <f>'Calculation Debt'!AA156</f>
        <v>0</v>
      </c>
      <c r="AD3" s="171">
        <f>'Calculation Debt'!AB156</f>
        <v>0</v>
      </c>
    </row>
    <row r="4" spans="1:30" x14ac:dyDescent="0.3">
      <c r="A4" s="172"/>
      <c r="B4" s="173"/>
      <c r="C4" s="173"/>
      <c r="D4" s="173" t="str">
        <f>'Calculation Debt'!B143</f>
        <v>Add Debt Raised</v>
      </c>
      <c r="E4" s="174">
        <f>'Calculation Debt'!C143</f>
        <v>38160</v>
      </c>
      <c r="F4" s="174">
        <f>'Calculation Debt'!D143</f>
        <v>35616</v>
      </c>
      <c r="G4" s="174">
        <f>'Calculation Debt'!E143</f>
        <v>33072</v>
      </c>
      <c r="H4" s="174">
        <f>'Calculation Debt'!F143</f>
        <v>30528</v>
      </c>
      <c r="I4" s="174">
        <f>'Calculation Debt'!G143</f>
        <v>27984</v>
      </c>
      <c r="J4" s="174">
        <f>'Calculation Debt'!H143</f>
        <v>25440</v>
      </c>
      <c r="K4" s="174">
        <f>'Calculation Debt'!I143</f>
        <v>22896</v>
      </c>
      <c r="L4" s="174">
        <f>'Calculation Debt'!J143</f>
        <v>20352</v>
      </c>
      <c r="M4" s="174">
        <f>'Calculation Debt'!K143</f>
        <v>17808</v>
      </c>
      <c r="N4" s="174">
        <f>'Calculation Debt'!L143</f>
        <v>15264</v>
      </c>
      <c r="O4" s="174">
        <f>'Calculation Debt'!M143</f>
        <v>12720</v>
      </c>
      <c r="P4" s="174">
        <f>'Calculation Debt'!N143</f>
        <v>10176</v>
      </c>
      <c r="Q4" s="174">
        <f>'Calculation Debt'!O143</f>
        <v>7632</v>
      </c>
      <c r="R4" s="174">
        <f>'Calculation Debt'!P143</f>
        <v>5088</v>
      </c>
      <c r="S4" s="174">
        <f>'Calculation Debt'!Q143</f>
        <v>2544</v>
      </c>
      <c r="T4" s="174">
        <f>'Calculation Debt'!R143</f>
        <v>0</v>
      </c>
      <c r="U4" s="174">
        <f>'Calculation Debt'!S143</f>
        <v>0</v>
      </c>
      <c r="V4" s="174">
        <f>'Calculation Debt'!T143</f>
        <v>0</v>
      </c>
      <c r="W4" s="174">
        <f>'Calculation Debt'!U143</f>
        <v>0</v>
      </c>
      <c r="X4" s="174">
        <f>'Calculation Debt'!V143</f>
        <v>0</v>
      </c>
      <c r="Y4" s="174">
        <f>'Calculation Debt'!W143</f>
        <v>0</v>
      </c>
      <c r="Z4" s="174">
        <f>'Calculation Debt'!X143</f>
        <v>0</v>
      </c>
      <c r="AA4" s="174">
        <f>'Calculation Debt'!Y143</f>
        <v>0</v>
      </c>
      <c r="AB4" s="174">
        <f>'Calculation Debt'!Z143</f>
        <v>0</v>
      </c>
      <c r="AC4" s="174">
        <f>'Calculation Debt'!AA143</f>
        <v>0</v>
      </c>
      <c r="AD4" s="175">
        <f>'Calculation Debt'!AB143</f>
        <v>0</v>
      </c>
    </row>
    <row r="5" spans="1:30" x14ac:dyDescent="0.3">
      <c r="A5" s="172"/>
      <c r="B5" s="173"/>
      <c r="C5" s="173"/>
      <c r="D5" s="173" t="str">
        <f>'Calculation Debt'!B144</f>
        <v>interest</v>
      </c>
      <c r="E5" s="174"/>
      <c r="F5" s="174">
        <f>'Calculation Debt'!D144</f>
        <v>3434.4</v>
      </c>
      <c r="G5" s="174">
        <f>'Calculation Debt'!E144</f>
        <v>3205.44</v>
      </c>
      <c r="H5" s="174">
        <f>'Calculation Debt'!F144</f>
        <v>2976.48</v>
      </c>
      <c r="I5" s="174">
        <f>'Calculation Debt'!G144</f>
        <v>2747.52</v>
      </c>
      <c r="J5" s="174">
        <f>'Calculation Debt'!H144</f>
        <v>2518.56</v>
      </c>
      <c r="K5" s="174">
        <f>'Calculation Debt'!I144</f>
        <v>2289.6</v>
      </c>
      <c r="L5" s="174">
        <f>'Calculation Debt'!J144</f>
        <v>2060.64</v>
      </c>
      <c r="M5" s="174">
        <f>'Calculation Debt'!K144</f>
        <v>1831.6799999999998</v>
      </c>
      <c r="N5" s="174">
        <f>'Calculation Debt'!L144</f>
        <v>1602.72</v>
      </c>
      <c r="O5" s="174">
        <f>'Calculation Debt'!M144</f>
        <v>1373.76</v>
      </c>
      <c r="P5" s="174">
        <f>'Calculation Debt'!N144</f>
        <v>1144.8</v>
      </c>
      <c r="Q5" s="174">
        <f>'Calculation Debt'!O144</f>
        <v>915.83999999999992</v>
      </c>
      <c r="R5" s="174">
        <f>'Calculation Debt'!P144</f>
        <v>686.88</v>
      </c>
      <c r="S5" s="174">
        <f>'Calculation Debt'!Q144</f>
        <v>457.91999999999996</v>
      </c>
      <c r="T5" s="174">
        <f>'Calculation Debt'!R144</f>
        <v>228.95999999999998</v>
      </c>
      <c r="U5" s="174">
        <f>'Calculation Debt'!S144</f>
        <v>0</v>
      </c>
      <c r="V5" s="174">
        <f>'Calculation Debt'!T144</f>
        <v>0</v>
      </c>
      <c r="W5" s="174">
        <f>'Calculation Debt'!U144</f>
        <v>0</v>
      </c>
      <c r="X5" s="174">
        <f>'Calculation Debt'!V144</f>
        <v>0</v>
      </c>
      <c r="Y5" s="174">
        <f>'Calculation Debt'!W144</f>
        <v>0</v>
      </c>
      <c r="Z5" s="174">
        <f>'Calculation Debt'!X144</f>
        <v>0</v>
      </c>
      <c r="AA5" s="174">
        <f>'Calculation Debt'!Y144</f>
        <v>0</v>
      </c>
      <c r="AB5" s="174">
        <f>'Calculation Debt'!Z144</f>
        <v>0</v>
      </c>
      <c r="AC5" s="174">
        <f>'Calculation Debt'!AA144</f>
        <v>0</v>
      </c>
      <c r="AD5" s="175">
        <f>'Calculation Debt'!AB144</f>
        <v>0</v>
      </c>
    </row>
    <row r="6" spans="1:30" x14ac:dyDescent="0.3">
      <c r="A6" s="172"/>
      <c r="B6" s="173"/>
      <c r="C6" s="173"/>
      <c r="D6" s="173" t="str">
        <f>'Calculation Debt'!B145</f>
        <v>Dept repayment</v>
      </c>
      <c r="E6" s="174"/>
      <c r="F6" s="174">
        <f>'Calculation Debt'!D145</f>
        <v>2544</v>
      </c>
      <c r="G6" s="174">
        <f>'Calculation Debt'!E145</f>
        <v>2544</v>
      </c>
      <c r="H6" s="174">
        <f>'Calculation Debt'!F145</f>
        <v>2544</v>
      </c>
      <c r="I6" s="174">
        <f>'Calculation Debt'!G145</f>
        <v>2544</v>
      </c>
      <c r="J6" s="174">
        <f>'Calculation Debt'!H145</f>
        <v>2544</v>
      </c>
      <c r="K6" s="174">
        <f>'Calculation Debt'!I145</f>
        <v>2544</v>
      </c>
      <c r="L6" s="174">
        <f>'Calculation Debt'!J145</f>
        <v>2544</v>
      </c>
      <c r="M6" s="174">
        <f>'Calculation Debt'!K145</f>
        <v>2544</v>
      </c>
      <c r="N6" s="174">
        <f>'Calculation Debt'!L145</f>
        <v>2544</v>
      </c>
      <c r="O6" s="174">
        <f>'Calculation Debt'!M145</f>
        <v>2544</v>
      </c>
      <c r="P6" s="174">
        <f>'Calculation Debt'!N145</f>
        <v>2544</v>
      </c>
      <c r="Q6" s="174">
        <f>'Calculation Debt'!O145</f>
        <v>2544</v>
      </c>
      <c r="R6" s="174">
        <f>'Calculation Debt'!P145</f>
        <v>2544</v>
      </c>
      <c r="S6" s="174">
        <f>'Calculation Debt'!Q145</f>
        <v>2544</v>
      </c>
      <c r="T6" s="174">
        <f>'Calculation Debt'!R145</f>
        <v>2544</v>
      </c>
      <c r="U6" s="174">
        <f>'Calculation Debt'!S145</f>
        <v>0</v>
      </c>
      <c r="V6" s="174">
        <f>'Calculation Debt'!T145</f>
        <v>0</v>
      </c>
      <c r="W6" s="174">
        <f>'Calculation Debt'!U145</f>
        <v>0</v>
      </c>
      <c r="X6" s="174">
        <f>'Calculation Debt'!V145</f>
        <v>0</v>
      </c>
      <c r="Y6" s="174">
        <f>'Calculation Debt'!W145</f>
        <v>0</v>
      </c>
      <c r="Z6" s="174">
        <f>'Calculation Debt'!X145</f>
        <v>0</v>
      </c>
      <c r="AA6" s="174">
        <f>'Calculation Debt'!Y145</f>
        <v>0</v>
      </c>
      <c r="AB6" s="174">
        <f>'Calculation Debt'!Z145</f>
        <v>0</v>
      </c>
      <c r="AC6" s="174">
        <f>'Calculation Debt'!AA145</f>
        <v>0</v>
      </c>
      <c r="AD6" s="175">
        <f>'Calculation Debt'!AB145</f>
        <v>0</v>
      </c>
    </row>
    <row r="7" spans="1:30" x14ac:dyDescent="0.3">
      <c r="A7" s="172"/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6"/>
    </row>
    <row r="8" spans="1:30" x14ac:dyDescent="0.3">
      <c r="A8" s="172"/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6"/>
    </row>
    <row r="9" spans="1:30" x14ac:dyDescent="0.3">
      <c r="A9" s="172"/>
      <c r="B9" s="173"/>
      <c r="C9" s="173"/>
      <c r="D9" s="173" t="s">
        <v>212</v>
      </c>
      <c r="E9" s="173"/>
      <c r="F9" s="174">
        <f t="shared" ref="F9:AD9" si="0">SUM(F5:F6)</f>
        <v>5978.4</v>
      </c>
      <c r="G9" s="174">
        <f t="shared" si="0"/>
        <v>5749.4400000000005</v>
      </c>
      <c r="H9" s="174">
        <f t="shared" si="0"/>
        <v>5520.48</v>
      </c>
      <c r="I9" s="174">
        <f t="shared" si="0"/>
        <v>5291.52</v>
      </c>
      <c r="J9" s="174">
        <f t="shared" si="0"/>
        <v>5062.5599999999995</v>
      </c>
      <c r="K9" s="174">
        <f t="shared" si="0"/>
        <v>4833.6000000000004</v>
      </c>
      <c r="L9" s="174">
        <f t="shared" si="0"/>
        <v>4604.6399999999994</v>
      </c>
      <c r="M9" s="174">
        <f t="shared" si="0"/>
        <v>4375.68</v>
      </c>
      <c r="N9" s="174">
        <f t="shared" si="0"/>
        <v>4146.72</v>
      </c>
      <c r="O9" s="174">
        <f t="shared" si="0"/>
        <v>3917.76</v>
      </c>
      <c r="P9" s="174">
        <f t="shared" si="0"/>
        <v>3688.8</v>
      </c>
      <c r="Q9" s="174">
        <f t="shared" si="0"/>
        <v>3459.84</v>
      </c>
      <c r="R9" s="174">
        <f t="shared" si="0"/>
        <v>3230.88</v>
      </c>
      <c r="S9" s="174">
        <f t="shared" si="0"/>
        <v>3001.92</v>
      </c>
      <c r="T9" s="174">
        <f t="shared" si="0"/>
        <v>2772.96</v>
      </c>
      <c r="U9" s="174">
        <f t="shared" si="0"/>
        <v>0</v>
      </c>
      <c r="V9" s="174">
        <f t="shared" si="0"/>
        <v>0</v>
      </c>
      <c r="W9" s="174">
        <f t="shared" si="0"/>
        <v>0</v>
      </c>
      <c r="X9" s="174">
        <f t="shared" si="0"/>
        <v>0</v>
      </c>
      <c r="Y9" s="174">
        <f t="shared" si="0"/>
        <v>0</v>
      </c>
      <c r="Z9" s="174">
        <f t="shared" si="0"/>
        <v>0</v>
      </c>
      <c r="AA9" s="174">
        <f t="shared" si="0"/>
        <v>0</v>
      </c>
      <c r="AB9" s="174">
        <f t="shared" si="0"/>
        <v>0</v>
      </c>
      <c r="AC9" s="174">
        <f t="shared" si="0"/>
        <v>0</v>
      </c>
      <c r="AD9" s="175">
        <f t="shared" si="0"/>
        <v>0</v>
      </c>
    </row>
    <row r="10" spans="1:30" x14ac:dyDescent="0.3">
      <c r="A10" s="172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6"/>
    </row>
    <row r="11" spans="1:30" x14ac:dyDescent="0.3">
      <c r="A11" s="172"/>
      <c r="B11" s="173"/>
      <c r="C11" s="173"/>
      <c r="D11" s="173"/>
      <c r="E11" s="173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5"/>
    </row>
    <row r="12" spans="1:30" x14ac:dyDescent="0.3">
      <c r="A12" s="172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6"/>
    </row>
    <row r="13" spans="1:30" ht="15" customHeight="1" thickBot="1" x14ac:dyDescent="0.35">
      <c r="A13" s="177"/>
      <c r="B13" s="178"/>
      <c r="C13" s="178"/>
      <c r="D13" s="178" t="str">
        <f>'Calculation Debt'!B67</f>
        <v xml:space="preserve">EBITDA </v>
      </c>
      <c r="E13" s="178"/>
      <c r="F13" s="179">
        <f>'Calculation Debt'!D67</f>
        <v>-1199.5407088113625</v>
      </c>
      <c r="G13" s="179">
        <f>'Calculation Debt'!E67</f>
        <v>-871.79227039898979</v>
      </c>
      <c r="H13" s="179">
        <f>'Calculation Debt'!F67</f>
        <v>-542.22369652316956</v>
      </c>
      <c r="I13" s="179">
        <f>'Calculation Debt'!G67</f>
        <v>112.26479338968147</v>
      </c>
      <c r="J13" s="179">
        <f>'Calculation Debt'!H67</f>
        <v>453.64865533502052</v>
      </c>
      <c r="K13" s="179">
        <f>'Calculation Debt'!I67</f>
        <v>797.15403251593852</v>
      </c>
      <c r="L13" s="179">
        <f>'Calculation Debt'!J67</f>
        <v>1142.820267322234</v>
      </c>
      <c r="M13" s="179">
        <f>'Calculation Debt'!K67</f>
        <v>1490.6874135055541</v>
      </c>
      <c r="N13" s="179">
        <f>'Calculation Debt'!L67</f>
        <v>1840.7962485535236</v>
      </c>
      <c r="O13" s="179">
        <f>'Calculation Debt'!M67</f>
        <v>2193.1882862656876</v>
      </c>
      <c r="P13" s="179">
        <f>'Calculation Debt'!N67</f>
        <v>3027.9057895341839</v>
      </c>
      <c r="Q13" s="179">
        <f>'Calculation Debt'!O67</f>
        <v>3384.9917833321169</v>
      </c>
      <c r="R13" s="179">
        <f>'Calculation Debt'!P67</f>
        <v>3744.4900679125558</v>
      </c>
      <c r="S13" s="179">
        <f>'Calculation Debt'!Q67</f>
        <v>4106.4452322211973</v>
      </c>
      <c r="T13" s="179">
        <f>'Calculation Debt'!R67</f>
        <v>4470.9026675256973</v>
      </c>
      <c r="U13" s="179">
        <f>'Calculation Debt'!S67</f>
        <v>7381.9085812647281</v>
      </c>
      <c r="V13" s="179">
        <f>'Calculation Debt'!T67</f>
        <v>7522.5500111198689</v>
      </c>
      <c r="W13" s="179">
        <f>'Calculation Debt'!U67</f>
        <v>7665.8348393134447</v>
      </c>
      <c r="X13" s="179">
        <f>'Calculation Debt'!V67</f>
        <v>7811.8118071354329</v>
      </c>
      <c r="Y13" s="179">
        <f>'Calculation Debt'!W67</f>
        <v>7960.5305297026489</v>
      </c>
      <c r="Z13" s="179">
        <f>'Calculation Debt'!X67</f>
        <v>0</v>
      </c>
      <c r="AA13" s="179">
        <f>'Calculation Debt'!Y67</f>
        <v>0</v>
      </c>
      <c r="AB13" s="179">
        <f>'Calculation Debt'!Z67</f>
        <v>0</v>
      </c>
      <c r="AC13" s="179">
        <f>'Calculation Debt'!AA67</f>
        <v>0</v>
      </c>
      <c r="AD13" s="180">
        <f>'Calculation Debt'!AB67</f>
        <v>0</v>
      </c>
    </row>
    <row r="15" spans="1:30" ht="15" customHeight="1" thickBot="1" x14ac:dyDescent="0.35"/>
    <row r="16" spans="1:30" ht="15" customHeight="1" thickBot="1" x14ac:dyDescent="0.35">
      <c r="A16" s="162" t="s">
        <v>213</v>
      </c>
      <c r="B16" s="163">
        <f>IRR(E16:AD16)</f>
        <v>0.10910986911142184</v>
      </c>
      <c r="C16" s="164"/>
      <c r="D16" s="164" t="str">
        <f>'Without Debt'!B155</f>
        <v>Project Cash Flow (post tax)</v>
      </c>
      <c r="E16" s="165">
        <f>'Without Debt'!C155</f>
        <v>-38160</v>
      </c>
      <c r="F16" s="165">
        <f>'Without Debt'!D155</f>
        <v>3965.7444683914787</v>
      </c>
      <c r="G16" s="165">
        <f>'Without Debt'!E155</f>
        <v>4039.835797200758</v>
      </c>
      <c r="H16" s="165">
        <f>'Without Debt'!F155</f>
        <v>4115.2922276076224</v>
      </c>
      <c r="I16" s="165">
        <f>'Without Debt'!G155</f>
        <v>4434.4385950422611</v>
      </c>
      <c r="J16" s="165">
        <f>'Without Debt'!H155</f>
        <v>4518.7564915012654</v>
      </c>
      <c r="K16" s="165">
        <f>'Without Debt'!I155</f>
        <v>4604.6655243869536</v>
      </c>
      <c r="L16" s="165">
        <f>'Without Debt'!J155</f>
        <v>4692.1952004916748</v>
      </c>
      <c r="M16" s="165">
        <f>'Without Debt'!K155</f>
        <v>4781.3755601291668</v>
      </c>
      <c r="N16" s="165">
        <f>'Without Debt'!L155</f>
        <v>4872.2371864151428</v>
      </c>
      <c r="O16" s="165">
        <f>'Without Debt'!M155</f>
        <v>4964.8112146992662</v>
      </c>
      <c r="P16" s="165">
        <f>'Without Debt'!N155</f>
        <v>5419.129342150638</v>
      </c>
      <c r="Q16" s="165">
        <f>'Without Debt'!O155</f>
        <v>5515.2238374990866</v>
      </c>
      <c r="R16" s="165">
        <f>'Without Debt'!P155</f>
        <v>5613.1275509344168</v>
      </c>
      <c r="S16" s="165">
        <f>'Without Debt'!Q155</f>
        <v>5712.8739241658986</v>
      </c>
      <c r="T16" s="165">
        <f>'Without Debt'!R155</f>
        <v>5814.4970006442736</v>
      </c>
      <c r="U16" s="165">
        <f>'Without Debt'!S155</f>
        <v>5918.0314359485474</v>
      </c>
      <c r="V16" s="165">
        <f>'Without Debt'!T155</f>
        <v>6023.5125083399016</v>
      </c>
      <c r="W16" s="165">
        <f>'Without Debt'!U155</f>
        <v>6130.9761294850832</v>
      </c>
      <c r="X16" s="165">
        <f>'Without Debt'!V155</f>
        <v>6240.458855351575</v>
      </c>
      <c r="Y16" s="165">
        <f>'Without Debt'!W155</f>
        <v>6351.9978972769859</v>
      </c>
      <c r="Z16" s="165">
        <f>'Without Debt'!X155</f>
        <v>0</v>
      </c>
      <c r="AA16" s="165">
        <f>'Without Debt'!Y155</f>
        <v>0</v>
      </c>
      <c r="AB16" s="165">
        <f>'Without Debt'!Z155</f>
        <v>0</v>
      </c>
      <c r="AC16" s="165">
        <f>'Without Debt'!AA155</f>
        <v>0</v>
      </c>
      <c r="AD16" s="166">
        <f>'Without Debt'!AB155</f>
        <v>0</v>
      </c>
    </row>
    <row r="18" spans="4:6" ht="15" customHeight="1" thickBot="1" x14ac:dyDescent="0.35">
      <c r="D18" s="4" t="s">
        <v>214</v>
      </c>
    </row>
    <row r="19" spans="4:6" x14ac:dyDescent="0.3">
      <c r="D19" s="123" t="s">
        <v>205</v>
      </c>
      <c r="E19" s="124">
        <v>1</v>
      </c>
      <c r="F19" s="125" t="s">
        <v>215</v>
      </c>
    </row>
    <row r="20" spans="4:6" x14ac:dyDescent="0.3">
      <c r="D20" s="126" t="s">
        <v>216</v>
      </c>
      <c r="E20" s="122">
        <v>15</v>
      </c>
      <c r="F20" s="127"/>
    </row>
    <row r="21" spans="4:6" ht="15" customHeight="1" thickBot="1" x14ac:dyDescent="0.35">
      <c r="D21" s="128" t="s">
        <v>217</v>
      </c>
      <c r="E21" s="129">
        <v>0.09</v>
      </c>
      <c r="F21" s="130"/>
    </row>
    <row r="22" spans="4:6" x14ac:dyDescent="0.3">
      <c r="D22" s="15" t="s">
        <v>213</v>
      </c>
      <c r="E22" s="116">
        <f>1-E19</f>
        <v>0</v>
      </c>
      <c r="F22" s="120">
        <f>'Calculation Debt'!C142</f>
        <v>0</v>
      </c>
    </row>
    <row r="23" spans="4:6" x14ac:dyDescent="0.3">
      <c r="D23" s="15" t="s">
        <v>218</v>
      </c>
      <c r="E23" s="119">
        <f>IF(E22=0,0,'Calculation Debt'!N6)</f>
        <v>0</v>
      </c>
    </row>
    <row r="24" spans="4:6" x14ac:dyDescent="0.3">
      <c r="D24" s="15" t="s">
        <v>219</v>
      </c>
      <c r="E24" s="119">
        <f>IF(E22=0,0,'Calculation Debt'!N7)</f>
        <v>0</v>
      </c>
    </row>
    <row r="25" spans="4:6" x14ac:dyDescent="0.3">
      <c r="D25" s="86"/>
      <c r="E25" s="86"/>
    </row>
    <row r="26" spans="4:6" x14ac:dyDescent="0.3">
      <c r="D26" s="15" t="s">
        <v>220</v>
      </c>
      <c r="E26" s="119">
        <f>E19/E20</f>
        <v>6.6666666666666666E-2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Summary</vt:lpstr>
      <vt:lpstr>Auto Calculate</vt:lpstr>
      <vt:lpstr>Sheet1</vt:lpstr>
      <vt:lpstr>Calculation Debt</vt:lpstr>
      <vt:lpstr>Without Debt</vt:lpstr>
      <vt:lpstr>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PPA model</dc:title>
  <dc:subject>Debt Funding</dc:subject>
  <dc:creator>Martin Kenzie</dc:creator>
  <cp:lastModifiedBy>Rob Carroll</cp:lastModifiedBy>
  <cp:lastPrinted>2024-03-18T16:55:54Z</cp:lastPrinted>
  <dcterms:created xsi:type="dcterms:W3CDTF">2024-03-18T11:16:33Z</dcterms:created>
  <dcterms:modified xsi:type="dcterms:W3CDTF">2025-06-22T11:07:48Z</dcterms:modified>
</cp:coreProperties>
</file>