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cvansoest/Dropbox (ASU)/Anomalous Ar/Mbale/"/>
    </mc:Choice>
  </mc:AlternateContent>
  <xr:revisionPtr revIDLastSave="0" documentId="13_ncr:1_{C0F548B8-F760-CE44-9348-1E272EEBF6D7}" xr6:coauthVersionLast="45" xr6:coauthVersionMax="45" xr10:uidLastSave="{00000000-0000-0000-0000-000000000000}"/>
  <bookViews>
    <workbookView xWindow="16620" yWindow="760" windowWidth="34160" windowHeight="21000" tabRatio="500" activeTab="8" xr2:uid="{00000000-000D-0000-FFFF-FFFF00000000}"/>
  </bookViews>
  <sheets>
    <sheet name="PlotDat1" sheetId="15" state="hidden" r:id="rId1"/>
    <sheet name="PlotDat4" sheetId="21" state="hidden" r:id="rId2"/>
    <sheet name="Ca_K v Age" sheetId="22" r:id="rId3"/>
    <sheet name="Age Profile 1" sheetId="26" r:id="rId4"/>
    <sheet name="Age Profile 2" sheetId="25" r:id="rId5"/>
    <sheet name="Age Profile 3" sheetId="24" r:id="rId6"/>
    <sheet name="Counts Profile 1" sheetId="27" r:id="rId7"/>
    <sheet name="Counts Profile 2" sheetId="28" r:id="rId8"/>
    <sheet name="Counts Profile 3" sheetId="29" r:id="rId9"/>
    <sheet name="Mb2" sheetId="1" r:id="rId10"/>
    <sheet name="Isochron1" sheetId="16" r:id="rId11"/>
    <sheet name="Sheet1" sheetId="23" r:id="rId12"/>
  </sheets>
  <definedNames>
    <definedName name="_gXY1">PlotDat4!$C$1:$D$13</definedName>
    <definedName name="Ellipse1_1">PlotDat4!$G$1:$H$33</definedName>
    <definedName name="Ellipse1_10">PlotDat4!$Y$1:$Z$33</definedName>
    <definedName name="Ellipse1_11">PlotDat4!$AA$1:$AB$33</definedName>
    <definedName name="Ellipse1_12">PlotDat4!$AC$1:$AD$33</definedName>
    <definedName name="Ellipse1_13">PlotDat4!$AE$1:$AF$33</definedName>
    <definedName name="Ellipse1_14">#REF!</definedName>
    <definedName name="Ellipse1_15">#REF!</definedName>
    <definedName name="Ellipse1_16">#REF!</definedName>
    <definedName name="Ellipse1_17">#REF!</definedName>
    <definedName name="Ellipse1_18">#REF!</definedName>
    <definedName name="Ellipse1_19">#REF!</definedName>
    <definedName name="Ellipse1_2">PlotDat4!$I$1:$J$33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29">#REF!</definedName>
    <definedName name="Ellipse1_3">PlotDat4!$K$1:$L$33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PlotDat4!$M$1:$N$33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PlotDat4!$O$1:$P$33</definedName>
    <definedName name="Ellipse1_50">#REF!</definedName>
    <definedName name="Ellipse1_51">#REF!</definedName>
    <definedName name="Ellipse1_52">#REF!</definedName>
    <definedName name="Ellipse1_53">#REF!</definedName>
    <definedName name="Ellipse1_54">#REF!</definedName>
    <definedName name="Ellipse1_55">#REF!</definedName>
    <definedName name="Ellipse1_56">#REF!</definedName>
    <definedName name="Ellipse1_57">#REF!</definedName>
    <definedName name="Ellipse1_58">#REF!</definedName>
    <definedName name="Ellipse1_59">#REF!</definedName>
    <definedName name="Ellipse1_6">PlotDat4!$Q$1:$R$33</definedName>
    <definedName name="Ellipse1_60">#REF!</definedName>
    <definedName name="Ellipse1_61">#REF!</definedName>
    <definedName name="Ellipse1_62">#REF!</definedName>
    <definedName name="Ellipse1_63">#REF!</definedName>
    <definedName name="Ellipse1_64">#REF!</definedName>
    <definedName name="Ellipse1_65">#REF!</definedName>
    <definedName name="Ellipse1_66">#REF!</definedName>
    <definedName name="Ellipse1_67">#REF!</definedName>
    <definedName name="Ellipse1_68">#REF!</definedName>
    <definedName name="Ellipse1_69">#REF!</definedName>
    <definedName name="Ellipse1_7">PlotDat4!$S$1:$T$33</definedName>
    <definedName name="Ellipse1_70">#REF!</definedName>
    <definedName name="Ellipse1_71">#REF!</definedName>
    <definedName name="Ellipse1_72">#REF!</definedName>
    <definedName name="Ellipse1_73">#REF!</definedName>
    <definedName name="Ellipse1_74">#REF!</definedName>
    <definedName name="Ellipse1_75">#REF!</definedName>
    <definedName name="Ellipse1_76">#REF!</definedName>
    <definedName name="Ellipse1_77">#REF!</definedName>
    <definedName name="Ellipse1_78">#REF!</definedName>
    <definedName name="Ellipse1_79">#REF!</definedName>
    <definedName name="Ellipse1_8">PlotDat4!$U$1:$V$33</definedName>
    <definedName name="Ellipse1_80">#REF!</definedName>
    <definedName name="Ellipse1_81">#REF!</definedName>
    <definedName name="Ellipse1_82">#REF!</definedName>
    <definedName name="Ellipse1_83">#REF!</definedName>
    <definedName name="Ellipse1_84">#REF!</definedName>
    <definedName name="Ellipse1_85">#REF!</definedName>
    <definedName name="Ellipse1_86">#REF!</definedName>
    <definedName name="Ellipse1_87">#REF!</definedName>
    <definedName name="Ellipse1_88">#REF!</definedName>
    <definedName name="Ellipse1_89">#REF!</definedName>
    <definedName name="Ellipse1_9">PlotDat4!$W$1:$X$33</definedName>
    <definedName name="Ellipse1_90">#REF!</definedName>
    <definedName name="Ellipse1_91">#REF!</definedName>
    <definedName name="Ellipse1_92">#REF!</definedName>
    <definedName name="Ellipse1_93">#REF!</definedName>
    <definedName name="Ellipse1_94">#REF!</definedName>
    <definedName name="Ellipse1_95">#REF!</definedName>
    <definedName name="gau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N18" i="1" l="1"/>
  <c r="Y23" i="1" l="1"/>
  <c r="AL23" i="1" s="1"/>
  <c r="AO23" i="1" s="1"/>
  <c r="BA23" i="1" s="1"/>
  <c r="AA23" i="1"/>
  <c r="AQ23" i="1" s="1"/>
  <c r="BC23" i="1" s="1"/>
  <c r="AE23" i="1"/>
  <c r="AU23" i="1" s="1"/>
  <c r="BG23" i="1" s="1"/>
  <c r="BP23" i="1" s="1"/>
  <c r="AH23" i="1"/>
  <c r="AW23" i="1" s="1"/>
  <c r="BI23" i="1" s="1"/>
  <c r="AC23" i="1"/>
  <c r="AS23" i="1" s="1"/>
  <c r="BE23" i="1" s="1"/>
  <c r="Y24" i="1"/>
  <c r="AL24" i="1" s="1"/>
  <c r="AO24" i="1" s="1"/>
  <c r="BA24" i="1" s="1"/>
  <c r="AA24" i="1"/>
  <c r="AQ24" i="1" s="1"/>
  <c r="BC24" i="1" s="1"/>
  <c r="AE24" i="1"/>
  <c r="AU24" i="1"/>
  <c r="BG24" i="1" s="1"/>
  <c r="BP24" i="1" s="1"/>
  <c r="AH24" i="1"/>
  <c r="AW24" i="1" s="1"/>
  <c r="BI24" i="1" s="1"/>
  <c r="BT24" i="1" s="1"/>
  <c r="AC24" i="1"/>
  <c r="AS24" i="1" s="1"/>
  <c r="BE24" i="1" s="1"/>
  <c r="Y31" i="1"/>
  <c r="AL31" i="1" s="1"/>
  <c r="AO31" i="1" s="1"/>
  <c r="BA31" i="1" s="1"/>
  <c r="AA31" i="1"/>
  <c r="AQ31" i="1" s="1"/>
  <c r="BC31" i="1" s="1"/>
  <c r="AE31" i="1"/>
  <c r="AU31" i="1" s="1"/>
  <c r="BG31" i="1" s="1"/>
  <c r="BP31" i="1" s="1"/>
  <c r="AH31" i="1"/>
  <c r="AW31" i="1" s="1"/>
  <c r="BI31" i="1" s="1"/>
  <c r="AC31" i="1"/>
  <c r="AS31" i="1" s="1"/>
  <c r="BE31" i="1" s="1"/>
  <c r="Y32" i="1"/>
  <c r="AL32" i="1" s="1"/>
  <c r="AO32" i="1" s="1"/>
  <c r="BA32" i="1" s="1"/>
  <c r="AA32" i="1"/>
  <c r="AQ32" i="1" s="1"/>
  <c r="BC32" i="1" s="1"/>
  <c r="AE32" i="1"/>
  <c r="AU32" i="1"/>
  <c r="BG32" i="1" s="1"/>
  <c r="BP32" i="1" s="1"/>
  <c r="AH32" i="1"/>
  <c r="AW32" i="1" s="1"/>
  <c r="BI32" i="1" s="1"/>
  <c r="BT32" i="1" s="1"/>
  <c r="AC32" i="1"/>
  <c r="AS32" i="1" s="1"/>
  <c r="BE32" i="1" s="1"/>
  <c r="Y46" i="1"/>
  <c r="AL46" i="1" s="1"/>
  <c r="AO46" i="1" s="1"/>
  <c r="BA46" i="1" s="1"/>
  <c r="AA46" i="1"/>
  <c r="AQ46" i="1" s="1"/>
  <c r="BC46" i="1" s="1"/>
  <c r="AE46" i="1"/>
  <c r="AU46" i="1" s="1"/>
  <c r="BG46" i="1" s="1"/>
  <c r="BP46" i="1" s="1"/>
  <c r="AH46" i="1"/>
  <c r="AW46" i="1" s="1"/>
  <c r="BI46" i="1" s="1"/>
  <c r="AC46" i="1"/>
  <c r="AS46" i="1" s="1"/>
  <c r="BE46" i="1" s="1"/>
  <c r="Y47" i="1"/>
  <c r="AL47" i="1" s="1"/>
  <c r="AO47" i="1" s="1"/>
  <c r="BA47" i="1" s="1"/>
  <c r="AA47" i="1"/>
  <c r="AQ47" i="1" s="1"/>
  <c r="BC47" i="1" s="1"/>
  <c r="AE47" i="1"/>
  <c r="AU47" i="1"/>
  <c r="BG47" i="1" s="1"/>
  <c r="BP47" i="1" s="1"/>
  <c r="AH47" i="1"/>
  <c r="AW47" i="1" s="1"/>
  <c r="BI47" i="1" s="1"/>
  <c r="BT47" i="1" s="1"/>
  <c r="AC47" i="1"/>
  <c r="AS47" i="1" s="1"/>
  <c r="BE47" i="1" s="1"/>
  <c r="Y48" i="1"/>
  <c r="AL48" i="1" s="1"/>
  <c r="AO48" i="1" s="1"/>
  <c r="BA48" i="1" s="1"/>
  <c r="AA48" i="1"/>
  <c r="AQ48" i="1" s="1"/>
  <c r="BC48" i="1" s="1"/>
  <c r="AU48" i="1"/>
  <c r="BG48" i="1" s="1"/>
  <c r="BP48" i="1" s="1"/>
  <c r="AH48" i="1"/>
  <c r="AW48" i="1" s="1"/>
  <c r="BI48" i="1" s="1"/>
  <c r="AC48" i="1"/>
  <c r="AS48" i="1" s="1"/>
  <c r="BE48" i="1" s="1"/>
  <c r="Y61" i="1"/>
  <c r="AL61" i="1" s="1"/>
  <c r="AA61" i="1"/>
  <c r="AQ61" i="1"/>
  <c r="BC61" i="1" s="1"/>
  <c r="AE61" i="1"/>
  <c r="AU61" i="1" s="1"/>
  <c r="BG61" i="1" s="1"/>
  <c r="BP61" i="1" s="1"/>
  <c r="AH61" i="1"/>
  <c r="AW61" i="1" s="1"/>
  <c r="BI61" i="1" s="1"/>
  <c r="AC61" i="1"/>
  <c r="AS61" i="1" s="1"/>
  <c r="BE61" i="1" s="1"/>
  <c r="Y62" i="1"/>
  <c r="AL62" i="1" s="1"/>
  <c r="AO62" i="1" s="1"/>
  <c r="BA62" i="1" s="1"/>
  <c r="AA62" i="1"/>
  <c r="AQ62" i="1"/>
  <c r="BC62" i="1" s="1"/>
  <c r="AE62" i="1"/>
  <c r="AU62" i="1" s="1"/>
  <c r="BG62" i="1" s="1"/>
  <c r="BP62" i="1" s="1"/>
  <c r="AH62" i="1"/>
  <c r="AW62" i="1" s="1"/>
  <c r="BI62" i="1" s="1"/>
  <c r="AC62" i="1"/>
  <c r="AS62" i="1" s="1"/>
  <c r="BE62" i="1" s="1"/>
  <c r="Y64" i="1"/>
  <c r="AL64" i="1"/>
  <c r="AO64" i="1" s="1"/>
  <c r="BA64" i="1" s="1"/>
  <c r="AA64" i="1"/>
  <c r="AQ64" i="1" s="1"/>
  <c r="BC64" i="1" s="1"/>
  <c r="BN64" i="1" s="1"/>
  <c r="DA64" i="1" s="1"/>
  <c r="DI64" i="1" s="1"/>
  <c r="AE64" i="1"/>
  <c r="AU64" i="1"/>
  <c r="BG64" i="1"/>
  <c r="BP64" i="1" s="1"/>
  <c r="AH64" i="1"/>
  <c r="AW64" i="1" s="1"/>
  <c r="BI64" i="1" s="1"/>
  <c r="AC64" i="1"/>
  <c r="AS64" i="1" s="1"/>
  <c r="BE64" i="1" s="1"/>
  <c r="AA22" i="1"/>
  <c r="AQ22" i="1" s="1"/>
  <c r="BC22" i="1"/>
  <c r="AE22" i="1"/>
  <c r="AU22" i="1" s="1"/>
  <c r="BG22" i="1" s="1"/>
  <c r="BP22" i="1" s="1"/>
  <c r="AH22" i="1"/>
  <c r="AW22" i="1" s="1"/>
  <c r="BI22" i="1"/>
  <c r="AC22" i="1"/>
  <c r="AS22" i="1" s="1"/>
  <c r="BE22" i="1" s="1"/>
  <c r="AG22" i="1"/>
  <c r="AV22" i="1" s="1"/>
  <c r="BH22" i="1"/>
  <c r="BQ22" i="1" s="1"/>
  <c r="AI22" i="1"/>
  <c r="AX22" i="1" s="1"/>
  <c r="BJ22" i="1" s="1"/>
  <c r="AB22" i="1"/>
  <c r="AR22" i="1"/>
  <c r="BD22" i="1"/>
  <c r="Y22" i="1"/>
  <c r="AL22" i="1" s="1"/>
  <c r="AO22" i="1"/>
  <c r="BA22" i="1" s="1"/>
  <c r="Z22" i="1"/>
  <c r="AM22" i="1"/>
  <c r="AP22" i="1" s="1"/>
  <c r="BB22" i="1" s="1"/>
  <c r="Y43" i="1"/>
  <c r="AL43" i="1"/>
  <c r="AM43" i="1" s="1"/>
  <c r="AP43" i="1" s="1"/>
  <c r="BB43" i="1" s="1"/>
  <c r="AO43" i="1"/>
  <c r="BA43" i="1" s="1"/>
  <c r="AA43" i="1"/>
  <c r="AQ43" i="1" s="1"/>
  <c r="BC43" i="1" s="1"/>
  <c r="BN43" i="1" s="1"/>
  <c r="AE43" i="1"/>
  <c r="AU43" i="1"/>
  <c r="BG43" i="1" s="1"/>
  <c r="BP43" i="1" s="1"/>
  <c r="AH43" i="1"/>
  <c r="AW43" i="1" s="1"/>
  <c r="BI43" i="1" s="1"/>
  <c r="BT43" i="1" s="1"/>
  <c r="AC43" i="1"/>
  <c r="AS43" i="1" s="1"/>
  <c r="BE43" i="1" s="1"/>
  <c r="AG43" i="1"/>
  <c r="AV43" i="1" s="1"/>
  <c r="BH43" i="1"/>
  <c r="BQ43" i="1"/>
  <c r="AI43" i="1"/>
  <c r="AX43" i="1"/>
  <c r="BJ43" i="1"/>
  <c r="BU43" i="1"/>
  <c r="AB43" i="1"/>
  <c r="AR43" i="1"/>
  <c r="BD43" i="1"/>
  <c r="Z43" i="1"/>
  <c r="Y42" i="1"/>
  <c r="AL42" i="1" s="1"/>
  <c r="AO42" i="1" s="1"/>
  <c r="BA42" i="1" s="1"/>
  <c r="AA42" i="1"/>
  <c r="AQ42" i="1" s="1"/>
  <c r="BC42" i="1" s="1"/>
  <c r="AE42" i="1"/>
  <c r="AU42" i="1" s="1"/>
  <c r="BG42" i="1" s="1"/>
  <c r="BP42" i="1" s="1"/>
  <c r="AH42" i="1"/>
  <c r="AW42" i="1" s="1"/>
  <c r="BI42" i="1" s="1"/>
  <c r="BT42" i="1" s="1"/>
  <c r="AC42" i="1"/>
  <c r="AS42" i="1" s="1"/>
  <c r="BE42" i="1"/>
  <c r="AG42" i="1"/>
  <c r="AV42" i="1"/>
  <c r="BH42" i="1" s="1"/>
  <c r="BQ42" i="1" s="1"/>
  <c r="AI42" i="1"/>
  <c r="AX42" i="1"/>
  <c r="BJ42" i="1" s="1"/>
  <c r="AB42" i="1"/>
  <c r="AR42" i="1"/>
  <c r="BD42" i="1" s="1"/>
  <c r="Z42" i="1"/>
  <c r="AM42" i="1" s="1"/>
  <c r="AP42" i="1" s="1"/>
  <c r="BB42" i="1" s="1"/>
  <c r="Y41" i="1"/>
  <c r="AL41" i="1" s="1"/>
  <c r="AA41" i="1"/>
  <c r="AQ41" i="1" s="1"/>
  <c r="BC41" i="1"/>
  <c r="AE41" i="1"/>
  <c r="AU41" i="1" s="1"/>
  <c r="BG41" i="1" s="1"/>
  <c r="BP41" i="1" s="1"/>
  <c r="AH41" i="1"/>
  <c r="AW41" i="1" s="1"/>
  <c r="BI41" i="1" s="1"/>
  <c r="BT41" i="1" s="1"/>
  <c r="AC41" i="1"/>
  <c r="AS41" i="1"/>
  <c r="BE41" i="1" s="1"/>
  <c r="AG41" i="1"/>
  <c r="AV41" i="1" s="1"/>
  <c r="BH41" i="1" s="1"/>
  <c r="BQ41" i="1" s="1"/>
  <c r="AI41" i="1"/>
  <c r="AX41" i="1"/>
  <c r="BJ41" i="1" s="1"/>
  <c r="AB41" i="1"/>
  <c r="AR41" i="1" s="1"/>
  <c r="BD41" i="1" s="1"/>
  <c r="Z41" i="1"/>
  <c r="AG23" i="1"/>
  <c r="AV23" i="1" s="1"/>
  <c r="BH23" i="1" s="1"/>
  <c r="BQ23" i="1" s="1"/>
  <c r="AB23" i="1"/>
  <c r="AR23" i="1" s="1"/>
  <c r="BD23" i="1"/>
  <c r="AG24" i="1"/>
  <c r="AV24" i="1" s="1"/>
  <c r="BH24" i="1" s="1"/>
  <c r="BQ24" i="1" s="1"/>
  <c r="AB24" i="1"/>
  <c r="AR24" i="1" s="1"/>
  <c r="BD24" i="1"/>
  <c r="AE25" i="1"/>
  <c r="AU25" i="1"/>
  <c r="BG25" i="1" s="1"/>
  <c r="BP25" i="1" s="1"/>
  <c r="AA25" i="1"/>
  <c r="AQ25" i="1" s="1"/>
  <c r="BC25" i="1" s="1"/>
  <c r="BN25" i="1" s="1"/>
  <c r="AG25" i="1"/>
  <c r="AV25" i="1" s="1"/>
  <c r="BH25" i="1" s="1"/>
  <c r="BQ25" i="1" s="1"/>
  <c r="AB25" i="1"/>
  <c r="AR25" i="1" s="1"/>
  <c r="BD25" i="1"/>
  <c r="AE26" i="1"/>
  <c r="AU26" i="1"/>
  <c r="BG26" i="1" s="1"/>
  <c r="BP26" i="1" s="1"/>
  <c r="AA26" i="1"/>
  <c r="AQ26" i="1" s="1"/>
  <c r="BC26" i="1" s="1"/>
  <c r="AG26" i="1"/>
  <c r="AV26" i="1" s="1"/>
  <c r="BH26" i="1" s="1"/>
  <c r="BQ26" i="1" s="1"/>
  <c r="AB26" i="1"/>
  <c r="AR26" i="1" s="1"/>
  <c r="BD26" i="1"/>
  <c r="AE27" i="1"/>
  <c r="AU27" i="1"/>
  <c r="BG27" i="1" s="1"/>
  <c r="BP27" i="1" s="1"/>
  <c r="AA27" i="1"/>
  <c r="AQ27" i="1" s="1"/>
  <c r="BC27" i="1" s="1"/>
  <c r="BN27" i="1" s="1"/>
  <c r="AG27" i="1"/>
  <c r="AV27" i="1" s="1"/>
  <c r="BH27" i="1" s="1"/>
  <c r="BQ27" i="1" s="1"/>
  <c r="AB27" i="1"/>
  <c r="AR27" i="1" s="1"/>
  <c r="BD27" i="1"/>
  <c r="AE28" i="1"/>
  <c r="AU28" i="1"/>
  <c r="BG28" i="1" s="1"/>
  <c r="BP28" i="1" s="1"/>
  <c r="AA28" i="1"/>
  <c r="AQ28" i="1" s="1"/>
  <c r="BC28" i="1" s="1"/>
  <c r="AG28" i="1"/>
  <c r="AV28" i="1" s="1"/>
  <c r="BH28" i="1" s="1"/>
  <c r="BQ28" i="1" s="1"/>
  <c r="AB28" i="1"/>
  <c r="AR28" i="1" s="1"/>
  <c r="BD28" i="1"/>
  <c r="AE29" i="1"/>
  <c r="AU29" i="1"/>
  <c r="BG29" i="1" s="1"/>
  <c r="BP29" i="1" s="1"/>
  <c r="AA29" i="1"/>
  <c r="AQ29" i="1" s="1"/>
  <c r="BC29" i="1" s="1"/>
  <c r="BN29" i="1" s="1"/>
  <c r="AG29" i="1"/>
  <c r="AV29" i="1" s="1"/>
  <c r="BH29" i="1" s="1"/>
  <c r="BQ29" i="1" s="1"/>
  <c r="AB29" i="1"/>
  <c r="AR29" i="1" s="1"/>
  <c r="BD29" i="1"/>
  <c r="AE30" i="1"/>
  <c r="AU30" i="1"/>
  <c r="BG30" i="1" s="1"/>
  <c r="BP30" i="1" s="1"/>
  <c r="AA30" i="1"/>
  <c r="AQ30" i="1" s="1"/>
  <c r="BC30" i="1" s="1"/>
  <c r="AG30" i="1"/>
  <c r="AV30" i="1" s="1"/>
  <c r="BH30" i="1" s="1"/>
  <c r="BQ30" i="1" s="1"/>
  <c r="AB30" i="1"/>
  <c r="AR30" i="1" s="1"/>
  <c r="BD30" i="1"/>
  <c r="AG31" i="1"/>
  <c r="AV31" i="1" s="1"/>
  <c r="BH31" i="1" s="1"/>
  <c r="BQ31" i="1" s="1"/>
  <c r="AB31" i="1"/>
  <c r="AR31" i="1" s="1"/>
  <c r="BD31" i="1"/>
  <c r="AG32" i="1"/>
  <c r="AV32" i="1" s="1"/>
  <c r="BH32" i="1" s="1"/>
  <c r="BQ32" i="1" s="1"/>
  <c r="AB32" i="1"/>
  <c r="AR32" i="1"/>
  <c r="BD32" i="1" s="1"/>
  <c r="AE33" i="1"/>
  <c r="AU33" i="1" s="1"/>
  <c r="BG33" i="1" s="1"/>
  <c r="BP33" i="1" s="1"/>
  <c r="AA33" i="1"/>
  <c r="AQ33" i="1" s="1"/>
  <c r="BC33" i="1" s="1"/>
  <c r="AG33" i="1"/>
  <c r="AV33" i="1"/>
  <c r="BH33" i="1" s="1"/>
  <c r="BQ33" i="1" s="1"/>
  <c r="AB33" i="1"/>
  <c r="AR33" i="1"/>
  <c r="BD33" i="1" s="1"/>
  <c r="AE34" i="1"/>
  <c r="AU34" i="1" s="1"/>
  <c r="BG34" i="1" s="1"/>
  <c r="BP34" i="1" s="1"/>
  <c r="AA34" i="1"/>
  <c r="AQ34" i="1" s="1"/>
  <c r="BC34" i="1" s="1"/>
  <c r="AG34" i="1"/>
  <c r="AV34" i="1"/>
  <c r="BH34" i="1" s="1"/>
  <c r="BQ34" i="1" s="1"/>
  <c r="AB34" i="1"/>
  <c r="AR34" i="1"/>
  <c r="BD34" i="1" s="1"/>
  <c r="AE35" i="1"/>
  <c r="AU35" i="1" s="1"/>
  <c r="BG35" i="1" s="1"/>
  <c r="BP35" i="1"/>
  <c r="AA35" i="1"/>
  <c r="AQ35" i="1" s="1"/>
  <c r="BC35" i="1" s="1"/>
  <c r="BN35" i="1" s="1"/>
  <c r="AG35" i="1"/>
  <c r="AV35" i="1" s="1"/>
  <c r="BH35" i="1" s="1"/>
  <c r="BQ35" i="1" s="1"/>
  <c r="AB35" i="1"/>
  <c r="AR35" i="1"/>
  <c r="BD35" i="1" s="1"/>
  <c r="AE36" i="1"/>
  <c r="AU36" i="1" s="1"/>
  <c r="BG36" i="1" s="1"/>
  <c r="BP36" i="1" s="1"/>
  <c r="AA36" i="1"/>
  <c r="AQ36" i="1" s="1"/>
  <c r="BC36" i="1" s="1"/>
  <c r="AG36" i="1"/>
  <c r="AV36" i="1"/>
  <c r="BH36" i="1" s="1"/>
  <c r="BQ36" i="1" s="1"/>
  <c r="AB36" i="1"/>
  <c r="AR36" i="1"/>
  <c r="BD36" i="1" s="1"/>
  <c r="AU37" i="1"/>
  <c r="BG37" i="1" s="1"/>
  <c r="BP37" i="1" s="1"/>
  <c r="AA37" i="1"/>
  <c r="AQ37" i="1" s="1"/>
  <c r="BC37" i="1" s="1"/>
  <c r="AG37" i="1"/>
  <c r="AV37" i="1"/>
  <c r="BH37" i="1"/>
  <c r="BQ37" i="1" s="1"/>
  <c r="AB37" i="1"/>
  <c r="AR37" i="1" s="1"/>
  <c r="BD37" i="1" s="1"/>
  <c r="AE38" i="1"/>
  <c r="AU38" i="1" s="1"/>
  <c r="BG38" i="1" s="1"/>
  <c r="BP38" i="1" s="1"/>
  <c r="AA38" i="1"/>
  <c r="AQ38" i="1" s="1"/>
  <c r="BC38" i="1" s="1"/>
  <c r="AG38" i="1"/>
  <c r="AV38" i="1"/>
  <c r="BH38" i="1"/>
  <c r="BQ38" i="1" s="1"/>
  <c r="AB38" i="1"/>
  <c r="AR38" i="1" s="1"/>
  <c r="BD38" i="1" s="1"/>
  <c r="AE39" i="1"/>
  <c r="AU39" i="1" s="1"/>
  <c r="BG39" i="1" s="1"/>
  <c r="BP39" i="1" s="1"/>
  <c r="DA39" i="1" s="1"/>
  <c r="AA39" i="1"/>
  <c r="AQ39" i="1" s="1"/>
  <c r="BC39" i="1" s="1"/>
  <c r="BN39" i="1" s="1"/>
  <c r="AG39" i="1"/>
  <c r="AV39" i="1"/>
  <c r="BH39" i="1"/>
  <c r="BQ39" i="1" s="1"/>
  <c r="AB39" i="1"/>
  <c r="AR39" i="1"/>
  <c r="BD39" i="1"/>
  <c r="AE40" i="1"/>
  <c r="AU40" i="1" s="1"/>
  <c r="BG40" i="1" s="1"/>
  <c r="BP40" i="1" s="1"/>
  <c r="AA40" i="1"/>
  <c r="AQ40" i="1" s="1"/>
  <c r="BC40" i="1" s="1"/>
  <c r="AG40" i="1"/>
  <c r="AV40" i="1"/>
  <c r="BH40" i="1"/>
  <c r="BQ40" i="1" s="1"/>
  <c r="AB40" i="1"/>
  <c r="AR40" i="1"/>
  <c r="BD40" i="1"/>
  <c r="AE44" i="1"/>
  <c r="AU44" i="1" s="1"/>
  <c r="BG44" i="1" s="1"/>
  <c r="BP44" i="1" s="1"/>
  <c r="AA44" i="1"/>
  <c r="AQ44" i="1" s="1"/>
  <c r="BC44" i="1" s="1"/>
  <c r="BN44" i="1" s="1"/>
  <c r="AG44" i="1"/>
  <c r="AV44" i="1"/>
  <c r="BH44" i="1" s="1"/>
  <c r="BQ44" i="1" s="1"/>
  <c r="AB44" i="1"/>
  <c r="AR44" i="1"/>
  <c r="BD44" i="1"/>
  <c r="AE45" i="1"/>
  <c r="AU45" i="1" s="1"/>
  <c r="BG45" i="1" s="1"/>
  <c r="BP45" i="1" s="1"/>
  <c r="AA45" i="1"/>
  <c r="AQ45" i="1" s="1"/>
  <c r="BC45" i="1" s="1"/>
  <c r="AG45" i="1"/>
  <c r="AV45" i="1"/>
  <c r="BH45" i="1" s="1"/>
  <c r="BQ45" i="1" s="1"/>
  <c r="AB45" i="1"/>
  <c r="AR45" i="1" s="1"/>
  <c r="BD45" i="1" s="1"/>
  <c r="AG46" i="1"/>
  <c r="AV46" i="1"/>
  <c r="BH46" i="1" s="1"/>
  <c r="BQ46" i="1" s="1"/>
  <c r="BO46" i="1" s="1"/>
  <c r="AB46" i="1"/>
  <c r="AR46" i="1" s="1"/>
  <c r="BD46" i="1" s="1"/>
  <c r="AG47" i="1"/>
  <c r="AV47" i="1"/>
  <c r="BH47" i="1" s="1"/>
  <c r="BQ47" i="1" s="1"/>
  <c r="BO47" i="1" s="1"/>
  <c r="AB47" i="1"/>
  <c r="AR47" i="1"/>
  <c r="BD47" i="1" s="1"/>
  <c r="AG48" i="1"/>
  <c r="AV48" i="1"/>
  <c r="BH48" i="1" s="1"/>
  <c r="BQ48" i="1" s="1"/>
  <c r="AB48" i="1"/>
  <c r="AR48" i="1"/>
  <c r="BD48" i="1" s="1"/>
  <c r="AU49" i="1"/>
  <c r="BG49" i="1" s="1"/>
  <c r="BP49" i="1" s="1"/>
  <c r="AA49" i="1"/>
  <c r="AQ49" i="1" s="1"/>
  <c r="BC49" i="1" s="1"/>
  <c r="BN49" i="1" s="1"/>
  <c r="AG49" i="1"/>
  <c r="AV49" i="1" s="1"/>
  <c r="BH49" i="1" s="1"/>
  <c r="BQ49" i="1" s="1"/>
  <c r="AB49" i="1"/>
  <c r="AR49" i="1" s="1"/>
  <c r="BD49" i="1"/>
  <c r="AE50" i="1"/>
  <c r="AU50" i="1"/>
  <c r="BG50" i="1" s="1"/>
  <c r="BP50" i="1" s="1"/>
  <c r="AA50" i="1"/>
  <c r="AQ50" i="1" s="1"/>
  <c r="BC50" i="1" s="1"/>
  <c r="BN50" i="1" s="1"/>
  <c r="AG50" i="1"/>
  <c r="AV50" i="1" s="1"/>
  <c r="BH50" i="1" s="1"/>
  <c r="BQ50" i="1" s="1"/>
  <c r="AB50" i="1"/>
  <c r="AR50" i="1" s="1"/>
  <c r="BD50" i="1" s="1"/>
  <c r="AU51" i="1"/>
  <c r="BG51" i="1" s="1"/>
  <c r="BP51" i="1" s="1"/>
  <c r="AA51" i="1"/>
  <c r="AQ51" i="1" s="1"/>
  <c r="BC51" i="1" s="1"/>
  <c r="AG51" i="1"/>
  <c r="AV51" i="1" s="1"/>
  <c r="BH51" i="1" s="1"/>
  <c r="BQ51" i="1" s="1"/>
  <c r="AB51" i="1"/>
  <c r="AR51" i="1"/>
  <c r="BD51" i="1" s="1"/>
  <c r="AE52" i="1"/>
  <c r="AU52" i="1" s="1"/>
  <c r="BG52" i="1" s="1"/>
  <c r="BP52" i="1" s="1"/>
  <c r="AA52" i="1"/>
  <c r="AQ52" i="1" s="1"/>
  <c r="BC52" i="1" s="1"/>
  <c r="AG52" i="1"/>
  <c r="AV52" i="1" s="1"/>
  <c r="BH52" i="1" s="1"/>
  <c r="BQ52" i="1" s="1"/>
  <c r="AB52" i="1"/>
  <c r="AR52" i="1"/>
  <c r="BD52" i="1" s="1"/>
  <c r="AU53" i="1"/>
  <c r="BG53" i="1" s="1"/>
  <c r="BP53" i="1" s="1"/>
  <c r="AA53" i="1"/>
  <c r="AQ53" i="1" s="1"/>
  <c r="BC53" i="1" s="1"/>
  <c r="AG53" i="1"/>
  <c r="AV53" i="1"/>
  <c r="BH53" i="1"/>
  <c r="BQ53" i="1" s="1"/>
  <c r="AB53" i="1"/>
  <c r="AR53" i="1" s="1"/>
  <c r="BD53" i="1" s="1"/>
  <c r="AE54" i="1"/>
  <c r="AU54" i="1" s="1"/>
  <c r="BG54" i="1" s="1"/>
  <c r="BP54" i="1" s="1"/>
  <c r="AA54" i="1"/>
  <c r="AQ54" i="1" s="1"/>
  <c r="BC54" i="1" s="1"/>
  <c r="AG54" i="1"/>
  <c r="AV54" i="1"/>
  <c r="BH54" i="1" s="1"/>
  <c r="BQ54" i="1" s="1"/>
  <c r="AB54" i="1"/>
  <c r="AR54" i="1"/>
  <c r="BD54" i="1"/>
  <c r="AE55" i="1"/>
  <c r="AU55" i="1" s="1"/>
  <c r="BG55" i="1" s="1"/>
  <c r="BP55" i="1" s="1"/>
  <c r="AA55" i="1"/>
  <c r="AQ55" i="1" s="1"/>
  <c r="BC55" i="1" s="1"/>
  <c r="AG55" i="1"/>
  <c r="AV55" i="1" s="1"/>
  <c r="BH55" i="1" s="1"/>
  <c r="BQ55" i="1" s="1"/>
  <c r="AB55" i="1"/>
  <c r="AR55" i="1"/>
  <c r="BD55" i="1" s="1"/>
  <c r="AU56" i="1"/>
  <c r="BG56" i="1" s="1"/>
  <c r="BP56" i="1" s="1"/>
  <c r="AA56" i="1"/>
  <c r="AQ56" i="1"/>
  <c r="BC56" i="1" s="1"/>
  <c r="AG56" i="1"/>
  <c r="AV56" i="1" s="1"/>
  <c r="BH56" i="1" s="1"/>
  <c r="BQ56" i="1"/>
  <c r="AB56" i="1"/>
  <c r="AR56" i="1" s="1"/>
  <c r="BD56" i="1" s="1"/>
  <c r="AU57" i="1"/>
  <c r="BG57" i="1" s="1"/>
  <c r="BP57" i="1" s="1"/>
  <c r="AA57" i="1"/>
  <c r="AQ57" i="1" s="1"/>
  <c r="BC57" i="1" s="1"/>
  <c r="AG57" i="1"/>
  <c r="AV57" i="1" s="1"/>
  <c r="BH57" i="1" s="1"/>
  <c r="BQ57" i="1" s="1"/>
  <c r="AB57" i="1"/>
  <c r="AR57" i="1" s="1"/>
  <c r="BD57" i="1" s="1"/>
  <c r="AE58" i="1"/>
  <c r="AU58" i="1"/>
  <c r="BG58" i="1" s="1"/>
  <c r="BP58" i="1" s="1"/>
  <c r="AA58" i="1"/>
  <c r="AQ58" i="1" s="1"/>
  <c r="BC58" i="1" s="1"/>
  <c r="AG58" i="1"/>
  <c r="AV58" i="1" s="1"/>
  <c r="BH58" i="1" s="1"/>
  <c r="BQ58" i="1" s="1"/>
  <c r="AB58" i="1"/>
  <c r="AR58" i="1" s="1"/>
  <c r="BD58" i="1" s="1"/>
  <c r="AE59" i="1"/>
  <c r="AU59" i="1"/>
  <c r="BG59" i="1" s="1"/>
  <c r="BP59" i="1" s="1"/>
  <c r="AA59" i="1"/>
  <c r="AQ59" i="1" s="1"/>
  <c r="BC59" i="1" s="1"/>
  <c r="AG59" i="1"/>
  <c r="AV59" i="1" s="1"/>
  <c r="BH59" i="1" s="1"/>
  <c r="BQ59" i="1" s="1"/>
  <c r="AB59" i="1"/>
  <c r="AR59" i="1" s="1"/>
  <c r="BD59" i="1" s="1"/>
  <c r="AE60" i="1"/>
  <c r="AU60" i="1"/>
  <c r="BG60" i="1" s="1"/>
  <c r="BP60" i="1" s="1"/>
  <c r="AA60" i="1"/>
  <c r="AQ60" i="1" s="1"/>
  <c r="BC60" i="1" s="1"/>
  <c r="AG60" i="1"/>
  <c r="AV60" i="1" s="1"/>
  <c r="BH60" i="1" s="1"/>
  <c r="BQ60" i="1" s="1"/>
  <c r="AB60" i="1"/>
  <c r="AR60" i="1" s="1"/>
  <c r="BD60" i="1" s="1"/>
  <c r="AG61" i="1"/>
  <c r="AV61" i="1" s="1"/>
  <c r="BH61" i="1" s="1"/>
  <c r="BQ61" i="1" s="1"/>
  <c r="AB61" i="1"/>
  <c r="AR61" i="1" s="1"/>
  <c r="BD61" i="1" s="1"/>
  <c r="AG62" i="1"/>
  <c r="AV62" i="1" s="1"/>
  <c r="BH62" i="1" s="1"/>
  <c r="BQ62" i="1" s="1"/>
  <c r="AB62" i="1"/>
  <c r="AR62" i="1" s="1"/>
  <c r="BD62" i="1" s="1"/>
  <c r="AE63" i="1"/>
  <c r="AU63" i="1"/>
  <c r="BG63" i="1" s="1"/>
  <c r="BP63" i="1" s="1"/>
  <c r="AA63" i="1"/>
  <c r="AQ63" i="1" s="1"/>
  <c r="BC63" i="1" s="1"/>
  <c r="AG63" i="1"/>
  <c r="AV63" i="1" s="1"/>
  <c r="BH63" i="1" s="1"/>
  <c r="BQ63" i="1" s="1"/>
  <c r="AB63" i="1"/>
  <c r="AR63" i="1" s="1"/>
  <c r="BD63" i="1" s="1"/>
  <c r="AG64" i="1"/>
  <c r="AV64" i="1" s="1"/>
  <c r="BH64" i="1" s="1"/>
  <c r="BQ64" i="1" s="1"/>
  <c r="AB64" i="1"/>
  <c r="AR64" i="1" s="1"/>
  <c r="BD64" i="1" s="1"/>
  <c r="Y60" i="1"/>
  <c r="AL60" i="1"/>
  <c r="AO60" i="1" s="1"/>
  <c r="BA60" i="1" s="1"/>
  <c r="AH60" i="1"/>
  <c r="AW60" i="1" s="1"/>
  <c r="BI60" i="1" s="1"/>
  <c r="BT60" i="1" s="1"/>
  <c r="AC60" i="1"/>
  <c r="AS60" i="1" s="1"/>
  <c r="BE60" i="1" s="1"/>
  <c r="AI60" i="1"/>
  <c r="AX60" i="1" s="1"/>
  <c r="BJ60" i="1" s="1"/>
  <c r="Z60" i="1"/>
  <c r="AI61" i="1"/>
  <c r="AX61" i="1" s="1"/>
  <c r="BJ61" i="1" s="1"/>
  <c r="Z61" i="1"/>
  <c r="AI62" i="1"/>
  <c r="AX62" i="1" s="1"/>
  <c r="BJ62" i="1" s="1"/>
  <c r="Z62" i="1"/>
  <c r="Y63" i="1"/>
  <c r="AL63" i="1"/>
  <c r="AH63" i="1"/>
  <c r="AW63" i="1" s="1"/>
  <c r="BI63" i="1" s="1"/>
  <c r="AC63" i="1"/>
  <c r="AS63" i="1" s="1"/>
  <c r="BE63" i="1" s="1"/>
  <c r="AI63" i="1"/>
  <c r="AX63" i="1"/>
  <c r="BJ63" i="1" s="1"/>
  <c r="Z63" i="1"/>
  <c r="AI64" i="1"/>
  <c r="AX64" i="1" s="1"/>
  <c r="BJ64" i="1" s="1"/>
  <c r="Z64" i="1"/>
  <c r="AM64" i="1" s="1"/>
  <c r="AP64" i="1" s="1"/>
  <c r="BB64" i="1" s="1"/>
  <c r="Y59" i="1"/>
  <c r="AL59" i="1" s="1"/>
  <c r="AH59" i="1"/>
  <c r="AW59" i="1" s="1"/>
  <c r="BI59" i="1" s="1"/>
  <c r="BT59" i="1" s="1"/>
  <c r="AC59" i="1"/>
  <c r="AS59" i="1"/>
  <c r="BE59" i="1" s="1"/>
  <c r="AI59" i="1"/>
  <c r="AX59" i="1" s="1"/>
  <c r="BJ59" i="1" s="1"/>
  <c r="Z59" i="1"/>
  <c r="Y50" i="1"/>
  <c r="AL50" i="1" s="1"/>
  <c r="AH50" i="1"/>
  <c r="AW50" i="1" s="1"/>
  <c r="BI50" i="1" s="1"/>
  <c r="BT50" i="1" s="1"/>
  <c r="AC50" i="1"/>
  <c r="AS50" i="1" s="1"/>
  <c r="BE50" i="1" s="1"/>
  <c r="BR50" i="1" s="1"/>
  <c r="AI50" i="1"/>
  <c r="AX50" i="1" s="1"/>
  <c r="BJ50" i="1" s="1"/>
  <c r="Z50" i="1"/>
  <c r="Y49" i="1"/>
  <c r="AL49" i="1" s="1"/>
  <c r="AH49" i="1"/>
  <c r="AW49" i="1" s="1"/>
  <c r="BI49" i="1" s="1"/>
  <c r="BT49" i="1" s="1"/>
  <c r="AC49" i="1"/>
  <c r="AS49" i="1" s="1"/>
  <c r="BE49" i="1" s="1"/>
  <c r="AI49" i="1"/>
  <c r="AX49" i="1"/>
  <c r="BJ49" i="1" s="1"/>
  <c r="Z49" i="1"/>
  <c r="AI48" i="1"/>
  <c r="AX48" i="1" s="1"/>
  <c r="BJ48" i="1" s="1"/>
  <c r="Z48" i="1"/>
  <c r="AM48" i="1" s="1"/>
  <c r="AP48" i="1" s="1"/>
  <c r="BB48" i="1" s="1"/>
  <c r="AI47" i="1"/>
  <c r="AX47" i="1" s="1"/>
  <c r="BJ47" i="1" s="1"/>
  <c r="BU47" i="1" s="1"/>
  <c r="Z47" i="1"/>
  <c r="AM47" i="1" s="1"/>
  <c r="AP47" i="1" s="1"/>
  <c r="BB47" i="1" s="1"/>
  <c r="AI46" i="1"/>
  <c r="AX46" i="1" s="1"/>
  <c r="BJ46" i="1" s="1"/>
  <c r="Z46" i="1"/>
  <c r="AM46" i="1" s="1"/>
  <c r="AP46" i="1" s="1"/>
  <c r="BB46" i="1" s="1"/>
  <c r="AI31" i="1"/>
  <c r="AX31" i="1" s="1"/>
  <c r="BJ31" i="1" s="1"/>
  <c r="BU31" i="1" s="1"/>
  <c r="Z31" i="1"/>
  <c r="AM31" i="1" s="1"/>
  <c r="AP31" i="1" s="1"/>
  <c r="BB31" i="1" s="1"/>
  <c r="AI32" i="1"/>
  <c r="AX32" i="1" s="1"/>
  <c r="BJ32" i="1" s="1"/>
  <c r="BU32" i="1" s="1"/>
  <c r="Z32" i="1"/>
  <c r="AM32" i="1" s="1"/>
  <c r="AP32" i="1" s="1"/>
  <c r="BB32" i="1" s="1"/>
  <c r="Y33" i="1"/>
  <c r="AL33" i="1" s="1"/>
  <c r="AH33" i="1"/>
  <c r="AW33" i="1"/>
  <c r="BI33" i="1" s="1"/>
  <c r="BT33" i="1" s="1"/>
  <c r="AC33" i="1"/>
  <c r="AS33" i="1" s="1"/>
  <c r="BE33" i="1" s="1"/>
  <c r="AI33" i="1"/>
  <c r="AX33" i="1" s="1"/>
  <c r="BJ33" i="1" s="1"/>
  <c r="BU33" i="1" s="1"/>
  <c r="Z33" i="1"/>
  <c r="Y34" i="1"/>
  <c r="AL34" i="1" s="1"/>
  <c r="AH34" i="1"/>
  <c r="AW34" i="1" s="1"/>
  <c r="BI34" i="1" s="1"/>
  <c r="BT34" i="1" s="1"/>
  <c r="AC34" i="1"/>
  <c r="AS34" i="1" s="1"/>
  <c r="BE34" i="1" s="1"/>
  <c r="AI34" i="1"/>
  <c r="AX34" i="1" s="1"/>
  <c r="BJ34" i="1" s="1"/>
  <c r="BU34" i="1" s="1"/>
  <c r="Z34" i="1"/>
  <c r="Y35" i="1"/>
  <c r="AL35" i="1" s="1"/>
  <c r="AH35" i="1"/>
  <c r="AW35" i="1" s="1"/>
  <c r="BI35" i="1" s="1"/>
  <c r="BT35" i="1"/>
  <c r="AC35" i="1"/>
  <c r="AS35" i="1" s="1"/>
  <c r="BE35" i="1" s="1"/>
  <c r="BR35" i="1" s="1"/>
  <c r="AI35" i="1"/>
  <c r="AX35" i="1"/>
  <c r="BJ35" i="1" s="1"/>
  <c r="BU35" i="1" s="1"/>
  <c r="Z35" i="1"/>
  <c r="Y36" i="1"/>
  <c r="AL36" i="1" s="1"/>
  <c r="AO36" i="1" s="1"/>
  <c r="BA36" i="1"/>
  <c r="AH36" i="1"/>
  <c r="AW36" i="1" s="1"/>
  <c r="BI36" i="1" s="1"/>
  <c r="BT36" i="1" s="1"/>
  <c r="AC36" i="1"/>
  <c r="AS36" i="1" s="1"/>
  <c r="BE36" i="1" s="1"/>
  <c r="AI36" i="1"/>
  <c r="AX36" i="1" s="1"/>
  <c r="BJ36" i="1" s="1"/>
  <c r="BU36" i="1" s="1"/>
  <c r="Z36" i="1"/>
  <c r="AM36" i="1" s="1"/>
  <c r="AP36" i="1" s="1"/>
  <c r="BB36" i="1" s="1"/>
  <c r="Y37" i="1"/>
  <c r="AL37" i="1"/>
  <c r="AO37" i="1" s="1"/>
  <c r="BA37" i="1" s="1"/>
  <c r="AH37" i="1"/>
  <c r="AW37" i="1"/>
  <c r="BI37" i="1" s="1"/>
  <c r="BT37" i="1" s="1"/>
  <c r="AC37" i="1"/>
  <c r="AS37" i="1" s="1"/>
  <c r="BE37" i="1" s="1"/>
  <c r="AI37" i="1"/>
  <c r="AX37" i="1" s="1"/>
  <c r="BJ37" i="1" s="1"/>
  <c r="BU37" i="1" s="1"/>
  <c r="Z37" i="1"/>
  <c r="Y30" i="1"/>
  <c r="AL30" i="1" s="1"/>
  <c r="AH30" i="1"/>
  <c r="AW30" i="1" s="1"/>
  <c r="BI30" i="1" s="1"/>
  <c r="BT30" i="1" s="1"/>
  <c r="AC30" i="1"/>
  <c r="AS30" i="1" s="1"/>
  <c r="BE30" i="1" s="1"/>
  <c r="AI30" i="1"/>
  <c r="AX30" i="1" s="1"/>
  <c r="BJ30" i="1" s="1"/>
  <c r="BU30" i="1" s="1"/>
  <c r="Z30" i="1"/>
  <c r="AI23" i="1"/>
  <c r="AX23" i="1" s="1"/>
  <c r="BJ23" i="1" s="1"/>
  <c r="BU23" i="1" s="1"/>
  <c r="Z23" i="1"/>
  <c r="AM23" i="1" s="1"/>
  <c r="AP23" i="1" s="1"/>
  <c r="BB23" i="1" s="1"/>
  <c r="AI24" i="1"/>
  <c r="AX24" i="1" s="1"/>
  <c r="BJ24" i="1" s="1"/>
  <c r="BU24" i="1" s="1"/>
  <c r="Z24" i="1"/>
  <c r="AM24" i="1"/>
  <c r="AP24" i="1" s="1"/>
  <c r="BB24" i="1" s="1"/>
  <c r="Y52" i="1"/>
  <c r="AL52" i="1" s="1"/>
  <c r="AH52" i="1"/>
  <c r="AW52" i="1" s="1"/>
  <c r="BI52" i="1" s="1"/>
  <c r="BT52" i="1" s="1"/>
  <c r="AC52" i="1"/>
  <c r="AS52" i="1"/>
  <c r="BE52" i="1" s="1"/>
  <c r="AI52" i="1"/>
  <c r="AX52" i="1" s="1"/>
  <c r="BJ52" i="1" s="1"/>
  <c r="BU52" i="1" s="1"/>
  <c r="Z52" i="1"/>
  <c r="Y53" i="1"/>
  <c r="AL53" i="1" s="1"/>
  <c r="AH53" i="1"/>
  <c r="AW53" i="1" s="1"/>
  <c r="BI53" i="1" s="1"/>
  <c r="BT53" i="1" s="1"/>
  <c r="AC53" i="1"/>
  <c r="AS53" i="1" s="1"/>
  <c r="BE53" i="1" s="1"/>
  <c r="AI53" i="1"/>
  <c r="AX53" i="1"/>
  <c r="BJ53" i="1" s="1"/>
  <c r="BU53" i="1" s="1"/>
  <c r="Z53" i="1"/>
  <c r="Y54" i="1"/>
  <c r="AL54" i="1" s="1"/>
  <c r="AH54" i="1"/>
  <c r="AW54" i="1"/>
  <c r="BI54" i="1" s="1"/>
  <c r="BT54" i="1" s="1"/>
  <c r="AC54" i="1"/>
  <c r="AS54" i="1"/>
  <c r="BE54" i="1" s="1"/>
  <c r="AI54" i="1"/>
  <c r="AX54" i="1" s="1"/>
  <c r="BJ54" i="1" s="1"/>
  <c r="Z54" i="1"/>
  <c r="Y55" i="1"/>
  <c r="AL55" i="1" s="1"/>
  <c r="AO55" i="1" s="1"/>
  <c r="BA55" i="1" s="1"/>
  <c r="AH55" i="1"/>
  <c r="AW55" i="1" s="1"/>
  <c r="BI55" i="1" s="1"/>
  <c r="BT55" i="1" s="1"/>
  <c r="AC55" i="1"/>
  <c r="AS55" i="1" s="1"/>
  <c r="BE55" i="1" s="1"/>
  <c r="AI55" i="1"/>
  <c r="AX55" i="1" s="1"/>
  <c r="BJ55" i="1" s="1"/>
  <c r="BU55" i="1" s="1"/>
  <c r="Z55" i="1"/>
  <c r="Y56" i="1"/>
  <c r="AL56" i="1" s="1"/>
  <c r="AH56" i="1"/>
  <c r="AW56" i="1"/>
  <c r="BI56" i="1" s="1"/>
  <c r="BT56" i="1" s="1"/>
  <c r="AC56" i="1"/>
  <c r="AS56" i="1"/>
  <c r="BE56" i="1" s="1"/>
  <c r="AI56" i="1"/>
  <c r="AX56" i="1"/>
  <c r="BJ56" i="1" s="1"/>
  <c r="BU56" i="1" s="1"/>
  <c r="Z56" i="1"/>
  <c r="Y57" i="1"/>
  <c r="AL57" i="1" s="1"/>
  <c r="AH57" i="1"/>
  <c r="AW57" i="1" s="1"/>
  <c r="BI57" i="1" s="1"/>
  <c r="BT57" i="1" s="1"/>
  <c r="AC57" i="1"/>
  <c r="AS57" i="1"/>
  <c r="BE57" i="1" s="1"/>
  <c r="AI57" i="1"/>
  <c r="AX57" i="1"/>
  <c r="BJ57" i="1"/>
  <c r="Z57" i="1"/>
  <c r="Y58" i="1"/>
  <c r="AL58" i="1" s="1"/>
  <c r="AH58" i="1"/>
  <c r="AW58" i="1"/>
  <c r="BI58" i="1"/>
  <c r="BT58" i="1" s="1"/>
  <c r="AC58" i="1"/>
  <c r="AS58" i="1"/>
  <c r="BE58" i="1"/>
  <c r="AI58" i="1"/>
  <c r="AX58" i="1" s="1"/>
  <c r="BJ58" i="1" s="1"/>
  <c r="Z58" i="1"/>
  <c r="Y51" i="1"/>
  <c r="AL51" i="1" s="1"/>
  <c r="AO51" i="1" s="1"/>
  <c r="BA51" i="1" s="1"/>
  <c r="AH51" i="1"/>
  <c r="AW51" i="1" s="1"/>
  <c r="BI51" i="1" s="1"/>
  <c r="BT51" i="1" s="1"/>
  <c r="AC51" i="1"/>
  <c r="AS51" i="1" s="1"/>
  <c r="BE51" i="1" s="1"/>
  <c r="AI51" i="1"/>
  <c r="AX51" i="1" s="1"/>
  <c r="BJ51" i="1"/>
  <c r="BU51" i="1"/>
  <c r="Z51" i="1"/>
  <c r="Y45" i="1"/>
  <c r="AL45" i="1"/>
  <c r="AO45" i="1"/>
  <c r="BA45" i="1" s="1"/>
  <c r="AH45" i="1"/>
  <c r="AW45" i="1" s="1"/>
  <c r="BI45" i="1" s="1"/>
  <c r="BT45" i="1" s="1"/>
  <c r="AC45" i="1"/>
  <c r="AS45" i="1"/>
  <c r="BE45" i="1" s="1"/>
  <c r="AI45" i="1"/>
  <c r="AX45" i="1" s="1"/>
  <c r="BJ45" i="1" s="1"/>
  <c r="BU45" i="1" s="1"/>
  <c r="EF45" i="1" s="1"/>
  <c r="Z45" i="1"/>
  <c r="AM45" i="1"/>
  <c r="AP45" i="1" s="1"/>
  <c r="BB45" i="1" s="1"/>
  <c r="Y44" i="1"/>
  <c r="AL44" i="1" s="1"/>
  <c r="AO44" i="1" s="1"/>
  <c r="BA44" i="1" s="1"/>
  <c r="BL44" i="1" s="1"/>
  <c r="AH44" i="1"/>
  <c r="AW44" i="1" s="1"/>
  <c r="BI44" i="1" s="1"/>
  <c r="BT44" i="1" s="1"/>
  <c r="AC44" i="1"/>
  <c r="AS44" i="1" s="1"/>
  <c r="BE44" i="1" s="1"/>
  <c r="BR44" i="1" s="1"/>
  <c r="AI44" i="1"/>
  <c r="AX44" i="1"/>
  <c r="BJ44" i="1" s="1"/>
  <c r="BU44" i="1" s="1"/>
  <c r="Z44" i="1"/>
  <c r="Y39" i="1"/>
  <c r="AL39" i="1" s="1"/>
  <c r="AH39" i="1"/>
  <c r="AW39" i="1"/>
  <c r="BI39" i="1" s="1"/>
  <c r="BT39" i="1" s="1"/>
  <c r="AC39" i="1"/>
  <c r="AS39" i="1"/>
  <c r="BE39" i="1" s="1"/>
  <c r="BR39" i="1" s="1"/>
  <c r="AI39" i="1"/>
  <c r="AX39" i="1" s="1"/>
  <c r="BJ39" i="1" s="1"/>
  <c r="BU39" i="1" s="1"/>
  <c r="Z39" i="1"/>
  <c r="Y40" i="1"/>
  <c r="AL40" i="1" s="1"/>
  <c r="AH40" i="1"/>
  <c r="AW40" i="1" s="1"/>
  <c r="BI40" i="1" s="1"/>
  <c r="BT40" i="1"/>
  <c r="AC40" i="1"/>
  <c r="AS40" i="1" s="1"/>
  <c r="BE40" i="1" s="1"/>
  <c r="AI40" i="1"/>
  <c r="AX40" i="1" s="1"/>
  <c r="BJ40" i="1" s="1"/>
  <c r="BU40" i="1" s="1"/>
  <c r="Z40" i="1"/>
  <c r="Y38" i="1"/>
  <c r="AL38" i="1" s="1"/>
  <c r="AH38" i="1"/>
  <c r="AW38" i="1" s="1"/>
  <c r="BI38" i="1" s="1"/>
  <c r="BT38" i="1" s="1"/>
  <c r="AC38" i="1"/>
  <c r="AS38" i="1" s="1"/>
  <c r="BE38" i="1" s="1"/>
  <c r="AI38" i="1"/>
  <c r="AX38" i="1" s="1"/>
  <c r="BJ38" i="1" s="1"/>
  <c r="BU38" i="1"/>
  <c r="Z38" i="1"/>
  <c r="Y26" i="1"/>
  <c r="AL26" i="1"/>
  <c r="AO26" i="1" s="1"/>
  <c r="BA26" i="1" s="1"/>
  <c r="AH26" i="1"/>
  <c r="AW26" i="1"/>
  <c r="BI26" i="1" s="1"/>
  <c r="BT26" i="1" s="1"/>
  <c r="EA26" i="1" s="1"/>
  <c r="AC26" i="1"/>
  <c r="AS26" i="1"/>
  <c r="BE26" i="1" s="1"/>
  <c r="AI26" i="1"/>
  <c r="AX26" i="1" s="1"/>
  <c r="BJ26" i="1" s="1"/>
  <c r="BU26" i="1" s="1"/>
  <c r="EF26" i="1" s="1"/>
  <c r="Z26" i="1"/>
  <c r="AM26" i="1"/>
  <c r="AP26" i="1" s="1"/>
  <c r="BB26" i="1" s="1"/>
  <c r="Y27" i="1"/>
  <c r="AL27" i="1" s="1"/>
  <c r="AH27" i="1"/>
  <c r="AW27" i="1"/>
  <c r="BI27" i="1"/>
  <c r="BT27" i="1" s="1"/>
  <c r="AC27" i="1"/>
  <c r="AS27" i="1"/>
  <c r="BE27" i="1"/>
  <c r="BR27" i="1" s="1"/>
  <c r="AI27" i="1"/>
  <c r="AX27" i="1" s="1"/>
  <c r="BJ27" i="1" s="1"/>
  <c r="BU27" i="1"/>
  <c r="Z27" i="1"/>
  <c r="Y28" i="1"/>
  <c r="AL28" i="1"/>
  <c r="AH28" i="1"/>
  <c r="AW28" i="1" s="1"/>
  <c r="BI28" i="1" s="1"/>
  <c r="BT28" i="1" s="1"/>
  <c r="AC28" i="1"/>
  <c r="AS28" i="1" s="1"/>
  <c r="BE28" i="1" s="1"/>
  <c r="AI28" i="1"/>
  <c r="AX28" i="1" s="1"/>
  <c r="BJ28" i="1" s="1"/>
  <c r="BU28" i="1" s="1"/>
  <c r="Z28" i="1"/>
  <c r="Y29" i="1"/>
  <c r="AL29" i="1" s="1"/>
  <c r="AH29" i="1"/>
  <c r="AW29" i="1" s="1"/>
  <c r="BI29" i="1" s="1"/>
  <c r="BT29" i="1" s="1"/>
  <c r="AC29" i="1"/>
  <c r="AS29" i="1" s="1"/>
  <c r="BE29" i="1" s="1"/>
  <c r="BR29" i="1" s="1"/>
  <c r="EC29" i="1" s="1"/>
  <c r="AI29" i="1"/>
  <c r="AX29" i="1"/>
  <c r="BJ29" i="1" s="1"/>
  <c r="BU29" i="1" s="1"/>
  <c r="Z29" i="1"/>
  <c r="Y25" i="1"/>
  <c r="AL25" i="1"/>
  <c r="AO25" i="1" s="1"/>
  <c r="BA25" i="1" s="1"/>
  <c r="BL25" i="1" s="1"/>
  <c r="DL25" i="1" s="1"/>
  <c r="AH25" i="1"/>
  <c r="AW25" i="1"/>
  <c r="BI25" i="1" s="1"/>
  <c r="BT25" i="1" s="1"/>
  <c r="AC25" i="1"/>
  <c r="AS25" i="1"/>
  <c r="BE25" i="1" s="1"/>
  <c r="BR25" i="1" s="1"/>
  <c r="AI25" i="1"/>
  <c r="AX25" i="1" s="1"/>
  <c r="BJ25" i="1" s="1"/>
  <c r="BU25" i="1" s="1"/>
  <c r="Z25" i="1"/>
  <c r="C16" i="1"/>
  <c r="AD23" i="1"/>
  <c r="AT23" i="1" s="1"/>
  <c r="BF23" i="1" s="1"/>
  <c r="AD24" i="1"/>
  <c r="AT24" i="1" s="1"/>
  <c r="BF24" i="1" s="1"/>
  <c r="AD25" i="1"/>
  <c r="AT25" i="1" s="1"/>
  <c r="BF25" i="1" s="1"/>
  <c r="AD26" i="1"/>
  <c r="AT26" i="1" s="1"/>
  <c r="BF26" i="1" s="1"/>
  <c r="AD27" i="1"/>
  <c r="AT27" i="1"/>
  <c r="BF27" i="1" s="1"/>
  <c r="AD28" i="1"/>
  <c r="AT28" i="1" s="1"/>
  <c r="BF28" i="1" s="1"/>
  <c r="AD29" i="1"/>
  <c r="AT29" i="1" s="1"/>
  <c r="BF29" i="1" s="1"/>
  <c r="AD30" i="1"/>
  <c r="AT30" i="1" s="1"/>
  <c r="BF30" i="1" s="1"/>
  <c r="AD31" i="1"/>
  <c r="AT31" i="1"/>
  <c r="BF31" i="1" s="1"/>
  <c r="AD32" i="1"/>
  <c r="AT32" i="1" s="1"/>
  <c r="BF32" i="1" s="1"/>
  <c r="AD33" i="1"/>
  <c r="AT33" i="1"/>
  <c r="BF33" i="1" s="1"/>
  <c r="AD34" i="1"/>
  <c r="AT34" i="1" s="1"/>
  <c r="BF34" i="1" s="1"/>
  <c r="AD35" i="1"/>
  <c r="AT35" i="1" s="1"/>
  <c r="BF35" i="1" s="1"/>
  <c r="AD36" i="1"/>
  <c r="AT36" i="1" s="1"/>
  <c r="BF36" i="1" s="1"/>
  <c r="AD37" i="1"/>
  <c r="AT37" i="1"/>
  <c r="BF37" i="1" s="1"/>
  <c r="AD38" i="1"/>
  <c r="AT38" i="1"/>
  <c r="BF38" i="1" s="1"/>
  <c r="AD39" i="1"/>
  <c r="AT39" i="1" s="1"/>
  <c r="BF39" i="1" s="1"/>
  <c r="AD40" i="1"/>
  <c r="AT40" i="1" s="1"/>
  <c r="BF40" i="1" s="1"/>
  <c r="AD41" i="1"/>
  <c r="AT41" i="1" s="1"/>
  <c r="BF41" i="1" s="1"/>
  <c r="AD42" i="1"/>
  <c r="AT42" i="1" s="1"/>
  <c r="BF42" i="1" s="1"/>
  <c r="AD43" i="1"/>
  <c r="AT43" i="1" s="1"/>
  <c r="BF43" i="1" s="1"/>
  <c r="AD44" i="1"/>
  <c r="AT44" i="1"/>
  <c r="BF44" i="1" s="1"/>
  <c r="AD45" i="1"/>
  <c r="AT45" i="1"/>
  <c r="BF45" i="1" s="1"/>
  <c r="AD46" i="1"/>
  <c r="AT46" i="1"/>
  <c r="BF46" i="1" s="1"/>
  <c r="AD47" i="1"/>
  <c r="AT47" i="1" s="1"/>
  <c r="BF47" i="1" s="1"/>
  <c r="AD48" i="1"/>
  <c r="AT48" i="1" s="1"/>
  <c r="BF48" i="1" s="1"/>
  <c r="AD49" i="1"/>
  <c r="AT49" i="1" s="1"/>
  <c r="BF49" i="1" s="1"/>
  <c r="AD50" i="1"/>
  <c r="AT50" i="1" s="1"/>
  <c r="BF50" i="1" s="1"/>
  <c r="AD51" i="1"/>
  <c r="AT51" i="1" s="1"/>
  <c r="BF51" i="1" s="1"/>
  <c r="AD52" i="1"/>
  <c r="AT52" i="1" s="1"/>
  <c r="BF52" i="1" s="1"/>
  <c r="AD53" i="1"/>
  <c r="AT53" i="1" s="1"/>
  <c r="BF53" i="1" s="1"/>
  <c r="AD54" i="1"/>
  <c r="AT54" i="1" s="1"/>
  <c r="BF54" i="1" s="1"/>
  <c r="AD55" i="1"/>
  <c r="AT55" i="1" s="1"/>
  <c r="BF55" i="1" s="1"/>
  <c r="AD56" i="1"/>
  <c r="AT56" i="1" s="1"/>
  <c r="BF56" i="1" s="1"/>
  <c r="AD57" i="1"/>
  <c r="AT57" i="1" s="1"/>
  <c r="BF57" i="1" s="1"/>
  <c r="AD58" i="1"/>
  <c r="AT58" i="1" s="1"/>
  <c r="BF58" i="1" s="1"/>
  <c r="AD59" i="1"/>
  <c r="AT59" i="1" s="1"/>
  <c r="BF59" i="1" s="1"/>
  <c r="AD60" i="1"/>
  <c r="AT60" i="1" s="1"/>
  <c r="BF60" i="1" s="1"/>
  <c r="AD61" i="1"/>
  <c r="AT61" i="1" s="1"/>
  <c r="BF61" i="1" s="1"/>
  <c r="AD62" i="1"/>
  <c r="AT62" i="1" s="1"/>
  <c r="BF62" i="1" s="1"/>
  <c r="AD63" i="1"/>
  <c r="AT63" i="1" s="1"/>
  <c r="BF63" i="1" s="1"/>
  <c r="AD64" i="1"/>
  <c r="AT64" i="1" s="1"/>
  <c r="BF64" i="1" s="1"/>
  <c r="AD22" i="1"/>
  <c r="AT22" i="1"/>
  <c r="BF22" i="1" s="1"/>
  <c r="DK23" i="1"/>
  <c r="DK24" i="1"/>
  <c r="EA24" i="1"/>
  <c r="EB24" i="1"/>
  <c r="EF24" i="1"/>
  <c r="EH24" i="1"/>
  <c r="DK25" i="1"/>
  <c r="DK26" i="1"/>
  <c r="DK27" i="1"/>
  <c r="DK28" i="1"/>
  <c r="DK29" i="1"/>
  <c r="EA29" i="1"/>
  <c r="EB29" i="1" s="1"/>
  <c r="EH29" i="1" s="1"/>
  <c r="EF29" i="1"/>
  <c r="DK30" i="1"/>
  <c r="EA30" i="1"/>
  <c r="EB30" i="1"/>
  <c r="EH30" i="1" s="1"/>
  <c r="EF30" i="1"/>
  <c r="DK31" i="1"/>
  <c r="DK32" i="1"/>
  <c r="EA32" i="1"/>
  <c r="EB32" i="1" s="1"/>
  <c r="EH32" i="1" s="1"/>
  <c r="EF32" i="1"/>
  <c r="DK33" i="1"/>
  <c r="EA33" i="1"/>
  <c r="EB33" i="1" s="1"/>
  <c r="EH33" i="1" s="1"/>
  <c r="EF33" i="1"/>
  <c r="DK34" i="1"/>
  <c r="EA34" i="1"/>
  <c r="EB34" i="1" s="1"/>
  <c r="EH34" i="1" s="1"/>
  <c r="EF34" i="1"/>
  <c r="DK35" i="1"/>
  <c r="EA35" i="1"/>
  <c r="EB35" i="1"/>
  <c r="EH35" i="1" s="1"/>
  <c r="EC35" i="1"/>
  <c r="EF35" i="1"/>
  <c r="DK36" i="1"/>
  <c r="EA36" i="1"/>
  <c r="EB36" i="1" s="1"/>
  <c r="EH36" i="1" s="1"/>
  <c r="EF36" i="1"/>
  <c r="DK37" i="1"/>
  <c r="EA37" i="1"/>
  <c r="EB37" i="1" s="1"/>
  <c r="EH37" i="1" s="1"/>
  <c r="EF37" i="1"/>
  <c r="DK38" i="1"/>
  <c r="EA38" i="1"/>
  <c r="EB38" i="1" s="1"/>
  <c r="EH38" i="1" s="1"/>
  <c r="EF38" i="1"/>
  <c r="DK39" i="1"/>
  <c r="DK40" i="1"/>
  <c r="EA40" i="1"/>
  <c r="EB40" i="1" s="1"/>
  <c r="EH40" i="1" s="1"/>
  <c r="EF40" i="1"/>
  <c r="DK41" i="1"/>
  <c r="EA41" i="1"/>
  <c r="DK42" i="1"/>
  <c r="EA42" i="1"/>
  <c r="DK43" i="1"/>
  <c r="EA43" i="1"/>
  <c r="EB43" i="1" s="1"/>
  <c r="EH43" i="1" s="1"/>
  <c r="EF43" i="1"/>
  <c r="DK44" i="1"/>
  <c r="DK45" i="1"/>
  <c r="EA45" i="1"/>
  <c r="EB45" i="1" s="1"/>
  <c r="EH45" i="1" s="1"/>
  <c r="DK46" i="1"/>
  <c r="DK47" i="1"/>
  <c r="EA47" i="1"/>
  <c r="EB47" i="1" s="1"/>
  <c r="EH47" i="1" s="1"/>
  <c r="EF47" i="1"/>
  <c r="DK48" i="1"/>
  <c r="DK49" i="1"/>
  <c r="EA49" i="1"/>
  <c r="DK50" i="1"/>
  <c r="EA50" i="1"/>
  <c r="EC50" i="1"/>
  <c r="DK51" i="1"/>
  <c r="EA51" i="1"/>
  <c r="EB51" i="1" s="1"/>
  <c r="EH51" i="1" s="1"/>
  <c r="EF51" i="1"/>
  <c r="DK52" i="1"/>
  <c r="EA52" i="1"/>
  <c r="EB52" i="1" s="1"/>
  <c r="EH52" i="1" s="1"/>
  <c r="EF52" i="1"/>
  <c r="DK53" i="1"/>
  <c r="EA53" i="1"/>
  <c r="EB53" i="1"/>
  <c r="EH53" i="1" s="1"/>
  <c r="EF53" i="1"/>
  <c r="DK54" i="1"/>
  <c r="EA54" i="1"/>
  <c r="DK55" i="1"/>
  <c r="EA55" i="1"/>
  <c r="EB55" i="1" s="1"/>
  <c r="EH55" i="1" s="1"/>
  <c r="EF55" i="1"/>
  <c r="DK56" i="1"/>
  <c r="EA56" i="1"/>
  <c r="EB56" i="1" s="1"/>
  <c r="EH56" i="1" s="1"/>
  <c r="EF56" i="1"/>
  <c r="DK57" i="1"/>
  <c r="EA57" i="1"/>
  <c r="DK58" i="1"/>
  <c r="EA58" i="1"/>
  <c r="DK59" i="1"/>
  <c r="EA59" i="1"/>
  <c r="DK60" i="1"/>
  <c r="EA60" i="1"/>
  <c r="DK61" i="1"/>
  <c r="DK62" i="1"/>
  <c r="DK63" i="1"/>
  <c r="DK64" i="1"/>
  <c r="DK22" i="1"/>
  <c r="U14" i="23"/>
  <c r="U4" i="23"/>
  <c r="U8" i="23"/>
  <c r="C4" i="23"/>
  <c r="K4" i="23" s="1"/>
  <c r="L4" i="23" s="1"/>
  <c r="C5" i="23"/>
  <c r="K5" i="23" s="1"/>
  <c r="L5" i="23" s="1"/>
  <c r="C6" i="23"/>
  <c r="K6" i="23"/>
  <c r="L6" i="23" s="1"/>
  <c r="C7" i="23"/>
  <c r="K7" i="23" s="1"/>
  <c r="C9" i="23"/>
  <c r="K9" i="23"/>
  <c r="L9" i="23" s="1"/>
  <c r="C10" i="23"/>
  <c r="K10" i="23"/>
  <c r="L10" i="23" s="1"/>
  <c r="C11" i="23"/>
  <c r="K11" i="23" s="1"/>
  <c r="L11" i="23" s="1"/>
  <c r="C12" i="23"/>
  <c r="K12" i="23" s="1"/>
  <c r="L12" i="23" s="1"/>
  <c r="C13" i="23"/>
  <c r="K13" i="23" s="1"/>
  <c r="L13" i="23" s="1"/>
  <c r="C15" i="23"/>
  <c r="K15" i="23" s="1"/>
  <c r="L15" i="23" s="1"/>
  <c r="E15" i="23"/>
  <c r="F4" i="23" s="1"/>
  <c r="EC27" i="1" l="1"/>
  <c r="EB26" i="1"/>
  <c r="EH26" i="1" s="1"/>
  <c r="EA39" i="1"/>
  <c r="EB39" i="1" s="1"/>
  <c r="EH39" i="1" s="1"/>
  <c r="EF39" i="1"/>
  <c r="CL44" i="1"/>
  <c r="CR44" i="1"/>
  <c r="DL44" i="1"/>
  <c r="BS61" i="1"/>
  <c r="EF25" i="1"/>
  <c r="EA25" i="1"/>
  <c r="EB25" i="1" s="1"/>
  <c r="EH25" i="1" s="1"/>
  <c r="EC25" i="1"/>
  <c r="AM38" i="1"/>
  <c r="AP38" i="1" s="1"/>
  <c r="BB38" i="1" s="1"/>
  <c r="AO38" i="1"/>
  <c r="BA38" i="1" s="1"/>
  <c r="AM29" i="1"/>
  <c r="AP29" i="1" s="1"/>
  <c r="BB29" i="1" s="1"/>
  <c r="AO29" i="1"/>
  <c r="BA29" i="1" s="1"/>
  <c r="BL29" i="1" s="1"/>
  <c r="DL29" i="1" s="1"/>
  <c r="EA28" i="1"/>
  <c r="EB28" i="1" s="1"/>
  <c r="EH28" i="1" s="1"/>
  <c r="EF28" i="1"/>
  <c r="BV39" i="1"/>
  <c r="BY39" i="1" s="1"/>
  <c r="CA39" i="1"/>
  <c r="CE39" i="1" s="1"/>
  <c r="EC39" i="1"/>
  <c r="BV44" i="1"/>
  <c r="BY44" i="1" s="1"/>
  <c r="CC44" i="1" s="1"/>
  <c r="CA44" i="1"/>
  <c r="EC44" i="1"/>
  <c r="EF27" i="1"/>
  <c r="EA27" i="1"/>
  <c r="EB27" i="1" s="1"/>
  <c r="EH27" i="1" s="1"/>
  <c r="EF44" i="1"/>
  <c r="EA44" i="1"/>
  <c r="EB44" i="1" s="1"/>
  <c r="EH44" i="1" s="1"/>
  <c r="CG44" i="1"/>
  <c r="BR55" i="1"/>
  <c r="BN58" i="1"/>
  <c r="DA62" i="1"/>
  <c r="DI62" i="1" s="1"/>
  <c r="AO57" i="1"/>
  <c r="BA57" i="1" s="1"/>
  <c r="AM57" i="1"/>
  <c r="AP57" i="1" s="1"/>
  <c r="BB57" i="1" s="1"/>
  <c r="AO56" i="1"/>
  <c r="BA56" i="1" s="1"/>
  <c r="AM56" i="1"/>
  <c r="AP56" i="1" s="1"/>
  <c r="BB56" i="1" s="1"/>
  <c r="AM52" i="1"/>
  <c r="AP52" i="1" s="1"/>
  <c r="BB52" i="1" s="1"/>
  <c r="AO52" i="1"/>
  <c r="BA52" i="1" s="1"/>
  <c r="BR30" i="1"/>
  <c r="BV50" i="1"/>
  <c r="BY50" i="1" s="1"/>
  <c r="CA50" i="1" s="1"/>
  <c r="AO61" i="1"/>
  <c r="BA61" i="1" s="1"/>
  <c r="AM61" i="1"/>
  <c r="AP61" i="1" s="1"/>
  <c r="BB61" i="1" s="1"/>
  <c r="BS50" i="1"/>
  <c r="CB50" i="1" s="1"/>
  <c r="BR58" i="1"/>
  <c r="BL55" i="1"/>
  <c r="AO33" i="1"/>
  <c r="BA33" i="1" s="1"/>
  <c r="AM33" i="1"/>
  <c r="AP33" i="1" s="1"/>
  <c r="BB33" i="1" s="1"/>
  <c r="BU57" i="1"/>
  <c r="BO50" i="1"/>
  <c r="BU50" i="1"/>
  <c r="BU61" i="1"/>
  <c r="DA61" i="1"/>
  <c r="DI61" i="1" s="1"/>
  <c r="AM53" i="1"/>
  <c r="AP53" i="1" s="1"/>
  <c r="BB53" i="1" s="1"/>
  <c r="AO53" i="1"/>
  <c r="BA53" i="1" s="1"/>
  <c r="BU54" i="1"/>
  <c r="BT61" i="1"/>
  <c r="EA61" i="1" s="1"/>
  <c r="EB61" i="1" s="1"/>
  <c r="EH61" i="1" s="1"/>
  <c r="BN61" i="1"/>
  <c r="BU58" i="1"/>
  <c r="AM37" i="1"/>
  <c r="AP37" i="1" s="1"/>
  <c r="BB37" i="1" s="1"/>
  <c r="BR49" i="1"/>
  <c r="AM60" i="1"/>
  <c r="AP60" i="1" s="1"/>
  <c r="BB60" i="1" s="1"/>
  <c r="BN55" i="1"/>
  <c r="BN36" i="1"/>
  <c r="BO32" i="1"/>
  <c r="DB32" i="1" s="1"/>
  <c r="DJ32" i="1" s="1"/>
  <c r="BO24" i="1"/>
  <c r="BN41" i="1"/>
  <c r="DA41" i="1" s="1"/>
  <c r="BR36" i="1"/>
  <c r="EC36" i="1" s="1"/>
  <c r="BT63" i="1"/>
  <c r="EA63" i="1" s="1"/>
  <c r="AM62" i="1"/>
  <c r="AP62" i="1" s="1"/>
  <c r="BB62" i="1" s="1"/>
  <c r="BO61" i="1"/>
  <c r="BN54" i="1"/>
  <c r="DA54" i="1" s="1"/>
  <c r="DI54" i="1" s="1"/>
  <c r="BN40" i="1"/>
  <c r="BR40" i="1" s="1"/>
  <c r="BO31" i="1"/>
  <c r="BN30" i="1"/>
  <c r="BN28" i="1"/>
  <c r="BR28" i="1" s="1"/>
  <c r="BN26" i="1"/>
  <c r="BO23" i="1"/>
  <c r="BT64" i="1"/>
  <c r="EA64" i="1" s="1"/>
  <c r="BR62" i="1"/>
  <c r="BR47" i="1"/>
  <c r="BN47" i="1"/>
  <c r="DA47" i="1" s="1"/>
  <c r="DI47" i="1" s="1"/>
  <c r="BN32" i="1"/>
  <c r="DA32" i="1" s="1"/>
  <c r="DI32" i="1" s="1"/>
  <c r="BR24" i="1"/>
  <c r="BN24" i="1"/>
  <c r="DA24" i="1" s="1"/>
  <c r="DI24" i="1" s="1"/>
  <c r="BU46" i="1"/>
  <c r="BN51" i="1"/>
  <c r="BT62" i="1"/>
  <c r="EA62" i="1" s="1"/>
  <c r="BN62" i="1"/>
  <c r="BR61" i="1"/>
  <c r="L7" i="23"/>
  <c r="M15" i="23" s="1"/>
  <c r="N15" i="23"/>
  <c r="F12" i="23"/>
  <c r="F7" i="23"/>
  <c r="F11" i="23"/>
  <c r="F6" i="23"/>
  <c r="F15" i="23"/>
  <c r="F10" i="23"/>
  <c r="F5" i="23"/>
  <c r="F13" i="23"/>
  <c r="F9" i="23"/>
  <c r="BV29" i="1"/>
  <c r="BY29" i="1" s="1"/>
  <c r="CA29" i="1" s="1"/>
  <c r="CA25" i="1"/>
  <c r="BV25" i="1"/>
  <c r="BY25" i="1" s="1"/>
  <c r="CC25" i="1" s="1"/>
  <c r="CO25" i="1" s="1"/>
  <c r="CS25" i="1" s="1"/>
  <c r="CD44" i="1"/>
  <c r="AO27" i="1"/>
  <c r="BA27" i="1" s="1"/>
  <c r="BL27" i="1" s="1"/>
  <c r="AM27" i="1"/>
  <c r="AP27" i="1" s="1"/>
  <c r="BB27" i="1" s="1"/>
  <c r="AO58" i="1"/>
  <c r="BA58" i="1" s="1"/>
  <c r="AM58" i="1"/>
  <c r="AP58" i="1" s="1"/>
  <c r="BB58" i="1" s="1"/>
  <c r="BV36" i="1"/>
  <c r="BY36" i="1" s="1"/>
  <c r="CC36" i="1" s="1"/>
  <c r="AO28" i="1"/>
  <c r="BA28" i="1" s="1"/>
  <c r="BL28" i="1" s="1"/>
  <c r="AM28" i="1"/>
  <c r="AP28" i="1" s="1"/>
  <c r="BB28" i="1" s="1"/>
  <c r="AO40" i="1"/>
  <c r="BA40" i="1" s="1"/>
  <c r="AM40" i="1"/>
  <c r="AP40" i="1" s="1"/>
  <c r="BB40" i="1" s="1"/>
  <c r="CC39" i="1"/>
  <c r="CI39" i="1" s="1"/>
  <c r="AM44" i="1"/>
  <c r="AP44" i="1" s="1"/>
  <c r="BB44" i="1" s="1"/>
  <c r="AO30" i="1"/>
  <c r="BA30" i="1" s="1"/>
  <c r="BL30" i="1" s="1"/>
  <c r="AM30" i="1"/>
  <c r="AP30" i="1" s="1"/>
  <c r="BB30" i="1" s="1"/>
  <c r="BV27" i="1"/>
  <c r="BY27" i="1" s="1"/>
  <c r="CC27" i="1" s="1"/>
  <c r="AO39" i="1"/>
  <c r="BA39" i="1" s="1"/>
  <c r="BL39" i="1" s="1"/>
  <c r="AM39" i="1"/>
  <c r="AP39" i="1" s="1"/>
  <c r="BB39" i="1" s="1"/>
  <c r="AM25" i="1"/>
  <c r="AP25" i="1" s="1"/>
  <c r="BB25" i="1" s="1"/>
  <c r="CO44" i="1"/>
  <c r="CS44" i="1" s="1"/>
  <c r="AO54" i="1"/>
  <c r="BA54" i="1" s="1"/>
  <c r="BL54" i="1" s="1"/>
  <c r="AM54" i="1"/>
  <c r="AP54" i="1" s="1"/>
  <c r="BB54" i="1" s="1"/>
  <c r="AO35" i="1"/>
  <c r="BA35" i="1" s="1"/>
  <c r="BL35" i="1" s="1"/>
  <c r="AM35" i="1"/>
  <c r="AP35" i="1" s="1"/>
  <c r="BB35" i="1" s="1"/>
  <c r="AO49" i="1"/>
  <c r="BA49" i="1" s="1"/>
  <c r="BL49" i="1" s="1"/>
  <c r="AM49" i="1"/>
  <c r="AP49" i="1" s="1"/>
  <c r="BB49" i="1" s="1"/>
  <c r="AM59" i="1"/>
  <c r="AP59" i="1" s="1"/>
  <c r="BB59" i="1" s="1"/>
  <c r="AO59" i="1"/>
  <c r="BA59" i="1" s="1"/>
  <c r="BM61" i="1"/>
  <c r="BO57" i="1"/>
  <c r="BO53" i="1"/>
  <c r="BO52" i="1"/>
  <c r="DA50" i="1"/>
  <c r="BO45" i="1"/>
  <c r="BN45" i="1"/>
  <c r="BL45" i="1" s="1"/>
  <c r="BO33" i="1"/>
  <c r="BN33" i="1"/>
  <c r="BL33" i="1" s="1"/>
  <c r="AM51" i="1"/>
  <c r="AP51" i="1" s="1"/>
  <c r="BB51" i="1" s="1"/>
  <c r="BV35" i="1"/>
  <c r="BY35" i="1" s="1"/>
  <c r="CA35" i="1" s="1"/>
  <c r="AO63" i="1"/>
  <c r="BA63" i="1" s="1"/>
  <c r="AM63" i="1"/>
  <c r="AP63" i="1" s="1"/>
  <c r="BB63" i="1" s="1"/>
  <c r="BU64" i="1"/>
  <c r="BO64" i="1"/>
  <c r="BU60" i="1"/>
  <c r="BO60" i="1"/>
  <c r="BN57" i="1"/>
  <c r="DA51" i="1"/>
  <c r="BO51" i="1"/>
  <c r="BS51" i="1" s="1"/>
  <c r="BM47" i="1"/>
  <c r="AO34" i="1"/>
  <c r="BA34" i="1" s="1"/>
  <c r="AM34" i="1"/>
  <c r="AP34" i="1" s="1"/>
  <c r="BB34" i="1" s="1"/>
  <c r="AO50" i="1"/>
  <c r="BA50" i="1" s="1"/>
  <c r="BL50" i="1" s="1"/>
  <c r="AM50" i="1"/>
  <c r="AP50" i="1" s="1"/>
  <c r="BB50" i="1" s="1"/>
  <c r="BM50" i="1" s="1"/>
  <c r="BU63" i="1"/>
  <c r="BO63" i="1"/>
  <c r="DB61" i="1"/>
  <c r="DJ61" i="1" s="1"/>
  <c r="BN60" i="1"/>
  <c r="BU59" i="1"/>
  <c r="BO59" i="1"/>
  <c r="BO56" i="1"/>
  <c r="BO55" i="1"/>
  <c r="BS55" i="1" s="1"/>
  <c r="BN52" i="1"/>
  <c r="BR52" i="1" s="1"/>
  <c r="DA34" i="1"/>
  <c r="BO34" i="1"/>
  <c r="BN34" i="1"/>
  <c r="AM55" i="1"/>
  <c r="AP55" i="1" s="1"/>
  <c r="BB55" i="1" s="1"/>
  <c r="BL60" i="1"/>
  <c r="BN63" i="1"/>
  <c r="BO62" i="1"/>
  <c r="BS62" i="1" s="1"/>
  <c r="BU62" i="1"/>
  <c r="BN59" i="1"/>
  <c r="DA58" i="1"/>
  <c r="BO58" i="1"/>
  <c r="BN56" i="1"/>
  <c r="BL56" i="1" s="1"/>
  <c r="BO54" i="1"/>
  <c r="BM54" i="1" s="1"/>
  <c r="BN53" i="1"/>
  <c r="BO49" i="1"/>
  <c r="BM49" i="1" s="1"/>
  <c r="DA49" i="1"/>
  <c r="BU49" i="1"/>
  <c r="BU48" i="1"/>
  <c r="BO48" i="1"/>
  <c r="DI41" i="1"/>
  <c r="DI39" i="1"/>
  <c r="BO37" i="1"/>
  <c r="DA36" i="1"/>
  <c r="BO36" i="1"/>
  <c r="BM36" i="1" s="1"/>
  <c r="BO29" i="1"/>
  <c r="BO27" i="1"/>
  <c r="BO25" i="1"/>
  <c r="BL43" i="1"/>
  <c r="BU22" i="1"/>
  <c r="BO22" i="1"/>
  <c r="DB47" i="1"/>
  <c r="DJ47" i="1" s="1"/>
  <c r="BO44" i="1"/>
  <c r="BM44" i="1" s="1"/>
  <c r="BO40" i="1"/>
  <c r="BM40" i="1" s="1"/>
  <c r="DA35" i="1"/>
  <c r="BO35" i="1"/>
  <c r="AM41" i="1"/>
  <c r="AP41" i="1" s="1"/>
  <c r="BB41" i="1" s="1"/>
  <c r="AO41" i="1"/>
  <c r="BA41" i="1" s="1"/>
  <c r="BL41" i="1" s="1"/>
  <c r="BU42" i="1"/>
  <c r="BO42" i="1"/>
  <c r="DA43" i="1"/>
  <c r="BO39" i="1"/>
  <c r="BM39" i="1" s="1"/>
  <c r="BN38" i="1"/>
  <c r="BR38" i="1" s="1"/>
  <c r="BO30" i="1"/>
  <c r="BO28" i="1"/>
  <c r="BM28" i="1" s="1"/>
  <c r="BO26" i="1"/>
  <c r="BM26" i="1" s="1"/>
  <c r="BR41" i="1"/>
  <c r="BU41" i="1"/>
  <c r="BO41" i="1"/>
  <c r="BM41" i="1" s="1"/>
  <c r="BR42" i="1"/>
  <c r="BN42" i="1"/>
  <c r="DA44" i="1"/>
  <c r="DA40" i="1"/>
  <c r="BO38" i="1"/>
  <c r="BN37" i="1"/>
  <c r="BN22" i="1"/>
  <c r="BL22" i="1" s="1"/>
  <c r="DA30" i="1"/>
  <c r="DA29" i="1"/>
  <c r="DA28" i="1"/>
  <c r="DA27" i="1"/>
  <c r="DA26" i="1"/>
  <c r="DA25" i="1"/>
  <c r="DB24" i="1"/>
  <c r="DJ24" i="1" s="1"/>
  <c r="BO43" i="1"/>
  <c r="BS43" i="1" s="1"/>
  <c r="BT22" i="1"/>
  <c r="BR43" i="1"/>
  <c r="BL47" i="1"/>
  <c r="BL32" i="1"/>
  <c r="BL24" i="1"/>
  <c r="BL64" i="1"/>
  <c r="BN48" i="1"/>
  <c r="BS48" i="1" s="1"/>
  <c r="BN46" i="1"/>
  <c r="BS46" i="1" s="1"/>
  <c r="BN31" i="1"/>
  <c r="BN23" i="1"/>
  <c r="BS23" i="1" s="1"/>
  <c r="BR64" i="1"/>
  <c r="BL62" i="1"/>
  <c r="BT48" i="1"/>
  <c r="BT46" i="1"/>
  <c r="BT31" i="1"/>
  <c r="BT23" i="1"/>
  <c r="BL23" i="1"/>
  <c r="EC40" i="1" l="1"/>
  <c r="BV40" i="1"/>
  <c r="BY40" i="1" s="1"/>
  <c r="EC28" i="1"/>
  <c r="BV28" i="1"/>
  <c r="BY28" i="1" s="1"/>
  <c r="BM51" i="1"/>
  <c r="BV24" i="1"/>
  <c r="BY24" i="1" s="1"/>
  <c r="CC24" i="1" s="1"/>
  <c r="CA24" i="1"/>
  <c r="EC24" i="1"/>
  <c r="BV47" i="1"/>
  <c r="BY47" i="1" s="1"/>
  <c r="CC47" i="1" s="1"/>
  <c r="EC47" i="1"/>
  <c r="CA47" i="1"/>
  <c r="BV49" i="1"/>
  <c r="BY49" i="1" s="1"/>
  <c r="CC49" i="1" s="1"/>
  <c r="CA49" i="1"/>
  <c r="CE49" i="1" s="1"/>
  <c r="EC49" i="1"/>
  <c r="EB57" i="1"/>
  <c r="EH57" i="1" s="1"/>
  <c r="EF57" i="1"/>
  <c r="CI50" i="1"/>
  <c r="CE50" i="1"/>
  <c r="CF50" i="1"/>
  <c r="BR54" i="1"/>
  <c r="ED50" i="1"/>
  <c r="EI50" i="1" s="1"/>
  <c r="BV61" i="1"/>
  <c r="BY61" i="1" s="1"/>
  <c r="CC61" i="1" s="1"/>
  <c r="CA61" i="1"/>
  <c r="EC61" i="1"/>
  <c r="ED61" i="1" s="1"/>
  <c r="EI61" i="1" s="1"/>
  <c r="BV62" i="1"/>
  <c r="BY62" i="1" s="1"/>
  <c r="CC62" i="1" s="1"/>
  <c r="CA62" i="1"/>
  <c r="CE62" i="1" s="1"/>
  <c r="EC62" i="1"/>
  <c r="BM32" i="1"/>
  <c r="EF61" i="1"/>
  <c r="EE61" i="1" s="1"/>
  <c r="BW61" i="1"/>
  <c r="CC50" i="1"/>
  <c r="BV58" i="1"/>
  <c r="BY58" i="1" s="1"/>
  <c r="CC58" i="1" s="1"/>
  <c r="CA58" i="1"/>
  <c r="CE58" i="1" s="1"/>
  <c r="EC58" i="1"/>
  <c r="BV30" i="1"/>
  <c r="BY30" i="1" s="1"/>
  <c r="EC30" i="1"/>
  <c r="BR51" i="1"/>
  <c r="BV55" i="1"/>
  <c r="BY55" i="1" s="1"/>
  <c r="CC55" i="1" s="1"/>
  <c r="EC55" i="1"/>
  <c r="BL46" i="1"/>
  <c r="BW43" i="1"/>
  <c r="BM30" i="1"/>
  <c r="BM35" i="1"/>
  <c r="BM58" i="1"/>
  <c r="BL34" i="1"/>
  <c r="BL40" i="1"/>
  <c r="BL58" i="1"/>
  <c r="BM24" i="1"/>
  <c r="BR32" i="1"/>
  <c r="DL55" i="1"/>
  <c r="EF58" i="1"/>
  <c r="EB58" i="1"/>
  <c r="EH58" i="1" s="1"/>
  <c r="EB54" i="1"/>
  <c r="EH54" i="1" s="1"/>
  <c r="EF54" i="1"/>
  <c r="BL51" i="1"/>
  <c r="DL51" i="1" s="1"/>
  <c r="BW50" i="1"/>
  <c r="EF50" i="1"/>
  <c r="EE50" i="1" s="1"/>
  <c r="BS24" i="1"/>
  <c r="BL61" i="1"/>
  <c r="DL61" i="1" s="1"/>
  <c r="DM61" i="1" s="1"/>
  <c r="CI44" i="1"/>
  <c r="CE44" i="1"/>
  <c r="BS34" i="1"/>
  <c r="DA33" i="1"/>
  <c r="CA36" i="1"/>
  <c r="BL36" i="1"/>
  <c r="DL36" i="1" s="1"/>
  <c r="DM36" i="1" s="1"/>
  <c r="BR26" i="1"/>
  <c r="BS32" i="1"/>
  <c r="DA55" i="1"/>
  <c r="BS47" i="1"/>
  <c r="DN44" i="1"/>
  <c r="DQ44" i="1"/>
  <c r="BL26" i="1"/>
  <c r="DL26" i="1" s="1"/>
  <c r="DM26" i="1" s="1"/>
  <c r="DS44" i="1"/>
  <c r="EB50" i="1"/>
  <c r="EH50" i="1" s="1"/>
  <c r="CB62" i="1"/>
  <c r="CF62" i="1"/>
  <c r="CE29" i="1"/>
  <c r="ED55" i="1"/>
  <c r="EI55" i="1" s="1"/>
  <c r="EE55" i="1" s="1"/>
  <c r="BW55" i="1"/>
  <c r="BV52" i="1"/>
  <c r="BY52" i="1" s="1"/>
  <c r="CC52" i="1" s="1"/>
  <c r="EC52" i="1"/>
  <c r="BV38" i="1"/>
  <c r="BY38" i="1" s="1"/>
  <c r="CC38" i="1" s="1"/>
  <c r="EC38" i="1"/>
  <c r="O7" i="23"/>
  <c r="O12" i="23"/>
  <c r="O4" i="23"/>
  <c r="O9" i="23"/>
  <c r="O13" i="23"/>
  <c r="O5" i="23"/>
  <c r="O10" i="23"/>
  <c r="O15" i="23"/>
  <c r="O6" i="23"/>
  <c r="O11" i="23"/>
  <c r="DA31" i="1"/>
  <c r="BM31" i="1"/>
  <c r="BS31" i="1"/>
  <c r="CO24" i="1"/>
  <c r="CS24" i="1" s="1"/>
  <c r="CR24" i="1"/>
  <c r="DL24" i="1"/>
  <c r="DM24" i="1" s="1"/>
  <c r="CL24" i="1"/>
  <c r="DS24" i="1"/>
  <c r="CO47" i="1"/>
  <c r="CS47" i="1" s="1"/>
  <c r="CL47" i="1"/>
  <c r="DS47" i="1"/>
  <c r="DL47" i="1"/>
  <c r="DM47" i="1" s="1"/>
  <c r="CR47" i="1"/>
  <c r="DB27" i="1"/>
  <c r="DJ27" i="1" s="1"/>
  <c r="DI27" i="1"/>
  <c r="BM22" i="1"/>
  <c r="DL22" i="1"/>
  <c r="DM22" i="1" s="1"/>
  <c r="BM37" i="1"/>
  <c r="BM42" i="1"/>
  <c r="DA42" i="1"/>
  <c r="BV41" i="1"/>
  <c r="BY41" i="1" s="1"/>
  <c r="CC41" i="1" s="1"/>
  <c r="CA41" i="1"/>
  <c r="EC41" i="1"/>
  <c r="DA37" i="1"/>
  <c r="DA22" i="1"/>
  <c r="DO44" i="1"/>
  <c r="DM44" i="1"/>
  <c r="BR22" i="1"/>
  <c r="EF48" i="1"/>
  <c r="BM53" i="1"/>
  <c r="DI58" i="1"/>
  <c r="DB58" i="1"/>
  <c r="DJ58" i="1" s="1"/>
  <c r="BM63" i="1"/>
  <c r="DL63" i="1"/>
  <c r="DM63" i="1" s="1"/>
  <c r="DI34" i="1"/>
  <c r="DB34" i="1"/>
  <c r="DJ34" i="1" s="1"/>
  <c r="BM60" i="1"/>
  <c r="DL60" i="1"/>
  <c r="DA63" i="1"/>
  <c r="DI51" i="1"/>
  <c r="DB51" i="1"/>
  <c r="DJ51" i="1" s="1"/>
  <c r="BM57" i="1"/>
  <c r="BM64" i="1"/>
  <c r="DB64" i="1"/>
  <c r="DJ64" i="1" s="1"/>
  <c r="BL63" i="1"/>
  <c r="CE35" i="1"/>
  <c r="DI33" i="1"/>
  <c r="DB33" i="1"/>
  <c r="DJ33" i="1" s="1"/>
  <c r="DB50" i="1"/>
  <c r="DJ50" i="1" s="1"/>
  <c r="DI50" i="1"/>
  <c r="BR53" i="1"/>
  <c r="CD27" i="1"/>
  <c r="DN27" i="1"/>
  <c r="DQ27" i="1"/>
  <c r="CG27" i="1"/>
  <c r="DL30" i="1"/>
  <c r="CD58" i="1"/>
  <c r="CP58" i="1" s="1"/>
  <c r="DQ58" i="1"/>
  <c r="DR58" i="1" s="1"/>
  <c r="DX58" i="1" s="1"/>
  <c r="DN58" i="1"/>
  <c r="DO58" i="1" s="1"/>
  <c r="CG58" i="1"/>
  <c r="CO27" i="1"/>
  <c r="CS27" i="1" s="1"/>
  <c r="CL27" i="1"/>
  <c r="DS27" i="1"/>
  <c r="CR27" i="1"/>
  <c r="DL27" i="1"/>
  <c r="CI25" i="1"/>
  <c r="CB25" i="1"/>
  <c r="CE25" i="1"/>
  <c r="BS40" i="1"/>
  <c r="BS38" i="1"/>
  <c r="BW38" i="1" s="1"/>
  <c r="BS53" i="1"/>
  <c r="BW53" i="1" s="1"/>
  <c r="BS54" i="1"/>
  <c r="BS22" i="1"/>
  <c r="BW22" i="1" s="1"/>
  <c r="EA23" i="1"/>
  <c r="EB23" i="1" s="1"/>
  <c r="EH23" i="1" s="1"/>
  <c r="EF23" i="1"/>
  <c r="BR48" i="1"/>
  <c r="BW48" i="1" s="1"/>
  <c r="BV42" i="1"/>
  <c r="BY42" i="1" s="1"/>
  <c r="CC42" i="1" s="1"/>
  <c r="EC42" i="1"/>
  <c r="CL43" i="1"/>
  <c r="DL43" i="1"/>
  <c r="CR43" i="1"/>
  <c r="BM25" i="1"/>
  <c r="DM25" i="1" s="1"/>
  <c r="BS25" i="1"/>
  <c r="DI36" i="1"/>
  <c r="DB36" i="1"/>
  <c r="DJ36" i="1" s="1"/>
  <c r="DB41" i="1"/>
  <c r="DJ41" i="1" s="1"/>
  <c r="EF49" i="1"/>
  <c r="EB49" i="1"/>
  <c r="EH49" i="1" s="1"/>
  <c r="BM59" i="1"/>
  <c r="BM52" i="1"/>
  <c r="DQ52" i="1"/>
  <c r="DB54" i="1"/>
  <c r="DJ54" i="1" s="1"/>
  <c r="EF64" i="1"/>
  <c r="BR59" i="1"/>
  <c r="BM45" i="1"/>
  <c r="DL45" i="1"/>
  <c r="CU44" i="1"/>
  <c r="DC44" i="1" s="1"/>
  <c r="BR45" i="1"/>
  <c r="BL38" i="1"/>
  <c r="CD39" i="1"/>
  <c r="CP39" i="1" s="1"/>
  <c r="DN39" i="1"/>
  <c r="DQ39" i="1"/>
  <c r="CG39" i="1"/>
  <c r="CI36" i="1"/>
  <c r="CE36" i="1"/>
  <c r="BR57" i="1"/>
  <c r="DT44" i="1"/>
  <c r="DY44" i="1" s="1"/>
  <c r="DV44" i="1"/>
  <c r="CH44" i="1"/>
  <c r="DR44" i="1"/>
  <c r="DX44" i="1" s="1"/>
  <c r="BS41" i="1"/>
  <c r="CC29" i="1"/>
  <c r="CI29" i="1" s="1"/>
  <c r="BS45" i="1"/>
  <c r="BS39" i="1"/>
  <c r="BS37" i="1"/>
  <c r="BS57" i="1"/>
  <c r="BS49" i="1"/>
  <c r="ED49" i="1" s="1"/>
  <c r="EI49" i="1" s="1"/>
  <c r="G15" i="23"/>
  <c r="H4" i="23" s="1"/>
  <c r="BV64" i="1"/>
  <c r="BY64" i="1" s="1"/>
  <c r="CC64" i="1" s="1"/>
  <c r="CA64" i="1"/>
  <c r="EC64" i="1"/>
  <c r="BL48" i="1"/>
  <c r="CD61" i="1"/>
  <c r="CP61" i="1"/>
  <c r="CL61" i="1"/>
  <c r="DN61" i="1"/>
  <c r="DO61" i="1" s="1"/>
  <c r="DS61" i="1"/>
  <c r="DT61" i="1" s="1"/>
  <c r="DY61" i="1" s="1"/>
  <c r="CR61" i="1"/>
  <c r="CG61" i="1"/>
  <c r="DQ61" i="1"/>
  <c r="DR61" i="1" s="1"/>
  <c r="DX61" i="1" s="1"/>
  <c r="BV43" i="1"/>
  <c r="BY43" i="1" s="1"/>
  <c r="CC43" i="1" s="1"/>
  <c r="CO43" i="1" s="1"/>
  <c r="CS43" i="1" s="1"/>
  <c r="CA43" i="1"/>
  <c r="EC43" i="1"/>
  <c r="ED43" i="1" s="1"/>
  <c r="EI43" i="1" s="1"/>
  <c r="EE43" i="1" s="1"/>
  <c r="DB29" i="1"/>
  <c r="DJ29" i="1" s="1"/>
  <c r="DI29" i="1"/>
  <c r="DI40" i="1"/>
  <c r="DB40" i="1"/>
  <c r="DJ40" i="1" s="1"/>
  <c r="EF42" i="1"/>
  <c r="EB42" i="1"/>
  <c r="EH42" i="1" s="1"/>
  <c r="DI35" i="1"/>
  <c r="DB35" i="1"/>
  <c r="DJ35" i="1" s="1"/>
  <c r="BM43" i="1"/>
  <c r="BM27" i="1"/>
  <c r="BS27" i="1"/>
  <c r="DB49" i="1"/>
  <c r="DJ49" i="1" s="1"/>
  <c r="DI49" i="1"/>
  <c r="BM56" i="1"/>
  <c r="DL56" i="1"/>
  <c r="EF62" i="1"/>
  <c r="ED62" i="1"/>
  <c r="EI62" i="1" s="1"/>
  <c r="BW62" i="1"/>
  <c r="EB62" i="1"/>
  <c r="EH62" i="1" s="1"/>
  <c r="BR60" i="1"/>
  <c r="BM34" i="1"/>
  <c r="BR34" i="1"/>
  <c r="DL34" i="1"/>
  <c r="DA53" i="1"/>
  <c r="EF59" i="1"/>
  <c r="EB59" i="1"/>
  <c r="EH59" i="1" s="1"/>
  <c r="CO50" i="1"/>
  <c r="CS50" i="1" s="1"/>
  <c r="DL50" i="1"/>
  <c r="DM50" i="1" s="1"/>
  <c r="CL50" i="1"/>
  <c r="DN50" i="1"/>
  <c r="DS50" i="1"/>
  <c r="CR50" i="1"/>
  <c r="DA60" i="1"/>
  <c r="CD49" i="1"/>
  <c r="DV49" i="1" s="1"/>
  <c r="DN49" i="1"/>
  <c r="DO49" i="1" s="1"/>
  <c r="DQ49" i="1"/>
  <c r="DR49" i="1" s="1"/>
  <c r="DX49" i="1" s="1"/>
  <c r="CG49" i="1"/>
  <c r="BM33" i="1"/>
  <c r="DL33" i="1"/>
  <c r="DM33" i="1" s="1"/>
  <c r="DA45" i="1"/>
  <c r="DA52" i="1"/>
  <c r="BL59" i="1"/>
  <c r="CO49" i="1"/>
  <c r="CS49" i="1" s="1"/>
  <c r="CL49" i="1"/>
  <c r="DS49" i="1"/>
  <c r="DL49" i="1"/>
  <c r="DM49" i="1" s="1"/>
  <c r="CR49" i="1"/>
  <c r="DL35" i="1"/>
  <c r="DM35" i="1" s="1"/>
  <c r="DL54" i="1"/>
  <c r="DM54" i="1" s="1"/>
  <c r="BR56" i="1"/>
  <c r="CD55" i="1"/>
  <c r="CP55" i="1" s="1"/>
  <c r="CL55" i="1"/>
  <c r="DN55" i="1"/>
  <c r="DS55" i="1"/>
  <c r="DQ55" i="1"/>
  <c r="DR55" i="1" s="1"/>
  <c r="DX55" i="1" s="1"/>
  <c r="CR55" i="1"/>
  <c r="CG55" i="1"/>
  <c r="BR37" i="1"/>
  <c r="BL53" i="1"/>
  <c r="DL28" i="1"/>
  <c r="DM28" i="1" s="1"/>
  <c r="CD36" i="1"/>
  <c r="CP36" i="1" s="1"/>
  <c r="CO36" i="1"/>
  <c r="CS36" i="1" s="1"/>
  <c r="CR36" i="1"/>
  <c r="DQ36" i="1"/>
  <c r="CL36" i="1"/>
  <c r="DN36" i="1"/>
  <c r="DS36" i="1"/>
  <c r="CG36" i="1"/>
  <c r="CP44" i="1"/>
  <c r="CT44" i="1" s="1"/>
  <c r="BS28" i="1"/>
  <c r="BS26" i="1"/>
  <c r="BS42" i="1"/>
  <c r="BW42" i="1" s="1"/>
  <c r="BS59" i="1"/>
  <c r="BW59" i="1" s="1"/>
  <c r="H13" i="23"/>
  <c r="BS60" i="1"/>
  <c r="Q15" i="23"/>
  <c r="EB64" i="1"/>
  <c r="EH64" i="1" s="1"/>
  <c r="CO62" i="1"/>
  <c r="CS62" i="1" s="1"/>
  <c r="DL62" i="1"/>
  <c r="CL62" i="1"/>
  <c r="CR62" i="1"/>
  <c r="DS62" i="1"/>
  <c r="DA48" i="1"/>
  <c r="BM48" i="1"/>
  <c r="DL48" i="1"/>
  <c r="DM48" i="1" s="1"/>
  <c r="EA46" i="1"/>
  <c r="EB46" i="1" s="1"/>
  <c r="EH46" i="1" s="1"/>
  <c r="EF46" i="1"/>
  <c r="BR31" i="1"/>
  <c r="CD24" i="1"/>
  <c r="CI24" i="1"/>
  <c r="DQ24" i="1"/>
  <c r="DN24" i="1"/>
  <c r="CG24" i="1"/>
  <c r="CD47" i="1"/>
  <c r="CP47" i="1"/>
  <c r="DN47" i="1"/>
  <c r="DQ47" i="1"/>
  <c r="CG47" i="1"/>
  <c r="DB28" i="1"/>
  <c r="DJ28" i="1" s="1"/>
  <c r="DI28" i="1"/>
  <c r="DA38" i="1"/>
  <c r="BM38" i="1"/>
  <c r="DL38" i="1"/>
  <c r="DM38" i="1" s="1"/>
  <c r="DQ38" i="1"/>
  <c r="BL31" i="1"/>
  <c r="DA23" i="1"/>
  <c r="BM23" i="1"/>
  <c r="DL23" i="1"/>
  <c r="DA46" i="1"/>
  <c r="BM46" i="1"/>
  <c r="DL46" i="1"/>
  <c r="DM46" i="1" s="1"/>
  <c r="DL32" i="1"/>
  <c r="DM32" i="1" s="1"/>
  <c r="CD62" i="1"/>
  <c r="DV62" i="1" s="1"/>
  <c r="DQ62" i="1"/>
  <c r="CG62" i="1"/>
  <c r="DN62" i="1"/>
  <c r="DB25" i="1"/>
  <c r="DJ25" i="1" s="1"/>
  <c r="DI25" i="1"/>
  <c r="BL42" i="1"/>
  <c r="EA31" i="1"/>
  <c r="EB31" i="1" s="1"/>
  <c r="EH31" i="1" s="1"/>
  <c r="EF31" i="1"/>
  <c r="BW31" i="1"/>
  <c r="EA48" i="1"/>
  <c r="EB48" i="1" s="1"/>
  <c r="EH48" i="1" s="1"/>
  <c r="BR23" i="1"/>
  <c r="BW23" i="1" s="1"/>
  <c r="BR46" i="1"/>
  <c r="CO64" i="1"/>
  <c r="CS64" i="1" s="1"/>
  <c r="CL64" i="1"/>
  <c r="DS64" i="1"/>
  <c r="CR64" i="1"/>
  <c r="DL64" i="1"/>
  <c r="DM64" i="1" s="1"/>
  <c r="CO61" i="1"/>
  <c r="CS61" i="1" s="1"/>
  <c r="EA22" i="1"/>
  <c r="EB22" i="1" s="1"/>
  <c r="EH22" i="1" s="1"/>
  <c r="DB26" i="1"/>
  <c r="DJ26" i="1" s="1"/>
  <c r="DI26" i="1"/>
  <c r="DB30" i="1"/>
  <c r="DJ30" i="1" s="1"/>
  <c r="DI30" i="1"/>
  <c r="DI44" i="1"/>
  <c r="DB44" i="1"/>
  <c r="DJ44" i="1" s="1"/>
  <c r="EB41" i="1"/>
  <c r="EH41" i="1" s="1"/>
  <c r="EF41" i="1"/>
  <c r="BW41" i="1"/>
  <c r="DI43" i="1"/>
  <c r="DB43" i="1"/>
  <c r="DJ43" i="1" s="1"/>
  <c r="CO41" i="1"/>
  <c r="CS41" i="1" s="1"/>
  <c r="CL41" i="1"/>
  <c r="DS41" i="1"/>
  <c r="CR41" i="1"/>
  <c r="DL41" i="1"/>
  <c r="DM41" i="1" s="1"/>
  <c r="EF22" i="1"/>
  <c r="BS29" i="1"/>
  <c r="BM29" i="1"/>
  <c r="DM29" i="1" s="1"/>
  <c r="DB39" i="1"/>
  <c r="DJ39" i="1" s="1"/>
  <c r="BM62" i="1"/>
  <c r="DB62" i="1"/>
  <c r="DJ62" i="1" s="1"/>
  <c r="BR63" i="1"/>
  <c r="BM55" i="1"/>
  <c r="DM55" i="1" s="1"/>
  <c r="DA59" i="1"/>
  <c r="EF63" i="1"/>
  <c r="EB63" i="1"/>
  <c r="EH63" i="1" s="1"/>
  <c r="DA56" i="1"/>
  <c r="EF60" i="1"/>
  <c r="EB60" i="1"/>
  <c r="EH60" i="1" s="1"/>
  <c r="BR33" i="1"/>
  <c r="DA57" i="1"/>
  <c r="CC35" i="1"/>
  <c r="BL37" i="1"/>
  <c r="DL37" i="1" s="1"/>
  <c r="DM37" i="1" s="1"/>
  <c r="BL52" i="1"/>
  <c r="BL57" i="1"/>
  <c r="CO39" i="1"/>
  <c r="CS39" i="1" s="1"/>
  <c r="CL39" i="1"/>
  <c r="DS39" i="1"/>
  <c r="DT39" i="1" s="1"/>
  <c r="DY39" i="1" s="1"/>
  <c r="CR39" i="1"/>
  <c r="DL39" i="1"/>
  <c r="DM39" i="1" s="1"/>
  <c r="CA27" i="1"/>
  <c r="DL40" i="1"/>
  <c r="DM40" i="1" s="1"/>
  <c r="CU25" i="1"/>
  <c r="DC25" i="1" s="1"/>
  <c r="CO58" i="1"/>
  <c r="CS58" i="1" s="1"/>
  <c r="DL58" i="1"/>
  <c r="DM58" i="1" s="1"/>
  <c r="CL58" i="1"/>
  <c r="CR58" i="1"/>
  <c r="DS58" i="1"/>
  <c r="DT58" i="1" s="1"/>
  <c r="DY58" i="1" s="1"/>
  <c r="CD25" i="1"/>
  <c r="CP25" i="1" s="1"/>
  <c r="CT25" i="1" s="1"/>
  <c r="CL25" i="1"/>
  <c r="DN25" i="1"/>
  <c r="DS25" i="1"/>
  <c r="CR25" i="1"/>
  <c r="DQ25" i="1"/>
  <c r="CG25" i="1"/>
  <c r="BS36" i="1"/>
  <c r="BS33" i="1"/>
  <c r="BS35" i="1"/>
  <c r="BS44" i="1"/>
  <c r="BS52" i="1"/>
  <c r="BW52" i="1" s="1"/>
  <c r="BS30" i="1"/>
  <c r="CI58" i="1"/>
  <c r="BS63" i="1"/>
  <c r="BW63" i="1" s="1"/>
  <c r="H5" i="23"/>
  <c r="BS64" i="1"/>
  <c r="BW64" i="1" s="1"/>
  <c r="H15" i="23"/>
  <c r="BS58" i="1"/>
  <c r="BS56" i="1"/>
  <c r="H7" i="23"/>
  <c r="CB47" i="1" l="1"/>
  <c r="BW47" i="1"/>
  <c r="CE61" i="1"/>
  <c r="ED24" i="1"/>
  <c r="EI24" i="1" s="1"/>
  <c r="EE24" i="1" s="1"/>
  <c r="DT55" i="1"/>
  <c r="DY55" i="1" s="1"/>
  <c r="BW60" i="1"/>
  <c r="ED64" i="1"/>
  <c r="EI64" i="1" s="1"/>
  <c r="H11" i="23"/>
  <c r="CH49" i="1"/>
  <c r="DI55" i="1"/>
  <c r="DB55" i="1"/>
  <c r="DJ55" i="1" s="1"/>
  <c r="CB24" i="1"/>
  <c r="CF24" i="1" s="1"/>
  <c r="BW24" i="1"/>
  <c r="CB61" i="1"/>
  <c r="CF61" i="1" s="1"/>
  <c r="BV51" i="1"/>
  <c r="BY51" i="1" s="1"/>
  <c r="CC51" i="1" s="1"/>
  <c r="EC51" i="1"/>
  <c r="ED51" i="1" s="1"/>
  <c r="EI51" i="1" s="1"/>
  <c r="EE51" i="1" s="1"/>
  <c r="CI61" i="1"/>
  <c r="CE47" i="1"/>
  <c r="CF47" i="1"/>
  <c r="CE24" i="1"/>
  <c r="DM51" i="1"/>
  <c r="CA40" i="1"/>
  <c r="CC40" i="1"/>
  <c r="DR47" i="1"/>
  <c r="DX47" i="1" s="1"/>
  <c r="DO55" i="1"/>
  <c r="DM34" i="1"/>
  <c r="DR39" i="1"/>
  <c r="DX39" i="1" s="1"/>
  <c r="H6" i="23"/>
  <c r="BW32" i="1"/>
  <c r="BV32" i="1"/>
  <c r="BY32" i="1" s="1"/>
  <c r="CC32" i="1" s="1"/>
  <c r="CA32" i="1"/>
  <c r="CB32" i="1" s="1"/>
  <c r="EC32" i="1"/>
  <c r="ED32" i="1" s="1"/>
  <c r="EI32" i="1" s="1"/>
  <c r="EE32" i="1" s="1"/>
  <c r="CI62" i="1"/>
  <c r="ED47" i="1"/>
  <c r="EI47" i="1" s="1"/>
  <c r="EE47" i="1" s="1"/>
  <c r="CA28" i="1"/>
  <c r="CC28" i="1"/>
  <c r="DM23" i="1"/>
  <c r="DO47" i="1"/>
  <c r="DO24" i="1"/>
  <c r="DT49" i="1"/>
  <c r="DY49" i="1" s="1"/>
  <c r="CP49" i="1"/>
  <c r="BW57" i="1"/>
  <c r="DU44" i="1"/>
  <c r="DM30" i="1"/>
  <c r="CL51" i="1"/>
  <c r="BW51" i="1"/>
  <c r="EC26" i="1"/>
  <c r="BV26" i="1"/>
  <c r="BY26" i="1" s="1"/>
  <c r="CA55" i="1"/>
  <c r="CI55" i="1" s="1"/>
  <c r="CA30" i="1"/>
  <c r="CC30" i="1"/>
  <c r="DQ50" i="1"/>
  <c r="CG50" i="1"/>
  <c r="CD50" i="1"/>
  <c r="BV54" i="1"/>
  <c r="BY54" i="1" s="1"/>
  <c r="CC54" i="1" s="1"/>
  <c r="EC54" i="1"/>
  <c r="CA54" i="1"/>
  <c r="CE54" i="1" s="1"/>
  <c r="CI49" i="1"/>
  <c r="CI47" i="1"/>
  <c r="CO55" i="1"/>
  <c r="CS55" i="1" s="1"/>
  <c r="CU55" i="1" s="1"/>
  <c r="DC55" i="1" s="1"/>
  <c r="CY25" i="1"/>
  <c r="CZ25" i="1" s="1"/>
  <c r="CV25" i="1"/>
  <c r="CW25" i="1" s="1"/>
  <c r="CY44" i="1"/>
  <c r="CZ44" i="1" s="1"/>
  <c r="CV44" i="1"/>
  <c r="CW44" i="1" s="1"/>
  <c r="CU61" i="1"/>
  <c r="DE61" i="1" s="1"/>
  <c r="CV61" i="1"/>
  <c r="CW61" i="1" s="1"/>
  <c r="CT61" i="1"/>
  <c r="CY61" i="1" s="1"/>
  <c r="CZ61" i="1" s="1"/>
  <c r="BV46" i="1"/>
  <c r="BY46" i="1" s="1"/>
  <c r="CC46" i="1" s="1"/>
  <c r="EC46" i="1"/>
  <c r="ED46" i="1" s="1"/>
  <c r="EI46" i="1" s="1"/>
  <c r="DV24" i="1"/>
  <c r="CH24" i="1"/>
  <c r="ED35" i="1"/>
  <c r="EI35" i="1" s="1"/>
  <c r="EE35" i="1" s="1"/>
  <c r="BW35" i="1"/>
  <c r="CD35" i="1"/>
  <c r="DN35" i="1"/>
  <c r="DQ35" i="1"/>
  <c r="CG35" i="1"/>
  <c r="DI59" i="1"/>
  <c r="DB59" i="1"/>
  <c r="DJ59" i="1" s="1"/>
  <c r="DO62" i="1"/>
  <c r="BV31" i="1"/>
  <c r="BY31" i="1" s="1"/>
  <c r="CC31" i="1" s="1"/>
  <c r="EC31" i="1"/>
  <c r="ED31" i="1" s="1"/>
  <c r="EI31" i="1" s="1"/>
  <c r="DR36" i="1"/>
  <c r="DX36" i="1" s="1"/>
  <c r="BV56" i="1"/>
  <c r="BY56" i="1" s="1"/>
  <c r="CC56" i="1" s="1"/>
  <c r="EC56" i="1"/>
  <c r="ED56" i="1" s="1"/>
  <c r="EI56" i="1" s="1"/>
  <c r="EE56" i="1" s="1"/>
  <c r="ED30" i="1"/>
  <c r="EI30" i="1" s="1"/>
  <c r="EE30" i="1" s="1"/>
  <c r="BW30" i="1"/>
  <c r="BW33" i="1"/>
  <c r="DO25" i="1"/>
  <c r="CU58" i="1"/>
  <c r="DC58" i="1" s="1"/>
  <c r="CT58" i="1"/>
  <c r="CY58" i="1" s="1"/>
  <c r="CZ58" i="1" s="1"/>
  <c r="CO52" i="1"/>
  <c r="CS52" i="1" s="1"/>
  <c r="CL52" i="1"/>
  <c r="CR52" i="1"/>
  <c r="DS52" i="1"/>
  <c r="DI57" i="1"/>
  <c r="DB57" i="1"/>
  <c r="DJ57" i="1" s="1"/>
  <c r="CO42" i="1"/>
  <c r="CS42" i="1" s="1"/>
  <c r="CR42" i="1"/>
  <c r="CL42" i="1"/>
  <c r="DS42" i="1"/>
  <c r="DI46" i="1"/>
  <c r="DB46" i="1"/>
  <c r="DJ46" i="1" s="1"/>
  <c r="DB23" i="1"/>
  <c r="DJ23" i="1" s="1"/>
  <c r="DI23" i="1"/>
  <c r="DV47" i="1"/>
  <c r="CH47" i="1"/>
  <c r="CJ24" i="1"/>
  <c r="BW46" i="1"/>
  <c r="DB48" i="1"/>
  <c r="DJ48" i="1" s="1"/>
  <c r="DI48" i="1"/>
  <c r="DM62" i="1"/>
  <c r="ED26" i="1"/>
  <c r="EI26" i="1" s="1"/>
  <c r="EE26" i="1" s="1"/>
  <c r="BW26" i="1"/>
  <c r="DT36" i="1"/>
  <c r="DY36" i="1" s="1"/>
  <c r="CL35" i="1"/>
  <c r="DI52" i="1"/>
  <c r="DB52" i="1"/>
  <c r="DJ52" i="1" s="1"/>
  <c r="DU49" i="1"/>
  <c r="CU50" i="1"/>
  <c r="DE50" i="1" s="1"/>
  <c r="BV34" i="1"/>
  <c r="BY34" i="1" s="1"/>
  <c r="CC34" i="1" s="1"/>
  <c r="CA34" i="1"/>
  <c r="EC34" i="1"/>
  <c r="ED34" i="1" s="1"/>
  <c r="EI34" i="1" s="1"/>
  <c r="EE34" i="1" s="1"/>
  <c r="CH62" i="1"/>
  <c r="CD43" i="1"/>
  <c r="CP43" i="1"/>
  <c r="DN43" i="1"/>
  <c r="DO43" i="1" s="1"/>
  <c r="DQ43" i="1"/>
  <c r="DR43" i="1" s="1"/>
  <c r="DX43" i="1" s="1"/>
  <c r="CG43" i="1"/>
  <c r="CH61" i="1"/>
  <c r="DV61" i="1"/>
  <c r="DU61" i="1" s="1"/>
  <c r="CD64" i="1"/>
  <c r="DN64" i="1"/>
  <c r="CG64" i="1"/>
  <c r="DQ64" i="1"/>
  <c r="DR64" i="1" s="1"/>
  <c r="DX64" i="1" s="1"/>
  <c r="H9" i="23"/>
  <c r="BW45" i="1"/>
  <c r="DO39" i="1"/>
  <c r="DM45" i="1"/>
  <c r="DL52" i="1"/>
  <c r="DM52" i="1" s="1"/>
  <c r="DM43" i="1"/>
  <c r="ED42" i="1"/>
  <c r="EI42" i="1" s="1"/>
  <c r="H10" i="23"/>
  <c r="ED40" i="1"/>
  <c r="EI40" i="1" s="1"/>
  <c r="EE40" i="1" s="1"/>
  <c r="BW40" i="1"/>
  <c r="CJ25" i="1"/>
  <c r="DR27" i="1"/>
  <c r="DX27" i="1" s="1"/>
  <c r="BV53" i="1"/>
  <c r="BY53" i="1" s="1"/>
  <c r="CC53" i="1" s="1"/>
  <c r="CL53" i="1" s="1"/>
  <c r="EC53" i="1"/>
  <c r="ED53" i="1" s="1"/>
  <c r="EI53" i="1" s="1"/>
  <c r="EE53" i="1" s="1"/>
  <c r="CB35" i="1"/>
  <c r="DM60" i="1"/>
  <c r="ED41" i="1"/>
  <c r="EI41" i="1" s="1"/>
  <c r="DL42" i="1"/>
  <c r="DM42" i="1" s="1"/>
  <c r="DT24" i="1"/>
  <c r="DY24" i="1" s="1"/>
  <c r="CU24" i="1"/>
  <c r="DE24" i="1" s="1"/>
  <c r="CD38" i="1"/>
  <c r="CP38" i="1" s="1"/>
  <c r="DN38" i="1"/>
  <c r="CG38" i="1"/>
  <c r="CA52" i="1"/>
  <c r="CJ61" i="1"/>
  <c r="CU39" i="1"/>
  <c r="DC39" i="1" s="1"/>
  <c r="CT39" i="1"/>
  <c r="CY39" i="1" s="1"/>
  <c r="CZ39" i="1" s="1"/>
  <c r="CV39" i="1"/>
  <c r="CW39" i="1" s="1"/>
  <c r="DB56" i="1"/>
  <c r="DJ56" i="1" s="1"/>
  <c r="DI56" i="1"/>
  <c r="CU41" i="1"/>
  <c r="DE41" i="1" s="1"/>
  <c r="DG41" i="1" s="1"/>
  <c r="ED36" i="1"/>
  <c r="EI36" i="1" s="1"/>
  <c r="EE36" i="1" s="1"/>
  <c r="BW36" i="1"/>
  <c r="BV23" i="1"/>
  <c r="BY23" i="1" s="1"/>
  <c r="CC23" i="1" s="1"/>
  <c r="EC23" i="1"/>
  <c r="ED23" i="1" s="1"/>
  <c r="EI23" i="1" s="1"/>
  <c r="CP62" i="1"/>
  <c r="CT62" i="1" s="1"/>
  <c r="CY62" i="1" s="1"/>
  <c r="CZ62" i="1" s="1"/>
  <c r="DR24" i="1"/>
  <c r="DX24" i="1" s="1"/>
  <c r="BW56" i="1"/>
  <c r="DR25" i="1"/>
  <c r="DX25" i="1" s="1"/>
  <c r="CI27" i="1"/>
  <c r="CB27" i="1"/>
  <c r="CF27" i="1" s="1"/>
  <c r="CE27" i="1"/>
  <c r="BV33" i="1"/>
  <c r="BY33" i="1" s="1"/>
  <c r="CC33" i="1" s="1"/>
  <c r="EC33" i="1"/>
  <c r="ED33" i="1" s="1"/>
  <c r="EI33" i="1" s="1"/>
  <c r="EE33" i="1" s="1"/>
  <c r="BV63" i="1"/>
  <c r="BY63" i="1" s="1"/>
  <c r="CC63" i="1" s="1"/>
  <c r="EC63" i="1"/>
  <c r="ED63" i="1" s="1"/>
  <c r="EI63" i="1" s="1"/>
  <c r="EE63" i="1" s="1"/>
  <c r="CU64" i="1"/>
  <c r="DE64" i="1" s="1"/>
  <c r="EE31" i="1"/>
  <c r="DR62" i="1"/>
  <c r="DX62" i="1" s="1"/>
  <c r="CO31" i="1"/>
  <c r="CS31" i="1" s="1"/>
  <c r="CL31" i="1"/>
  <c r="DS31" i="1"/>
  <c r="CR31" i="1"/>
  <c r="DI38" i="1"/>
  <c r="DB38" i="1"/>
  <c r="DJ38" i="1" s="1"/>
  <c r="CP24" i="1"/>
  <c r="CT24" i="1" s="1"/>
  <c r="CY24" i="1" s="1"/>
  <c r="CZ24" i="1" s="1"/>
  <c r="DT62" i="1"/>
  <c r="DY62" i="1" s="1"/>
  <c r="CU62" i="1"/>
  <c r="DE62" i="1" s="1"/>
  <c r="ED28" i="1"/>
  <c r="EI28" i="1" s="1"/>
  <c r="EE28" i="1" s="1"/>
  <c r="BW28" i="1"/>
  <c r="DO36" i="1"/>
  <c r="DS53" i="1"/>
  <c r="CR53" i="1"/>
  <c r="DV55" i="1"/>
  <c r="DU55" i="1" s="1"/>
  <c r="CH55" i="1"/>
  <c r="CO35" i="1"/>
  <c r="CS35" i="1" s="1"/>
  <c r="DI45" i="1"/>
  <c r="DB45" i="1"/>
  <c r="DJ45" i="1" s="1"/>
  <c r="DI53" i="1"/>
  <c r="DB53" i="1"/>
  <c r="DJ53" i="1" s="1"/>
  <c r="DM56" i="1"/>
  <c r="ED27" i="1"/>
  <c r="EI27" i="1" s="1"/>
  <c r="EE27" i="1" s="1"/>
  <c r="BW27" i="1"/>
  <c r="EE42" i="1"/>
  <c r="CD29" i="1"/>
  <c r="CL29" i="1"/>
  <c r="DN29" i="1"/>
  <c r="DO29" i="1" s="1"/>
  <c r="DS29" i="1"/>
  <c r="DT29" i="1" s="1"/>
  <c r="DY29" i="1" s="1"/>
  <c r="CR29" i="1"/>
  <c r="DQ29" i="1"/>
  <c r="CG29" i="1"/>
  <c r="CO29" i="1"/>
  <c r="CS29" i="1" s="1"/>
  <c r="BV57" i="1"/>
  <c r="BY57" i="1" s="1"/>
  <c r="CC57" i="1" s="1"/>
  <c r="CR57" i="1" s="1"/>
  <c r="EC57" i="1"/>
  <c r="ED57" i="1" s="1"/>
  <c r="EI57" i="1" s="1"/>
  <c r="EE57" i="1" s="1"/>
  <c r="CB36" i="1"/>
  <c r="CJ36" i="1" s="1"/>
  <c r="DV39" i="1"/>
  <c r="DU39" i="1" s="1"/>
  <c r="CH39" i="1"/>
  <c r="EE49" i="1"/>
  <c r="ED25" i="1"/>
  <c r="EI25" i="1" s="1"/>
  <c r="EE25" i="1" s="1"/>
  <c r="BW25" i="1"/>
  <c r="DS43" i="1"/>
  <c r="DT43" i="1" s="1"/>
  <c r="DY43" i="1" s="1"/>
  <c r="CA42" i="1"/>
  <c r="H12" i="23"/>
  <c r="CB54" i="1"/>
  <c r="CF54" i="1" s="1"/>
  <c r="BW54" i="1"/>
  <c r="ED54" i="1"/>
  <c r="EI54" i="1" s="1"/>
  <c r="EE54" i="1" s="1"/>
  <c r="CF25" i="1"/>
  <c r="DM27" i="1"/>
  <c r="CU27" i="1"/>
  <c r="DC27" i="1" s="1"/>
  <c r="DV58" i="1"/>
  <c r="DU58" i="1" s="1"/>
  <c r="CH58" i="1"/>
  <c r="DO27" i="1"/>
  <c r="CI35" i="1"/>
  <c r="CJ35" i="1" s="1"/>
  <c r="DL57" i="1"/>
  <c r="DM57" i="1" s="1"/>
  <c r="CI41" i="1"/>
  <c r="CB41" i="1"/>
  <c r="CE41" i="1"/>
  <c r="CF41" i="1"/>
  <c r="DI42" i="1"/>
  <c r="DB42" i="1"/>
  <c r="DJ42" i="1" s="1"/>
  <c r="DT47" i="1"/>
  <c r="DY47" i="1" s="1"/>
  <c r="DB31" i="1"/>
  <c r="DJ31" i="1" s="1"/>
  <c r="DI31" i="1"/>
  <c r="P15" i="23"/>
  <c r="R15" i="23" s="1"/>
  <c r="BW34" i="1"/>
  <c r="CD52" i="1"/>
  <c r="CP52" i="1" s="1"/>
  <c r="DN52" i="1"/>
  <c r="CG52" i="1"/>
  <c r="CB40" i="1"/>
  <c r="CB44" i="1"/>
  <c r="CJ44" i="1" s="1"/>
  <c r="ED44" i="1"/>
  <c r="EI44" i="1" s="1"/>
  <c r="EE44" i="1" s="1"/>
  <c r="BW44" i="1"/>
  <c r="ED29" i="1"/>
  <c r="EI29" i="1" s="1"/>
  <c r="EE29" i="1" s="1"/>
  <c r="BW29" i="1"/>
  <c r="DU62" i="1"/>
  <c r="EE46" i="1"/>
  <c r="CU36" i="1"/>
  <c r="DE36" i="1" s="1"/>
  <c r="CT36" i="1"/>
  <c r="CY36" i="1" s="1"/>
  <c r="CZ36" i="1" s="1"/>
  <c r="CV36" i="1"/>
  <c r="CW36" i="1" s="1"/>
  <c r="BV37" i="1"/>
  <c r="BY37" i="1" s="1"/>
  <c r="CC37" i="1" s="1"/>
  <c r="CR37" i="1" s="1"/>
  <c r="EC37" i="1"/>
  <c r="ED37" i="1" s="1"/>
  <c r="EI37" i="1" s="1"/>
  <c r="EE37" i="1" s="1"/>
  <c r="CR35" i="1"/>
  <c r="CU49" i="1"/>
  <c r="DE49" i="1" s="1"/>
  <c r="CT49" i="1"/>
  <c r="CY49" i="1" s="1"/>
  <c r="CZ49" i="1" s="1"/>
  <c r="DI60" i="1"/>
  <c r="DB60" i="1"/>
  <c r="DJ60" i="1" s="1"/>
  <c r="BV60" i="1"/>
  <c r="BY60" i="1" s="1"/>
  <c r="CC60" i="1" s="1"/>
  <c r="EC60" i="1"/>
  <c r="ED60" i="1" s="1"/>
  <c r="EI60" i="1" s="1"/>
  <c r="EE60" i="1" s="1"/>
  <c r="BW37" i="1"/>
  <c r="CO38" i="1"/>
  <c r="CS38" i="1" s="1"/>
  <c r="CR38" i="1"/>
  <c r="CL38" i="1"/>
  <c r="DS38" i="1"/>
  <c r="DT38" i="1" s="1"/>
  <c r="DY38" i="1" s="1"/>
  <c r="BV59" i="1"/>
  <c r="BY59" i="1" s="1"/>
  <c r="CC59" i="1" s="1"/>
  <c r="CO59" i="1" s="1"/>
  <c r="CS59" i="1" s="1"/>
  <c r="EC59" i="1"/>
  <c r="ED59" i="1" s="1"/>
  <c r="EI59" i="1" s="1"/>
  <c r="EE59" i="1" s="1"/>
  <c r="CD42" i="1"/>
  <c r="CP42" i="1"/>
  <c r="DN42" i="1"/>
  <c r="CG42" i="1"/>
  <c r="EE23" i="1"/>
  <c r="DV27" i="1"/>
  <c r="CH27" i="1"/>
  <c r="CF35" i="1"/>
  <c r="CO63" i="1"/>
  <c r="CS63" i="1" s="1"/>
  <c r="CL63" i="1"/>
  <c r="CR63" i="1"/>
  <c r="DS63" i="1"/>
  <c r="DI63" i="1"/>
  <c r="DB63" i="1"/>
  <c r="DJ63" i="1" s="1"/>
  <c r="DL53" i="1"/>
  <c r="DM53" i="1" s="1"/>
  <c r="DI22" i="1"/>
  <c r="DB22" i="1"/>
  <c r="DJ22" i="1" s="1"/>
  <c r="CP41" i="1"/>
  <c r="CT41" i="1" s="1"/>
  <c r="CD41" i="1"/>
  <c r="DT41" i="1" s="1"/>
  <c r="DY41" i="1" s="1"/>
  <c r="DN41" i="1"/>
  <c r="DO41" i="1" s="1"/>
  <c r="DQ41" i="1"/>
  <c r="DR41" i="1" s="1"/>
  <c r="DX41" i="1" s="1"/>
  <c r="CG41" i="1"/>
  <c r="DL31" i="1"/>
  <c r="DM31" i="1" s="1"/>
  <c r="CB28" i="1"/>
  <c r="ED38" i="1"/>
  <c r="EI38" i="1" s="1"/>
  <c r="EE38" i="1" s="1"/>
  <c r="CJ47" i="1"/>
  <c r="CB58" i="1"/>
  <c r="CJ58" i="1" s="1"/>
  <c r="CF58" i="1"/>
  <c r="BW58" i="1"/>
  <c r="ED58" i="1"/>
  <c r="EI58" i="1" s="1"/>
  <c r="EE58" i="1" s="1"/>
  <c r="DV25" i="1"/>
  <c r="CH25" i="1"/>
  <c r="DT25" i="1"/>
  <c r="DY25" i="1" s="1"/>
  <c r="EE41" i="1"/>
  <c r="DV36" i="1"/>
  <c r="DU36" i="1" s="1"/>
  <c r="CH36" i="1"/>
  <c r="DS35" i="1"/>
  <c r="DT35" i="1" s="1"/>
  <c r="DY35" i="1" s="1"/>
  <c r="EE62" i="1"/>
  <c r="CI43" i="1"/>
  <c r="CJ43" i="1" s="1"/>
  <c r="CB43" i="1"/>
  <c r="CF43" i="1" s="1"/>
  <c r="CE43" i="1"/>
  <c r="CI64" i="1"/>
  <c r="CB64" i="1"/>
  <c r="CF64" i="1" s="1"/>
  <c r="CE64" i="1"/>
  <c r="CB49" i="1"/>
  <c r="CF49" i="1" s="1"/>
  <c r="CB39" i="1"/>
  <c r="CJ39" i="1" s="1"/>
  <c r="ED39" i="1"/>
  <c r="EI39" i="1" s="1"/>
  <c r="EE39" i="1" s="1"/>
  <c r="BW39" i="1"/>
  <c r="BV45" i="1"/>
  <c r="BY45" i="1" s="1"/>
  <c r="CC45" i="1" s="1"/>
  <c r="EC45" i="1"/>
  <c r="ED45" i="1" s="1"/>
  <c r="EI45" i="1" s="1"/>
  <c r="EE45" i="1" s="1"/>
  <c r="EE64" i="1"/>
  <c r="DR52" i="1"/>
  <c r="DX52" i="1" s="1"/>
  <c r="DL59" i="1"/>
  <c r="DM59" i="1" s="1"/>
  <c r="BW49" i="1"/>
  <c r="CU43" i="1"/>
  <c r="DE43" i="1" s="1"/>
  <c r="DG43" i="1" s="1"/>
  <c r="CT43" i="1"/>
  <c r="CY43" i="1" s="1"/>
  <c r="CZ43" i="1" s="1"/>
  <c r="BV48" i="1"/>
  <c r="BY48" i="1" s="1"/>
  <c r="CC48" i="1" s="1"/>
  <c r="EC48" i="1"/>
  <c r="ED48" i="1" s="1"/>
  <c r="EI48" i="1" s="1"/>
  <c r="EE48" i="1" s="1"/>
  <c r="DT27" i="1"/>
  <c r="DY27" i="1" s="1"/>
  <c r="CP27" i="1"/>
  <c r="CT27" i="1" s="1"/>
  <c r="BV22" i="1"/>
  <c r="BY22" i="1" s="1"/>
  <c r="CC22" i="1" s="1"/>
  <c r="CO22" i="1" s="1"/>
  <c r="EC22" i="1"/>
  <c r="ED22" i="1" s="1"/>
  <c r="EI22" i="1" s="1"/>
  <c r="EE22" i="1" s="1"/>
  <c r="DI37" i="1"/>
  <c r="DB37" i="1"/>
  <c r="DJ37" i="1" s="1"/>
  <c r="DQ42" i="1"/>
  <c r="CU47" i="1"/>
  <c r="DE47" i="1" s="1"/>
  <c r="CT47" i="1"/>
  <c r="CY47" i="1" s="1"/>
  <c r="CZ47" i="1" s="1"/>
  <c r="CA38" i="1"/>
  <c r="ED52" i="1"/>
  <c r="EI52" i="1" s="1"/>
  <c r="EE52" i="1" s="1"/>
  <c r="CF40" i="1"/>
  <c r="CJ62" i="1"/>
  <c r="CB29" i="1"/>
  <c r="CF29" i="1" s="1"/>
  <c r="CJ29" i="1" l="1"/>
  <c r="DO38" i="1"/>
  <c r="CA56" i="1"/>
  <c r="CA31" i="1"/>
  <c r="CJ50" i="1"/>
  <c r="CH50" i="1"/>
  <c r="DV50" i="1"/>
  <c r="CP50" i="1"/>
  <c r="CT50" i="1" s="1"/>
  <c r="CY50" i="1" s="1"/>
  <c r="CZ50" i="1" s="1"/>
  <c r="CE30" i="1"/>
  <c r="CI30" i="1"/>
  <c r="CD28" i="1"/>
  <c r="CO28" i="1"/>
  <c r="CS28" i="1" s="1"/>
  <c r="DS28" i="1"/>
  <c r="DQ28" i="1"/>
  <c r="DR28" i="1" s="1"/>
  <c r="DX28" i="1" s="1"/>
  <c r="CR28" i="1"/>
  <c r="DN28" i="1"/>
  <c r="CG28" i="1"/>
  <c r="CL28" i="1"/>
  <c r="DT50" i="1"/>
  <c r="DY50" i="1" s="1"/>
  <c r="CI40" i="1"/>
  <c r="CE40" i="1"/>
  <c r="CA51" i="1"/>
  <c r="CE55" i="1"/>
  <c r="CB55" i="1"/>
  <c r="CJ55" i="1" s="1"/>
  <c r="CF55" i="1"/>
  <c r="CI28" i="1"/>
  <c r="CJ28" i="1" s="1"/>
  <c r="CE28" i="1"/>
  <c r="CF32" i="1"/>
  <c r="CE32" i="1"/>
  <c r="CI32" i="1"/>
  <c r="DN51" i="1"/>
  <c r="CG51" i="1"/>
  <c r="CD51" i="1"/>
  <c r="DS51" i="1"/>
  <c r="CO51" i="1"/>
  <c r="CS51" i="1" s="1"/>
  <c r="DQ51" i="1"/>
  <c r="DR51" i="1" s="1"/>
  <c r="DX51" i="1" s="1"/>
  <c r="CF39" i="1"/>
  <c r="DU25" i="1"/>
  <c r="DO52" i="1"/>
  <c r="DR29" i="1"/>
  <c r="DX29" i="1" s="1"/>
  <c r="CJ27" i="1"/>
  <c r="CB30" i="1"/>
  <c r="CF30" i="1" s="1"/>
  <c r="DR50" i="1"/>
  <c r="DX50" i="1" s="1"/>
  <c r="CC26" i="1"/>
  <c r="CA26" i="1"/>
  <c r="CR51" i="1"/>
  <c r="DO50" i="1"/>
  <c r="CO32" i="1"/>
  <c r="CS32" i="1" s="1"/>
  <c r="DS32" i="1"/>
  <c r="CG32" i="1"/>
  <c r="CR32" i="1"/>
  <c r="DQ32" i="1"/>
  <c r="CL32" i="1"/>
  <c r="CD32" i="1"/>
  <c r="DN32" i="1"/>
  <c r="CJ64" i="1"/>
  <c r="CA45" i="1"/>
  <c r="CL59" i="1"/>
  <c r="CF36" i="1"/>
  <c r="CP29" i="1"/>
  <c r="CA23" i="1"/>
  <c r="CF23" i="1" s="1"/>
  <c r="CA53" i="1"/>
  <c r="CE53" i="1" s="1"/>
  <c r="CV58" i="1"/>
  <c r="CW58" i="1" s="1"/>
  <c r="DD58" i="1" s="1"/>
  <c r="CI54" i="1"/>
  <c r="CO54" i="1"/>
  <c r="CS54" i="1" s="1"/>
  <c r="CL54" i="1"/>
  <c r="DN54" i="1"/>
  <c r="DO54" i="1" s="1"/>
  <c r="CD54" i="1"/>
  <c r="CP54" i="1"/>
  <c r="CG54" i="1"/>
  <c r="CR54" i="1"/>
  <c r="DS54" i="1"/>
  <c r="DT54" i="1" s="1"/>
  <c r="DY54" i="1" s="1"/>
  <c r="DQ54" i="1"/>
  <c r="DR54" i="1" s="1"/>
  <c r="DX54" i="1" s="1"/>
  <c r="CD30" i="1"/>
  <c r="DN30" i="1"/>
  <c r="DO30" i="1" s="1"/>
  <c r="CL30" i="1"/>
  <c r="CG30" i="1"/>
  <c r="CO30" i="1"/>
  <c r="CS30" i="1" s="1"/>
  <c r="DS30" i="1"/>
  <c r="CR30" i="1"/>
  <c r="DQ30" i="1"/>
  <c r="DR30" i="1" s="1"/>
  <c r="DX30" i="1" s="1"/>
  <c r="DN40" i="1"/>
  <c r="DO40" i="1" s="1"/>
  <c r="CL40" i="1"/>
  <c r="CO40" i="1"/>
  <c r="CS40" i="1" s="1"/>
  <c r="DS40" i="1"/>
  <c r="DT40" i="1" s="1"/>
  <c r="DY40" i="1" s="1"/>
  <c r="CG40" i="1"/>
  <c r="CR40" i="1"/>
  <c r="CD40" i="1"/>
  <c r="DQ40" i="1"/>
  <c r="DR40" i="1" s="1"/>
  <c r="DX40" i="1" s="1"/>
  <c r="CT55" i="1"/>
  <c r="CY27" i="1"/>
  <c r="CZ27" i="1" s="1"/>
  <c r="CV27" i="1"/>
  <c r="CW27" i="1" s="1"/>
  <c r="CY41" i="1"/>
  <c r="CZ41" i="1" s="1"/>
  <c r="CV41" i="1"/>
  <c r="CW41" i="1" s="1"/>
  <c r="CU59" i="1"/>
  <c r="DE59" i="1" s="1"/>
  <c r="CD48" i="1"/>
  <c r="DN48" i="1"/>
  <c r="DO48" i="1" s="1"/>
  <c r="DQ48" i="1"/>
  <c r="DR48" i="1" s="1"/>
  <c r="DX48" i="1" s="1"/>
  <c r="CG48" i="1"/>
  <c r="CU38" i="1"/>
  <c r="DC38" i="1" s="1"/>
  <c r="CT38" i="1"/>
  <c r="CY38" i="1" s="1"/>
  <c r="CZ38" i="1" s="1"/>
  <c r="CI42" i="1"/>
  <c r="CJ42" i="1" s="1"/>
  <c r="CB42" i="1"/>
  <c r="CF42" i="1"/>
  <c r="CE42" i="1"/>
  <c r="CR48" i="1"/>
  <c r="CU35" i="1"/>
  <c r="CI23" i="1"/>
  <c r="CB23" i="1"/>
  <c r="CE23" i="1"/>
  <c r="CL37" i="1"/>
  <c r="CI53" i="1"/>
  <c r="CB53" i="1"/>
  <c r="CF53" i="1" s="1"/>
  <c r="DV64" i="1"/>
  <c r="CH64" i="1"/>
  <c r="CT52" i="1"/>
  <c r="CY52" i="1" s="1"/>
  <c r="CZ52" i="1" s="1"/>
  <c r="CV52" i="1"/>
  <c r="CW52" i="1" s="1"/>
  <c r="CU52" i="1"/>
  <c r="DC52" i="1" s="1"/>
  <c r="CX58" i="1"/>
  <c r="DV35" i="1"/>
  <c r="CH35" i="1"/>
  <c r="CO57" i="1"/>
  <c r="CS57" i="1" s="1"/>
  <c r="DU24" i="1"/>
  <c r="CP46" i="1"/>
  <c r="CD46" i="1"/>
  <c r="DN46" i="1"/>
  <c r="CL46" i="1"/>
  <c r="DS46" i="1"/>
  <c r="DT46" i="1" s="1"/>
  <c r="DY46" i="1" s="1"/>
  <c r="CR46" i="1"/>
  <c r="CG46" i="1"/>
  <c r="DQ46" i="1"/>
  <c r="DR46" i="1" s="1"/>
  <c r="DX46" i="1" s="1"/>
  <c r="CO46" i="1"/>
  <c r="CS46" i="1" s="1"/>
  <c r="DD44" i="1"/>
  <c r="CX44" i="1"/>
  <c r="DF36" i="1"/>
  <c r="CX36" i="1"/>
  <c r="CI45" i="1"/>
  <c r="CB45" i="1"/>
  <c r="CF45" i="1" s="1"/>
  <c r="CE45" i="1"/>
  <c r="DU27" i="1"/>
  <c r="DV42" i="1"/>
  <c r="CH42" i="1"/>
  <c r="CA60" i="1"/>
  <c r="CV49" i="1"/>
  <c r="CW49" i="1" s="1"/>
  <c r="CA57" i="1"/>
  <c r="DS48" i="1"/>
  <c r="DT48" i="1" s="1"/>
  <c r="DY48" i="1" s="1"/>
  <c r="CU31" i="1"/>
  <c r="DE31" i="1" s="1"/>
  <c r="CA63" i="1"/>
  <c r="CA33" i="1"/>
  <c r="CP23" i="1"/>
  <c r="CD23" i="1"/>
  <c r="DN23" i="1"/>
  <c r="CR23" i="1"/>
  <c r="DS23" i="1"/>
  <c r="DT23" i="1" s="1"/>
  <c r="DY23" i="1" s="1"/>
  <c r="CL23" i="1"/>
  <c r="CG23" i="1"/>
  <c r="DQ23" i="1"/>
  <c r="DR23" i="1" s="1"/>
  <c r="DX23" i="1" s="1"/>
  <c r="CO23" i="1"/>
  <c r="CS23" i="1" s="1"/>
  <c r="CO37" i="1"/>
  <c r="CS37" i="1" s="1"/>
  <c r="DV38" i="1"/>
  <c r="CH38" i="1"/>
  <c r="CD53" i="1"/>
  <c r="CP53" i="1" s="1"/>
  <c r="DN53" i="1"/>
  <c r="CG53" i="1"/>
  <c r="DQ53" i="1"/>
  <c r="CV50" i="1"/>
  <c r="CW50" i="1" s="1"/>
  <c r="DU47" i="1"/>
  <c r="CT42" i="1"/>
  <c r="CY42" i="1" s="1"/>
  <c r="CZ42" i="1" s="1"/>
  <c r="CU42" i="1"/>
  <c r="DE42" i="1" s="1"/>
  <c r="DG42" i="1" s="1"/>
  <c r="DT52" i="1"/>
  <c r="DY52" i="1" s="1"/>
  <c r="DT64" i="1"/>
  <c r="DY64" i="1" s="1"/>
  <c r="DR35" i="1"/>
  <c r="DX35" i="1" s="1"/>
  <c r="DR38" i="1"/>
  <c r="DX38" i="1" s="1"/>
  <c r="CD22" i="1"/>
  <c r="CP22" i="1" s="1"/>
  <c r="DN22" i="1"/>
  <c r="DS22" i="1"/>
  <c r="CS22" i="1"/>
  <c r="CL22" i="1"/>
  <c r="DQ22" i="1"/>
  <c r="CR22" i="1"/>
  <c r="CG22" i="1"/>
  <c r="CJ49" i="1"/>
  <c r="CD57" i="1"/>
  <c r="CP57" i="1" s="1"/>
  <c r="DN57" i="1"/>
  <c r="CG57" i="1"/>
  <c r="DQ57" i="1"/>
  <c r="DR57" i="1" s="1"/>
  <c r="DX57" i="1" s="1"/>
  <c r="CL48" i="1"/>
  <c r="CD63" i="1"/>
  <c r="CP63" i="1" s="1"/>
  <c r="CT63" i="1" s="1"/>
  <c r="CG63" i="1"/>
  <c r="DN63" i="1"/>
  <c r="DO63" i="1" s="1"/>
  <c r="DQ63" i="1"/>
  <c r="CD33" i="1"/>
  <c r="CP33" i="1"/>
  <c r="DN33" i="1"/>
  <c r="DO33" i="1" s="1"/>
  <c r="CG33" i="1"/>
  <c r="CO33" i="1"/>
  <c r="CS33" i="1" s="1"/>
  <c r="CL33" i="1"/>
  <c r="DQ33" i="1"/>
  <c r="DR33" i="1" s="1"/>
  <c r="DX33" i="1" s="1"/>
  <c r="DS33" i="1"/>
  <c r="CR33" i="1"/>
  <c r="DD39" i="1"/>
  <c r="CX39" i="1"/>
  <c r="CI52" i="1"/>
  <c r="CB52" i="1"/>
  <c r="CE52" i="1"/>
  <c r="CF52" i="1"/>
  <c r="DO64" i="1"/>
  <c r="CB34" i="1"/>
  <c r="CI34" i="1"/>
  <c r="CF34" i="1"/>
  <c r="CE34" i="1"/>
  <c r="DT42" i="1"/>
  <c r="DY42" i="1" s="1"/>
  <c r="CI56" i="1"/>
  <c r="CB56" i="1"/>
  <c r="CE56" i="1"/>
  <c r="CF56" i="1"/>
  <c r="CI31" i="1"/>
  <c r="CB31" i="1"/>
  <c r="CE31" i="1"/>
  <c r="CF31" i="1"/>
  <c r="DO35" i="1"/>
  <c r="DS57" i="1"/>
  <c r="DF61" i="1"/>
  <c r="CX61" i="1"/>
  <c r="DD25" i="1"/>
  <c r="CX25" i="1"/>
  <c r="CF28" i="1"/>
  <c r="CD59" i="1"/>
  <c r="DN59" i="1"/>
  <c r="DO59" i="1" s="1"/>
  <c r="CG59" i="1"/>
  <c r="DQ59" i="1"/>
  <c r="CV47" i="1"/>
  <c r="CW47" i="1" s="1"/>
  <c r="CI38" i="1"/>
  <c r="CB38" i="1"/>
  <c r="CF38" i="1" s="1"/>
  <c r="CE38" i="1"/>
  <c r="CD45" i="1"/>
  <c r="CP45" i="1" s="1"/>
  <c r="DN45" i="1"/>
  <c r="CG45" i="1"/>
  <c r="CL45" i="1"/>
  <c r="DQ45" i="1"/>
  <c r="DS45" i="1"/>
  <c r="CR45" i="1"/>
  <c r="CO45" i="1"/>
  <c r="CS45" i="1" s="1"/>
  <c r="CR59" i="1"/>
  <c r="CU63" i="1"/>
  <c r="DE63" i="1" s="1"/>
  <c r="CD60" i="1"/>
  <c r="CP60" i="1"/>
  <c r="DN60" i="1"/>
  <c r="DO60" i="1" s="1"/>
  <c r="CG60" i="1"/>
  <c r="DQ60" i="1"/>
  <c r="DR60" i="1" s="1"/>
  <c r="DX60" i="1" s="1"/>
  <c r="DS60" i="1"/>
  <c r="DT60" i="1" s="1"/>
  <c r="DY60" i="1" s="1"/>
  <c r="CL60" i="1"/>
  <c r="CO60" i="1"/>
  <c r="CS60" i="1" s="1"/>
  <c r="CR60" i="1"/>
  <c r="CD37" i="1"/>
  <c r="CP37" i="1" s="1"/>
  <c r="DN37" i="1"/>
  <c r="DO37" i="1" s="1"/>
  <c r="CG37" i="1"/>
  <c r="DQ37" i="1"/>
  <c r="DR42" i="1"/>
  <c r="DX42" i="1" s="1"/>
  <c r="CA22" i="1"/>
  <c r="CA48" i="1"/>
  <c r="CV43" i="1"/>
  <c r="CW43" i="1" s="1"/>
  <c r="DS59" i="1"/>
  <c r="DT59" i="1" s="1"/>
  <c r="DY59" i="1" s="1"/>
  <c r="DV41" i="1"/>
  <c r="DU41" i="1" s="1"/>
  <c r="CH41" i="1"/>
  <c r="DT63" i="1"/>
  <c r="DY63" i="1" s="1"/>
  <c r="DO42" i="1"/>
  <c r="CA59" i="1"/>
  <c r="CA37" i="1"/>
  <c r="CF44" i="1"/>
  <c r="DV52" i="1"/>
  <c r="DU52" i="1" s="1"/>
  <c r="CH52" i="1"/>
  <c r="CJ41" i="1"/>
  <c r="CT29" i="1"/>
  <c r="CY29" i="1" s="1"/>
  <c r="CZ29" i="1" s="1"/>
  <c r="CU29" i="1"/>
  <c r="DC29" i="1" s="1"/>
  <c r="DV29" i="1"/>
  <c r="DU29" i="1" s="1"/>
  <c r="CH29" i="1"/>
  <c r="CO48" i="1"/>
  <c r="CS48" i="1" s="1"/>
  <c r="CO53" i="1"/>
  <c r="CS53" i="1" s="1"/>
  <c r="CV62" i="1"/>
  <c r="CW62" i="1" s="1"/>
  <c r="DS37" i="1"/>
  <c r="CV24" i="1"/>
  <c r="CW24" i="1" s="1"/>
  <c r="CP64" i="1"/>
  <c r="CT64" i="1" s="1"/>
  <c r="DV43" i="1"/>
  <c r="DU43" i="1" s="1"/>
  <c r="CH43" i="1"/>
  <c r="CD34" i="1"/>
  <c r="CP34" i="1" s="1"/>
  <c r="DN34" i="1"/>
  <c r="CG34" i="1"/>
  <c r="CL34" i="1"/>
  <c r="DS34" i="1"/>
  <c r="DT34" i="1" s="1"/>
  <c r="DY34" i="1" s="1"/>
  <c r="DQ34" i="1"/>
  <c r="CO34" i="1"/>
  <c r="CS34" i="1" s="1"/>
  <c r="CR34" i="1"/>
  <c r="CD56" i="1"/>
  <c r="CP56" i="1" s="1"/>
  <c r="DN56" i="1"/>
  <c r="CG56" i="1"/>
  <c r="CO56" i="1"/>
  <c r="CS56" i="1" s="1"/>
  <c r="CL56" i="1"/>
  <c r="CR56" i="1"/>
  <c r="DS56" i="1"/>
  <c r="DQ56" i="1"/>
  <c r="CD31" i="1"/>
  <c r="CP31" i="1" s="1"/>
  <c r="CT31" i="1" s="1"/>
  <c r="DN31" i="1"/>
  <c r="DQ31" i="1"/>
  <c r="CG31" i="1"/>
  <c r="CP35" i="1"/>
  <c r="CT35" i="1" s="1"/>
  <c r="CL57" i="1"/>
  <c r="CA46" i="1"/>
  <c r="CY55" i="1" l="1"/>
  <c r="CZ55" i="1" s="1"/>
  <c r="CV55" i="1"/>
  <c r="CW55" i="1" s="1"/>
  <c r="CT30" i="1"/>
  <c r="CU30" i="1"/>
  <c r="DE30" i="1" s="1"/>
  <c r="DO32" i="1"/>
  <c r="CU32" i="1"/>
  <c r="DE32" i="1" s="1"/>
  <c r="CT32" i="1"/>
  <c r="CY32" i="1" s="1"/>
  <c r="CZ32" i="1" s="1"/>
  <c r="DN26" i="1"/>
  <c r="CR26" i="1"/>
  <c r="DS26" i="1"/>
  <c r="DT26" i="1" s="1"/>
  <c r="DY26" i="1" s="1"/>
  <c r="DQ26" i="1"/>
  <c r="CG26" i="1"/>
  <c r="CD26" i="1"/>
  <c r="CL26" i="1"/>
  <c r="CO26" i="1"/>
  <c r="CS26" i="1" s="1"/>
  <c r="DT51" i="1"/>
  <c r="DY51" i="1" s="1"/>
  <c r="CJ32" i="1"/>
  <c r="CE51" i="1"/>
  <c r="CI51" i="1"/>
  <c r="CB51" i="1"/>
  <c r="CF51" i="1" s="1"/>
  <c r="DV28" i="1"/>
  <c r="DU28" i="1" s="1"/>
  <c r="CH28" i="1"/>
  <c r="DU50" i="1"/>
  <c r="DR53" i="1"/>
  <c r="DX53" i="1" s="1"/>
  <c r="DV30" i="1"/>
  <c r="CH30" i="1"/>
  <c r="CH32" i="1"/>
  <c r="DV32" i="1"/>
  <c r="DV51" i="1"/>
  <c r="DU51" i="1" s="1"/>
  <c r="CH51" i="1"/>
  <c r="CJ30" i="1"/>
  <c r="CJ38" i="1"/>
  <c r="DT57" i="1"/>
  <c r="DY57" i="1" s="1"/>
  <c r="CP40" i="1"/>
  <c r="DV40" i="1"/>
  <c r="DU40" i="1" s="1"/>
  <c r="CH40" i="1"/>
  <c r="CU40" i="1"/>
  <c r="DC40" i="1" s="1"/>
  <c r="CT40" i="1"/>
  <c r="CP30" i="1"/>
  <c r="CT54" i="1"/>
  <c r="CY54" i="1" s="1"/>
  <c r="CZ54" i="1" s="1"/>
  <c r="CV54" i="1"/>
  <c r="CW54" i="1" s="1"/>
  <c r="CU54" i="1"/>
  <c r="DC54" i="1" s="1"/>
  <c r="CP32" i="1"/>
  <c r="CP51" i="1"/>
  <c r="CJ40" i="1"/>
  <c r="CP28" i="1"/>
  <c r="CT28" i="1" s="1"/>
  <c r="DT28" i="1"/>
  <c r="DY28" i="1" s="1"/>
  <c r="DR56" i="1"/>
  <c r="DX56" i="1" s="1"/>
  <c r="DR31" i="1"/>
  <c r="DX31" i="1" s="1"/>
  <c r="DT37" i="1"/>
  <c r="DY37" i="1" s="1"/>
  <c r="DR37" i="1"/>
  <c r="DX37" i="1" s="1"/>
  <c r="DR59" i="1"/>
  <c r="DX59" i="1" s="1"/>
  <c r="DT30" i="1"/>
  <c r="DY30" i="1" s="1"/>
  <c r="CH54" i="1"/>
  <c r="DV54" i="1"/>
  <c r="DU54" i="1" s="1"/>
  <c r="CJ54" i="1"/>
  <c r="DR32" i="1"/>
  <c r="DX32" i="1" s="1"/>
  <c r="DT32" i="1"/>
  <c r="DY32" i="1" s="1"/>
  <c r="CI26" i="1"/>
  <c r="CB26" i="1"/>
  <c r="CF26" i="1" s="1"/>
  <c r="CE26" i="1"/>
  <c r="CT51" i="1"/>
  <c r="CU51" i="1"/>
  <c r="DC51" i="1" s="1"/>
  <c r="DO51" i="1"/>
  <c r="DO28" i="1"/>
  <c r="CU28" i="1"/>
  <c r="DC28" i="1" s="1"/>
  <c r="CY31" i="1"/>
  <c r="CZ31" i="1" s="1"/>
  <c r="CV31" i="1"/>
  <c r="CW31" i="1" s="1"/>
  <c r="CY35" i="1"/>
  <c r="CZ35" i="1" s="1"/>
  <c r="CV35" i="1"/>
  <c r="CW35" i="1" s="1"/>
  <c r="CX35" i="1" s="1"/>
  <c r="CY63" i="1"/>
  <c r="CZ63" i="1" s="1"/>
  <c r="CV63" i="1"/>
  <c r="CW63" i="1" s="1"/>
  <c r="CI46" i="1"/>
  <c r="CB46" i="1"/>
  <c r="CF46" i="1" s="1"/>
  <c r="CE46" i="1"/>
  <c r="CU34" i="1"/>
  <c r="DE34" i="1" s="1"/>
  <c r="CT34" i="1"/>
  <c r="CY34" i="1" s="1"/>
  <c r="CZ34" i="1" s="1"/>
  <c r="DO56" i="1"/>
  <c r="CY64" i="1"/>
  <c r="CZ64" i="1" s="1"/>
  <c r="CV64" i="1"/>
  <c r="CW64" i="1" s="1"/>
  <c r="DT31" i="1"/>
  <c r="DY31" i="1" s="1"/>
  <c r="DF24" i="1"/>
  <c r="CX24" i="1"/>
  <c r="DF62" i="1"/>
  <c r="CX62" i="1"/>
  <c r="CI37" i="1"/>
  <c r="CB37" i="1"/>
  <c r="CF37" i="1" s="1"/>
  <c r="CE37" i="1"/>
  <c r="CI48" i="1"/>
  <c r="CB48" i="1"/>
  <c r="CF48" i="1" s="1"/>
  <c r="CE48" i="1"/>
  <c r="DV60" i="1"/>
  <c r="DU60" i="1" s="1"/>
  <c r="CH60" i="1"/>
  <c r="DR45" i="1"/>
  <c r="DX45" i="1" s="1"/>
  <c r="CJ31" i="1"/>
  <c r="CJ56" i="1"/>
  <c r="CJ52" i="1"/>
  <c r="DT33" i="1"/>
  <c r="DY33" i="1" s="1"/>
  <c r="DR63" i="1"/>
  <c r="DX63" i="1" s="1"/>
  <c r="DO57" i="1"/>
  <c r="CV42" i="1"/>
  <c r="CW42" i="1" s="1"/>
  <c r="CU37" i="1"/>
  <c r="DE37" i="1" s="1"/>
  <c r="CT37" i="1"/>
  <c r="CY37" i="1" s="1"/>
  <c r="CZ37" i="1" s="1"/>
  <c r="DV23" i="1"/>
  <c r="DU23" i="1" s="1"/>
  <c r="CH23" i="1"/>
  <c r="DV46" i="1"/>
  <c r="DU46" i="1" s="1"/>
  <c r="CH46" i="1"/>
  <c r="CJ23" i="1"/>
  <c r="DV48" i="1"/>
  <c r="DU48" i="1" s="1"/>
  <c r="CH48" i="1"/>
  <c r="DF41" i="1"/>
  <c r="DH41" i="1" s="1"/>
  <c r="CX41" i="1"/>
  <c r="CT60" i="1"/>
  <c r="CY60" i="1" s="1"/>
  <c r="CZ60" i="1" s="1"/>
  <c r="CV60" i="1"/>
  <c r="CW60" i="1" s="1"/>
  <c r="CU60" i="1"/>
  <c r="DE60" i="1" s="1"/>
  <c r="CT45" i="1"/>
  <c r="CY45" i="1" s="1"/>
  <c r="CZ45" i="1" s="1"/>
  <c r="CV45" i="1"/>
  <c r="CW45" i="1" s="1"/>
  <c r="CU45" i="1"/>
  <c r="DC45" i="1" s="1"/>
  <c r="DV45" i="1"/>
  <c r="CH45" i="1"/>
  <c r="CT22" i="1"/>
  <c r="CY22" i="1" s="1"/>
  <c r="CZ22" i="1" s="1"/>
  <c r="CU22" i="1"/>
  <c r="DE22" i="1" s="1"/>
  <c r="DV22" i="1"/>
  <c r="CH22" i="1"/>
  <c r="CH53" i="1"/>
  <c r="DV53" i="1"/>
  <c r="CU23" i="1"/>
  <c r="DE23" i="1" s="1"/>
  <c r="CT23" i="1"/>
  <c r="CY23" i="1" s="1"/>
  <c r="CZ23" i="1" s="1"/>
  <c r="CI57" i="1"/>
  <c r="CB57" i="1"/>
  <c r="CF57" i="1" s="1"/>
  <c r="CE57" i="1"/>
  <c r="DU42" i="1"/>
  <c r="CU46" i="1"/>
  <c r="DE46" i="1" s="1"/>
  <c r="CT46" i="1"/>
  <c r="CY46" i="1" s="1"/>
  <c r="CZ46" i="1" s="1"/>
  <c r="DU35" i="1"/>
  <c r="DD52" i="1"/>
  <c r="CX52" i="1"/>
  <c r="DV56" i="1"/>
  <c r="CH56" i="1"/>
  <c r="CV53" i="1"/>
  <c r="CW53" i="1" s="1"/>
  <c r="CU53" i="1"/>
  <c r="DC53" i="1" s="1"/>
  <c r="CT53" i="1"/>
  <c r="CY53" i="1" s="1"/>
  <c r="CZ53" i="1" s="1"/>
  <c r="CI59" i="1"/>
  <c r="CB59" i="1"/>
  <c r="CF59" i="1" s="1"/>
  <c r="CE59" i="1"/>
  <c r="CI22" i="1"/>
  <c r="CB22" i="1"/>
  <c r="CF22" i="1"/>
  <c r="CE22" i="1"/>
  <c r="DO31" i="1"/>
  <c r="DT56" i="1"/>
  <c r="DY56" i="1" s="1"/>
  <c r="DR34" i="1"/>
  <c r="DX34" i="1" s="1"/>
  <c r="DO34" i="1"/>
  <c r="CU48" i="1"/>
  <c r="DE48" i="1" s="1"/>
  <c r="CV29" i="1"/>
  <c r="CW29" i="1" s="1"/>
  <c r="DF47" i="1"/>
  <c r="CX47" i="1"/>
  <c r="DV59" i="1"/>
  <c r="DU59" i="1" s="1"/>
  <c r="CH59" i="1"/>
  <c r="CJ34" i="1"/>
  <c r="DV57" i="1"/>
  <c r="DU57" i="1" s="1"/>
  <c r="CH57" i="1"/>
  <c r="DT22" i="1"/>
  <c r="DY22" i="1" s="1"/>
  <c r="CI33" i="1"/>
  <c r="CB33" i="1"/>
  <c r="CF33" i="1" s="1"/>
  <c r="CE33" i="1"/>
  <c r="DF49" i="1"/>
  <c r="CX49" i="1"/>
  <c r="CJ45" i="1"/>
  <c r="DD27" i="1"/>
  <c r="CX27" i="1"/>
  <c r="CT56" i="1"/>
  <c r="CY56" i="1" s="1"/>
  <c r="CZ56" i="1" s="1"/>
  <c r="CV56" i="1"/>
  <c r="CW56" i="1" s="1"/>
  <c r="CU56" i="1"/>
  <c r="DC56" i="1" s="1"/>
  <c r="DV31" i="1"/>
  <c r="DU31" i="1" s="1"/>
  <c r="CH31" i="1"/>
  <c r="DV34" i="1"/>
  <c r="CH34" i="1"/>
  <c r="DF43" i="1"/>
  <c r="DH43" i="1" s="1"/>
  <c r="CX43" i="1"/>
  <c r="DV37" i="1"/>
  <c r="DU37" i="1" s="1"/>
  <c r="CH37" i="1"/>
  <c r="DT45" i="1"/>
  <c r="DY45" i="1" s="1"/>
  <c r="DO45" i="1"/>
  <c r="CP59" i="1"/>
  <c r="CT59" i="1" s="1"/>
  <c r="CV33" i="1"/>
  <c r="CW33" i="1" s="1"/>
  <c r="CU33" i="1"/>
  <c r="DE33" i="1" s="1"/>
  <c r="CT33" i="1"/>
  <c r="CY33" i="1" s="1"/>
  <c r="CZ33" i="1" s="1"/>
  <c r="DV33" i="1"/>
  <c r="CH33" i="1"/>
  <c r="DV63" i="1"/>
  <c r="DU63" i="1" s="1"/>
  <c r="CH63" i="1"/>
  <c r="DR22" i="1"/>
  <c r="DX22" i="1" s="1"/>
  <c r="DO22" i="1"/>
  <c r="DF50" i="1"/>
  <c r="CX50" i="1"/>
  <c r="DO53" i="1"/>
  <c r="DU38" i="1"/>
  <c r="DO23" i="1"/>
  <c r="CI63" i="1"/>
  <c r="CB63" i="1"/>
  <c r="CF63" i="1" s="1"/>
  <c r="CE63" i="1"/>
  <c r="DT53" i="1"/>
  <c r="DY53" i="1" s="1"/>
  <c r="CI60" i="1"/>
  <c r="CB60" i="1"/>
  <c r="CF60" i="1" s="1"/>
  <c r="CE60" i="1"/>
  <c r="DO46" i="1"/>
  <c r="CU57" i="1"/>
  <c r="DC57" i="1" s="1"/>
  <c r="CT57" i="1"/>
  <c r="CY57" i="1" s="1"/>
  <c r="CZ57" i="1" s="1"/>
  <c r="DU64" i="1"/>
  <c r="CJ53" i="1"/>
  <c r="CV38" i="1"/>
  <c r="CW38" i="1" s="1"/>
  <c r="CP48" i="1"/>
  <c r="CT48" i="1" s="1"/>
  <c r="CY28" i="1" l="1"/>
  <c r="CZ28" i="1" s="1"/>
  <c r="CV28" i="1"/>
  <c r="CW28" i="1" s="1"/>
  <c r="CY51" i="1"/>
  <c r="CZ51" i="1" s="1"/>
  <c r="CV51" i="1"/>
  <c r="CW51" i="1" s="1"/>
  <c r="CY40" i="1"/>
  <c r="CZ40" i="1" s="1"/>
  <c r="CV40" i="1"/>
  <c r="CW40" i="1" s="1"/>
  <c r="CX54" i="1"/>
  <c r="DD54" i="1"/>
  <c r="DU30" i="1"/>
  <c r="DV26" i="1"/>
  <c r="CH26" i="1"/>
  <c r="CY30" i="1"/>
  <c r="CZ30" i="1" s="1"/>
  <c r="CV30" i="1"/>
  <c r="CW30" i="1" s="1"/>
  <c r="DU32" i="1"/>
  <c r="DO26" i="1"/>
  <c r="CV32" i="1"/>
  <c r="CW32" i="1" s="1"/>
  <c r="DD55" i="1"/>
  <c r="CX55" i="1"/>
  <c r="CJ60" i="1"/>
  <c r="CJ26" i="1"/>
  <c r="CJ51" i="1"/>
  <c r="CU26" i="1"/>
  <c r="DC26" i="1" s="1"/>
  <c r="CV26" i="1"/>
  <c r="CW26" i="1" s="1"/>
  <c r="DR26" i="1"/>
  <c r="DX26" i="1" s="1"/>
  <c r="CP26" i="1"/>
  <c r="CT26" i="1" s="1"/>
  <c r="CY26" i="1" s="1"/>
  <c r="CZ26" i="1" s="1"/>
  <c r="CY48" i="1"/>
  <c r="CZ48" i="1" s="1"/>
  <c r="CV48" i="1"/>
  <c r="CW48" i="1" s="1"/>
  <c r="DU45" i="1"/>
  <c r="DF64" i="1"/>
  <c r="CX64" i="1"/>
  <c r="DF33" i="1"/>
  <c r="CX33" i="1"/>
  <c r="DD53" i="1"/>
  <c r="CX53" i="1"/>
  <c r="DE68" i="1"/>
  <c r="DF68" i="1"/>
  <c r="DF60" i="1"/>
  <c r="CX60" i="1"/>
  <c r="DF42" i="1"/>
  <c r="DH42" i="1" s="1"/>
  <c r="CX42" i="1"/>
  <c r="CJ46" i="1"/>
  <c r="DD56" i="1"/>
  <c r="CX56" i="1"/>
  <c r="DU33" i="1"/>
  <c r="CJ33" i="1"/>
  <c r="CJ22" i="1"/>
  <c r="CJ59" i="1"/>
  <c r="CJ57" i="1"/>
  <c r="DU53" i="1"/>
  <c r="CV22" i="1"/>
  <c r="CW22" i="1" s="1"/>
  <c r="DD45" i="1"/>
  <c r="CX45" i="1"/>
  <c r="CV37" i="1"/>
  <c r="CW37" i="1" s="1"/>
  <c r="CJ48" i="1"/>
  <c r="CJ37" i="1"/>
  <c r="DF63" i="1"/>
  <c r="CX63" i="1"/>
  <c r="DF31" i="1"/>
  <c r="CX31" i="1"/>
  <c r="CJ63" i="1"/>
  <c r="DD38" i="1"/>
  <c r="CX38" i="1"/>
  <c r="CY59" i="1"/>
  <c r="CZ59" i="1" s="1"/>
  <c r="CV59" i="1"/>
  <c r="CW59" i="1" s="1"/>
  <c r="DU34" i="1"/>
  <c r="CV57" i="1"/>
  <c r="CW57" i="1" s="1"/>
  <c r="DD29" i="1"/>
  <c r="CX29" i="1"/>
  <c r="DU56" i="1"/>
  <c r="CV46" i="1"/>
  <c r="CW46" i="1" s="1"/>
  <c r="CV23" i="1"/>
  <c r="CW23" i="1" s="1"/>
  <c r="DU22" i="1"/>
  <c r="CV34" i="1"/>
  <c r="CW34" i="1" s="1"/>
  <c r="CX26" i="1" l="1"/>
  <c r="DD26" i="1"/>
  <c r="DF32" i="1"/>
  <c r="CX32" i="1"/>
  <c r="DU26" i="1"/>
  <c r="DD40" i="1"/>
  <c r="CX40" i="1"/>
  <c r="CX28" i="1"/>
  <c r="DD28" i="1"/>
  <c r="DD51" i="1"/>
  <c r="CX51" i="1"/>
  <c r="DF30" i="1"/>
  <c r="CX30" i="1"/>
  <c r="DF37" i="1"/>
  <c r="CX37" i="1"/>
  <c r="DF59" i="1"/>
  <c r="CX59" i="1"/>
  <c r="DF23" i="1"/>
  <c r="CX23" i="1"/>
  <c r="DF48" i="1"/>
  <c r="CX48" i="1"/>
  <c r="DF34" i="1"/>
  <c r="CX34" i="1"/>
  <c r="DF46" i="1"/>
  <c r="CX46" i="1"/>
  <c r="DD57" i="1"/>
  <c r="CX57" i="1"/>
  <c r="DF22" i="1"/>
  <c r="CX22" i="1"/>
</calcChain>
</file>

<file path=xl/sharedStrings.xml><?xml version="1.0" encoding="utf-8"?>
<sst xmlns="http://schemas.openxmlformats.org/spreadsheetml/2006/main" count="427" uniqueCount="236">
  <si>
    <t>1176-34</t>
  </si>
  <si>
    <t>1176-35</t>
  </si>
  <si>
    <t>1176-36</t>
  </si>
  <si>
    <t>1176-37</t>
  </si>
  <si>
    <t>1176-38</t>
  </si>
  <si>
    <t>1176-39</t>
  </si>
  <si>
    <t>1176-40</t>
  </si>
  <si>
    <t>1176-41</t>
  </si>
  <si>
    <t>1176-42</t>
  </si>
  <si>
    <t>1176-43</t>
  </si>
  <si>
    <t>Isochron1</t>
  </si>
  <si>
    <t>DQ22:DU64</t>
  </si>
  <si>
    <t>ErrEll</t>
  </si>
  <si>
    <t>38Ar/36Ar non-cosmo</t>
  </si>
  <si>
    <t>Isochron4</t>
  </si>
  <si>
    <t>DI25:DM29,DI51:DM58</t>
  </si>
  <si>
    <t>Distance (mm)</t>
  </si>
  <si>
    <t>DataRedux – Mb2</t>
  </si>
  <si>
    <t>melt analyses</t>
  </si>
  <si>
    <t>matrix analyses</t>
  </si>
  <si>
    <t>Code</t>
  </si>
  <si>
    <t>Nier, 1950</t>
  </si>
  <si>
    <t>Raw 40Ar/36Ar</t>
  </si>
  <si>
    <t>Run ID #</t>
    <phoneticPr fontId="8" type="noConversion"/>
  </si>
  <si>
    <t>Sample #</t>
    <phoneticPr fontId="8" type="noConversion"/>
  </si>
  <si>
    <t>Dectector</t>
    <phoneticPr fontId="8" type="noConversion"/>
  </si>
  <si>
    <t>Blank Type</t>
    <phoneticPr fontId="8" type="noConversion"/>
  </si>
  <si>
    <t>37Ar-B</t>
  </si>
  <si>
    <t>1SD 37Ar-B</t>
  </si>
  <si>
    <t>36Ar-B</t>
  </si>
  <si>
    <t>1SD 36Ar-B</t>
  </si>
  <si>
    <t>IC/FAR</t>
  </si>
  <si>
    <t>1SD IC/FAR</t>
  </si>
  <si>
    <t>40Ar-Ical</t>
  </si>
  <si>
    <t>1SD 40Ar-Ical</t>
  </si>
  <si>
    <t>D per AMU</t>
  </si>
  <si>
    <t>40Ar MB</t>
  </si>
  <si>
    <t>Weiler, 2002</t>
  </si>
  <si>
    <t>INVERSE ISOCHRON CALCULATIONS</t>
  </si>
  <si>
    <t>COSMOGENIC 38 AND 36  CORRECTIONS</t>
  </si>
  <si>
    <t>NORMAL ISOCHRON CALCULATIONS</t>
  </si>
  <si>
    <t>39/36</t>
  </si>
  <si>
    <t>40/36</t>
  </si>
  <si>
    <t>Rho</t>
  </si>
  <si>
    <t>Ca/K</t>
  </si>
  <si>
    <t>COSMOGENIC ISOCHRON CALCULATIONS</t>
  </si>
  <si>
    <t>37/36</t>
  </si>
  <si>
    <t>38/36</t>
  </si>
  <si>
    <t>40ArK_nuc</t>
  </si>
  <si>
    <t>1SD 40ArK_nuc</t>
  </si>
  <si>
    <t>39ArCa_nuc</t>
  </si>
  <si>
    <t>1SD 39ArCa_nuc</t>
  </si>
  <si>
    <t>37ArK_nuc</t>
  </si>
  <si>
    <t>1SD 37ArK_nuc</t>
  </si>
  <si>
    <t>38ArCaK_nuc</t>
  </si>
  <si>
    <t>1SD 38ArCaK_nuc</t>
  </si>
  <si>
    <t>36ArCa_nuc</t>
  </si>
  <si>
    <t>1SD 36ArCa_nuc</t>
  </si>
  <si>
    <t>NUCLEOGENIC 40, 39, 38, 37, AND 36 CORRECTIONS</t>
  </si>
  <si>
    <t>Solar</t>
  </si>
  <si>
    <t>Cosmo</t>
  </si>
  <si>
    <t>Wieler R. (2002) Cosmic-ray-produced noble gases in meteorites.</t>
  </si>
  <si>
    <t>In Noble gases in Geochemistry and Cosmochemistry (eds. D.</t>
  </si>
  <si>
    <t>Porcelli, C. J. Ballentine and R. Wieler). Mineralogical Society</t>
  </si>
  <si>
    <t>of America, Washington, DC, pp. 125–170.</t>
  </si>
  <si>
    <t>Sc2</t>
  </si>
  <si>
    <t>Sx</t>
  </si>
  <si>
    <t>Sy</t>
  </si>
  <si>
    <t>Wieler R. (2002) Noble Gases in the Solar System.</t>
  </si>
  <si>
    <t>Kalsilite</t>
  </si>
  <si>
    <t>CaF2</t>
  </si>
  <si>
    <t>IC</t>
  </si>
  <si>
    <t>UV Laser (Photon Machines Eximer)</t>
  </si>
  <si>
    <t>40Ar AIR CORRECTION</t>
  </si>
  <si>
    <r>
      <t>40Ar/36Ar</t>
    </r>
    <r>
      <rPr>
        <b/>
        <vertAlign val="subscript"/>
        <sz val="12"/>
        <color indexed="8"/>
        <rFont val="Times New Roman"/>
        <family val="1"/>
      </rPr>
      <t>T</t>
    </r>
  </si>
  <si>
    <t>SheRa, using IC1</t>
  </si>
  <si>
    <t>Mbale</t>
  </si>
  <si>
    <t>IsoLine</t>
  </si>
  <si>
    <t>Source sheet</t>
  </si>
  <si>
    <t>Plot name</t>
  </si>
  <si>
    <t>Plot Type</t>
  </si>
  <si>
    <t>1st free col</t>
  </si>
  <si>
    <t>Sigma Level</t>
  </si>
  <si>
    <t>Absolute Errs</t>
  </si>
  <si>
    <t>Symbol Type</t>
  </si>
  <si>
    <t>Inverse Plot</t>
  </si>
  <si>
    <t>Color Plot</t>
  </si>
  <si>
    <t>3D plot</t>
  </si>
  <si>
    <t>Linear</t>
  </si>
  <si>
    <t>Data Range</t>
  </si>
  <si>
    <t>Filled Symbols</t>
  </si>
  <si>
    <t>ConcAge</t>
  </si>
  <si>
    <t>ConcSwap</t>
  </si>
  <si>
    <t>1st Symbol-row</t>
  </si>
  <si>
    <t># Pits</t>
  </si>
  <si>
    <t>1176-01</t>
  </si>
  <si>
    <t>Mb2</t>
  </si>
  <si>
    <t>1176-02</t>
  </si>
  <si>
    <t>1176-03</t>
  </si>
  <si>
    <t>1176-04</t>
  </si>
  <si>
    <t>1176-05</t>
  </si>
  <si>
    <t>1176-06</t>
  </si>
  <si>
    <t>1176-07</t>
  </si>
  <si>
    <t>1176-08</t>
  </si>
  <si>
    <t>1176-09</t>
  </si>
  <si>
    <t>1176-10</t>
  </si>
  <si>
    <t>1176-11</t>
  </si>
  <si>
    <t>1176-12</t>
  </si>
  <si>
    <t>1176-13</t>
  </si>
  <si>
    <t>1176-14</t>
  </si>
  <si>
    <t>1176-15</t>
  </si>
  <si>
    <t>1176-16</t>
  </si>
  <si>
    <t>1176-17</t>
  </si>
  <si>
    <t>1176-18</t>
  </si>
  <si>
    <t>1176-19</t>
  </si>
  <si>
    <t>1176-20</t>
  </si>
  <si>
    <t>1176-21</t>
  </si>
  <si>
    <t>1176-22</t>
  </si>
  <si>
    <t>1176-23</t>
  </si>
  <si>
    <t>1176-24</t>
  </si>
  <si>
    <t>1176-25</t>
  </si>
  <si>
    <t>1176-26</t>
  </si>
  <si>
    <t>1176-27</t>
  </si>
  <si>
    <t>1176-28</t>
  </si>
  <si>
    <t>1176-29</t>
  </si>
  <si>
    <t>1176-30</t>
  </si>
  <si>
    <t>1176-31</t>
  </si>
  <si>
    <t>1176-32</t>
  </si>
  <si>
    <t>1176-33</t>
  </si>
  <si>
    <t>1SD 40Ar MB</t>
  </si>
  <si>
    <t>39Ar MB</t>
  </si>
  <si>
    <t>1SD 39Ar MB</t>
  </si>
  <si>
    <t>38Ar MB</t>
  </si>
  <si>
    <t>1SD 38Ar MB</t>
  </si>
  <si>
    <t>AGE CALCULATIONS</t>
  </si>
  <si>
    <t>%40Ar*</t>
    <phoneticPr fontId="8" type="noConversion"/>
  </si>
  <si>
    <t>37Ar MB</t>
  </si>
  <si>
    <t>1SD 37Ar MB</t>
  </si>
  <si>
    <t>36Ar MB</t>
  </si>
  <si>
    <t>1SD 36Ar MB</t>
  </si>
  <si>
    <t>37 Decay</t>
  </si>
  <si>
    <t>39Decay</t>
  </si>
  <si>
    <t>40Ar Dec</t>
  </si>
  <si>
    <t>1SD 40Ar Dec</t>
  </si>
  <si>
    <t>39Ar Dec</t>
  </si>
  <si>
    <t>1SD 39Ar Dec</t>
  </si>
  <si>
    <t>38Ar Dec</t>
  </si>
  <si>
    <t>1SD 38Ar Dec</t>
  </si>
  <si>
    <t>37Ar Dec</t>
  </si>
  <si>
    <t>1SD 37Ar Dec</t>
  </si>
  <si>
    <t>36Ar Dec</t>
  </si>
  <si>
    <t>1SD 36Ar Dec</t>
  </si>
  <si>
    <t>40Ar*</t>
  </si>
  <si>
    <t>1SD 40Ar*</t>
  </si>
  <si>
    <t>40Ar*/39Ar_K</t>
  </si>
  <si>
    <t>Age (Ma)</t>
  </si>
  <si>
    <t>1SD Age (Ma)</t>
  </si>
  <si>
    <t>2SD Age (Ma)</t>
  </si>
  <si>
    <t>2SD Age (%)</t>
  </si>
  <si>
    <t>Laser System</t>
  </si>
  <si>
    <t>Noblesse</t>
  </si>
  <si>
    <t>Sample</t>
  </si>
  <si>
    <t>OSU #</t>
  </si>
  <si>
    <t>Mass Spec RunID #</t>
  </si>
  <si>
    <t>40ArF_BslnCorr</t>
  </si>
  <si>
    <t>1SD 40ArF_BslnCorr</t>
  </si>
  <si>
    <t>39ArF_BslnCorr</t>
  </si>
  <si>
    <t>1SD 39ArF_BslnCorr</t>
  </si>
  <si>
    <t>38Ar_BslnCorr</t>
  </si>
  <si>
    <t>1SD 38Ar_BslnCorr</t>
  </si>
  <si>
    <t>37Ar_BslnCorr</t>
  </si>
  <si>
    <t>1SD 37Ar_BslnCorr</t>
  </si>
  <si>
    <t>36Ar_BslnCorr</t>
  </si>
  <si>
    <t>1SD 36Ar_BslnCorr</t>
  </si>
  <si>
    <t>40ArF_Bkgd</t>
  </si>
  <si>
    <t>1SD 40ArF_Bkgd</t>
  </si>
  <si>
    <t>39ArF_Bkgd</t>
  </si>
  <si>
    <t>Quantity</t>
  </si>
  <si>
    <t>Value</t>
  </si>
  <si>
    <t>1SD</t>
  </si>
  <si>
    <t>Comments</t>
  </si>
  <si>
    <t>(36/37)Ca</t>
  </si>
  <si>
    <t>(38/37)Ca</t>
  </si>
  <si>
    <t>(39/37)Ca</t>
  </si>
  <si>
    <t>(40/39)K</t>
  </si>
  <si>
    <t>(38/39)K</t>
  </si>
  <si>
    <t>(37/39)K</t>
  </si>
  <si>
    <t xml:space="preserve"> J Value</t>
  </si>
  <si>
    <t>Total 40K Lambda</t>
  </si>
  <si>
    <t>SJ77</t>
  </si>
  <si>
    <t>Steiger and Jager, 1977</t>
  </si>
  <si>
    <t>39/40</t>
    <phoneticPr fontId="8" type="noConversion"/>
  </si>
  <si>
    <t>1SD</t>
    <phoneticPr fontId="8" type="noConversion"/>
  </si>
  <si>
    <t>36/40</t>
    <phoneticPr fontId="8" type="noConversion"/>
  </si>
  <si>
    <t>1SD</t>
    <phoneticPr fontId="8" type="noConversion"/>
  </si>
  <si>
    <t>1SD 39ArF_Bkgd</t>
  </si>
  <si>
    <t>38Ar_Bkgd</t>
  </si>
  <si>
    <t>1SD 38Ar_Bkgd</t>
  </si>
  <si>
    <t>37Ar_Bkgd</t>
  </si>
  <si>
    <t>1SD 37Ar_Bkgd</t>
  </si>
  <si>
    <t>36Ar_Bkgd</t>
  </si>
  <si>
    <t>1SD 36Ar_Bkgd</t>
  </si>
  <si>
    <t>40Ar-B</t>
  </si>
  <si>
    <t>1SD 40Ar-B</t>
  </si>
  <si>
    <t>39Ar-B</t>
  </si>
  <si>
    <t>1SD 39Ar-B</t>
  </si>
  <si>
    <t>38Ar-B</t>
  </si>
  <si>
    <t>1SD 38Ar-B</t>
  </si>
  <si>
    <t>1SD 40Ar*/39Ar_K</t>
    <phoneticPr fontId="8" type="noConversion"/>
  </si>
  <si>
    <t>1SD (no J err)</t>
    <phoneticPr fontId="8" type="noConversion"/>
  </si>
  <si>
    <t>2SD (no J err)</t>
    <phoneticPr fontId="8" type="noConversion"/>
  </si>
  <si>
    <t>38/36 after nuc corr</t>
  </si>
  <si>
    <t>1SD 38/36 after nuc corr</t>
  </si>
  <si>
    <t>A (fraction that is solar component)</t>
  </si>
  <si>
    <t>1SD A</t>
  </si>
  <si>
    <t>38Ar not cosmo</t>
  </si>
  <si>
    <t>1SD 38Ar not cosmo</t>
  </si>
  <si>
    <t>36Ar not cosmo</t>
  </si>
  <si>
    <t>1SD 36Ar not cosmo</t>
  </si>
  <si>
    <t>38Ar cosmo</t>
  </si>
  <si>
    <t>1SD 38Ar cosmo</t>
  </si>
  <si>
    <t>36Ar cosmo</t>
  </si>
  <si>
    <t>1SD 36Ar cosmo</t>
  </si>
  <si>
    <t>Cosmo 38/36</t>
  </si>
  <si>
    <t>Solar 38/36</t>
  </si>
  <si>
    <t>LR</t>
    <phoneticPr fontId="8" type="noConversion"/>
  </si>
  <si>
    <t>BASELINE CORRECTED VALUES</t>
    <phoneticPr fontId="8" type="noConversion"/>
  </si>
  <si>
    <t>BACKGROUNDS</t>
    <phoneticPr fontId="8" type="noConversion"/>
  </si>
  <si>
    <t>BACKGROUND CORRECTED VALUES</t>
    <phoneticPr fontId="8" type="noConversion"/>
  </si>
  <si>
    <t>INTERCALIBRATION</t>
    <phoneticPr fontId="8" type="noConversion"/>
  </si>
  <si>
    <t>MASS BIAS CALCULATIONS</t>
    <phoneticPr fontId="8" type="noConversion"/>
  </si>
  <si>
    <t>DECAY CORRECTED</t>
    <phoneticPr fontId="8" type="noConversion"/>
  </si>
  <si>
    <t>"Age" melt</t>
  </si>
  <si>
    <t>2SD</t>
  </si>
  <si>
    <t>Age matrix</t>
  </si>
  <si>
    <t>39/40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</si>
</sst>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E+00"/>
    <numFmt numFmtId="166" formatCode="0.0"/>
    <numFmt numFmtId="167" formatCode="0.000"/>
    <numFmt numFmtId="168" formatCode="0.00000"/>
  </numFmts>
  <fonts count="25" x14ac:knownFonts="1">
    <font>
      <sz val="10"/>
      <name val="Verdana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8"/>
      <name val="Verdana"/>
      <family val="2"/>
    </font>
    <font>
      <u/>
      <sz val="12"/>
      <color indexed="12"/>
      <name val="Calibri"/>
      <family val="2"/>
    </font>
    <font>
      <sz val="12"/>
      <color indexed="16"/>
      <name val="Calibri"/>
      <family val="2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sz val="12"/>
      <color indexed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vertAlign val="subscript"/>
      <sz val="12"/>
      <color indexed="8"/>
      <name val="Times New Roman"/>
      <family val="1"/>
    </font>
    <font>
      <sz val="12"/>
      <color indexed="10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9" fillId="0" borderId="0"/>
    <xf numFmtId="0" fontId="19" fillId="0" borderId="0"/>
  </cellStyleXfs>
  <cellXfs count="184"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1" applyFont="1"/>
    <xf numFmtId="0" fontId="14" fillId="0" borderId="0" xfId="2" applyFont="1" applyFill="1" applyAlignment="1">
      <alignment wrapText="1"/>
    </xf>
    <xf numFmtId="0" fontId="15" fillId="0" borderId="0" xfId="2" applyFont="1" applyFill="1"/>
    <xf numFmtId="0" fontId="12" fillId="0" borderId="0" xfId="0" applyFont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64" fontId="16" fillId="0" borderId="0" xfId="0" applyNumberFormat="1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11" fontId="16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2" fontId="16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3" applyFont="1" applyAlignment="1">
      <alignment horizontal="center"/>
    </xf>
    <xf numFmtId="0" fontId="16" fillId="0" borderId="0" xfId="0" applyFont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11" fontId="17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/>
    </xf>
    <xf numFmtId="0" fontId="16" fillId="0" borderId="0" xfId="0" applyFont="1" applyFill="1"/>
    <xf numFmtId="0" fontId="17" fillId="0" borderId="0" xfId="4" applyFon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0" fontId="19" fillId="0" borderId="0" xfId="4"/>
    <xf numFmtId="0" fontId="6" fillId="0" borderId="0" xfId="4" applyFont="1"/>
    <xf numFmtId="0" fontId="5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8" fillId="0" borderId="0" xfId="0" applyFont="1" applyFill="1" applyAlignment="1">
      <alignment horizontal="center" vertical="center"/>
    </xf>
    <xf numFmtId="0" fontId="3" fillId="0" borderId="0" xfId="0" applyFont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1" fontId="2" fillId="0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1" fontId="2" fillId="12" borderId="0" xfId="0" applyNumberFormat="1" applyFont="1" applyFill="1" applyAlignment="1">
      <alignment horizontal="center"/>
    </xf>
    <xf numFmtId="49" fontId="2" fillId="0" borderId="0" xfId="0" applyNumberFormat="1" applyFont="1"/>
    <xf numFmtId="0" fontId="16" fillId="0" borderId="0" xfId="0" applyFont="1" applyFill="1" applyAlignment="1">
      <alignment horizontal="center"/>
    </xf>
    <xf numFmtId="11" fontId="16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168" fontId="2" fillId="12" borderId="0" xfId="0" applyNumberFormat="1" applyFont="1" applyFill="1" applyAlignment="1">
      <alignment horizontal="center"/>
    </xf>
    <xf numFmtId="167" fontId="2" fillId="12" borderId="0" xfId="0" applyNumberFormat="1" applyFont="1" applyFill="1" applyAlignment="1">
      <alignment horizontal="center"/>
    </xf>
    <xf numFmtId="0" fontId="2" fillId="12" borderId="0" xfId="0" applyNumberFormat="1" applyFont="1" applyFill="1" applyAlignment="1">
      <alignment horizontal="center"/>
    </xf>
    <xf numFmtId="164" fontId="2" fillId="12" borderId="0" xfId="0" applyNumberFormat="1" applyFont="1" applyFill="1" applyAlignment="1">
      <alignment horizontal="center"/>
    </xf>
    <xf numFmtId="166" fontId="2" fillId="1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18" fillId="11" borderId="0" xfId="0" applyFont="1" applyFill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21" fillId="0" borderId="0" xfId="0" applyNumberFormat="1" applyFont="1" applyFill="1" applyAlignment="1">
      <alignment horizontal="center"/>
    </xf>
    <xf numFmtId="11" fontId="21" fillId="0" borderId="0" xfId="0" applyNumberFormat="1" applyFont="1" applyFill="1" applyAlignment="1">
      <alignment horizontal="center"/>
    </xf>
    <xf numFmtId="168" fontId="21" fillId="0" borderId="0" xfId="0" applyNumberFormat="1" applyFont="1" applyFill="1" applyAlignment="1">
      <alignment horizontal="center"/>
    </xf>
    <xf numFmtId="167" fontId="21" fillId="0" borderId="0" xfId="0" applyNumberFormat="1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11" fontId="16" fillId="12" borderId="0" xfId="0" applyNumberFormat="1" applyFont="1" applyFill="1" applyAlignment="1">
      <alignment horizontal="center"/>
    </xf>
    <xf numFmtId="2" fontId="16" fillId="12" borderId="0" xfId="0" applyNumberFormat="1" applyFont="1" applyFill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0" xfId="0" applyNumberFormat="1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6" fontId="2" fillId="12" borderId="0" xfId="0" applyNumberFormat="1" applyFont="1" applyFill="1" applyBorder="1" applyAlignment="1">
      <alignment horizontal="center"/>
    </xf>
    <xf numFmtId="11" fontId="2" fillId="12" borderId="0" xfId="0" applyNumberFormat="1" applyFont="1" applyFill="1" applyBorder="1" applyAlignment="1">
      <alignment horizontal="center"/>
    </xf>
    <xf numFmtId="11" fontId="16" fillId="12" borderId="0" xfId="0" applyNumberFormat="1" applyFont="1" applyFill="1" applyBorder="1" applyAlignment="1">
      <alignment horizontal="center"/>
    </xf>
    <xf numFmtId="2" fontId="16" fillId="12" borderId="0" xfId="0" applyNumberFormat="1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6" fontId="2" fillId="12" borderId="1" xfId="0" applyNumberFormat="1" applyFont="1" applyFill="1" applyBorder="1" applyAlignment="1">
      <alignment horizontal="center"/>
    </xf>
    <xf numFmtId="11" fontId="2" fillId="12" borderId="1" xfId="0" applyNumberFormat="1" applyFont="1" applyFill="1" applyBorder="1" applyAlignment="1">
      <alignment horizontal="center"/>
    </xf>
    <xf numFmtId="167" fontId="2" fillId="12" borderId="0" xfId="0" applyNumberFormat="1" applyFont="1" applyFill="1" applyBorder="1" applyAlignment="1">
      <alignment horizontal="center"/>
    </xf>
    <xf numFmtId="167" fontId="2" fillId="12" borderId="1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" fillId="0" borderId="0" xfId="0" applyFont="1"/>
    <xf numFmtId="0" fontId="16" fillId="12" borderId="2" xfId="0" applyFont="1" applyFill="1" applyBorder="1"/>
    <xf numFmtId="0" fontId="16" fillId="0" borderId="2" xfId="0" applyFont="1" applyBorder="1"/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2" fillId="0" borderId="0" xfId="0" applyNumberFormat="1" applyFont="1" applyFill="1" applyAlignment="1">
      <alignment horizontal="center"/>
    </xf>
    <xf numFmtId="2" fontId="22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22" fillId="0" borderId="0" xfId="0" applyNumberFormat="1" applyFont="1" applyFill="1" applyAlignment="1">
      <alignment horizontal="center"/>
    </xf>
    <xf numFmtId="166" fontId="22" fillId="0" borderId="0" xfId="0" applyNumberFormat="1" applyFont="1" applyFill="1" applyAlignment="1">
      <alignment horizontal="center"/>
    </xf>
    <xf numFmtId="11" fontId="22" fillId="0" borderId="0" xfId="0" applyNumberFormat="1" applyFont="1" applyFill="1" applyAlignment="1">
      <alignment horizontal="center"/>
    </xf>
    <xf numFmtId="11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2" fillId="0" borderId="1" xfId="0" applyNumberFormat="1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67" fontId="22" fillId="0" borderId="1" xfId="0" applyNumberFormat="1" applyFont="1" applyFill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1" fontId="22" fillId="0" borderId="1" xfId="0" applyNumberFormat="1" applyFont="1" applyFill="1" applyBorder="1" applyAlignment="1">
      <alignment horizontal="center"/>
    </xf>
    <xf numFmtId="0" fontId="22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22" fillId="12" borderId="0" xfId="0" applyNumberFormat="1" applyFont="1" applyFill="1" applyAlignment="1">
      <alignment horizontal="center"/>
    </xf>
    <xf numFmtId="2" fontId="22" fillId="12" borderId="0" xfId="0" applyNumberFormat="1" applyFont="1" applyFill="1" applyAlignment="1">
      <alignment horizontal="center"/>
    </xf>
    <xf numFmtId="164" fontId="22" fillId="12" borderId="0" xfId="0" applyNumberFormat="1" applyFont="1" applyFill="1" applyAlignment="1">
      <alignment horizontal="center"/>
    </xf>
    <xf numFmtId="167" fontId="22" fillId="12" borderId="0" xfId="0" applyNumberFormat="1" applyFont="1" applyFill="1" applyAlignment="1">
      <alignment horizontal="center"/>
    </xf>
    <xf numFmtId="166" fontId="22" fillId="12" borderId="0" xfId="0" applyNumberFormat="1" applyFont="1" applyFill="1" applyAlignment="1">
      <alignment horizontal="center"/>
    </xf>
    <xf numFmtId="11" fontId="22" fillId="12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24" fillId="0" borderId="0" xfId="0" applyNumberFormat="1" applyFont="1" applyBorder="1"/>
    <xf numFmtId="2" fontId="24" fillId="0" borderId="3" xfId="0" applyNumberFormat="1" applyFont="1" applyBorder="1"/>
    <xf numFmtId="2" fontId="24" fillId="0" borderId="0" xfId="0" applyNumberFormat="1" applyFont="1" applyBorder="1"/>
    <xf numFmtId="166" fontId="24" fillId="0" borderId="0" xfId="0" applyNumberFormat="1" applyFont="1" applyBorder="1"/>
    <xf numFmtId="166" fontId="24" fillId="0" borderId="4" xfId="0" applyNumberFormat="1" applyFont="1" applyBorder="1"/>
    <xf numFmtId="165" fontId="2" fillId="0" borderId="0" xfId="0" applyNumberFormat="1" applyFont="1" applyFill="1" applyAlignment="1">
      <alignment horizontal="center"/>
    </xf>
    <xf numFmtId="0" fontId="16" fillId="15" borderId="0" xfId="0" applyFont="1" applyFill="1"/>
    <xf numFmtId="0" fontId="12" fillId="15" borderId="0" xfId="0" applyFont="1" applyFill="1" applyAlignment="1">
      <alignment horizontal="center" wrapText="1"/>
    </xf>
    <xf numFmtId="0" fontId="2" fillId="15" borderId="0" xfId="0" applyNumberFormat="1" applyFont="1" applyFill="1" applyAlignment="1">
      <alignment horizontal="center"/>
    </xf>
    <xf numFmtId="0" fontId="21" fillId="15" borderId="0" xfId="0" applyNumberFormat="1" applyFont="1" applyFill="1" applyAlignment="1">
      <alignment horizontal="center"/>
    </xf>
    <xf numFmtId="0" fontId="22" fillId="15" borderId="1" xfId="0" applyNumberFormat="1" applyFont="1" applyFill="1" applyBorder="1" applyAlignment="1">
      <alignment horizontal="center"/>
    </xf>
    <xf numFmtId="0" fontId="2" fillId="15" borderId="0" xfId="0" applyNumberFormat="1" applyFont="1" applyFill="1" applyBorder="1" applyAlignment="1">
      <alignment horizontal="center"/>
    </xf>
    <xf numFmtId="0" fontId="2" fillId="15" borderId="1" xfId="0" applyNumberFormat="1" applyFont="1" applyFill="1" applyBorder="1" applyAlignment="1">
      <alignment horizontal="center"/>
    </xf>
    <xf numFmtId="0" fontId="22" fillId="15" borderId="0" xfId="0" applyNumberFormat="1" applyFont="1" applyFill="1" applyAlignment="1">
      <alignment horizontal="center"/>
    </xf>
    <xf numFmtId="0" fontId="11" fillId="15" borderId="0" xfId="0" applyFont="1" applyFill="1"/>
    <xf numFmtId="164" fontId="11" fillId="15" borderId="0" xfId="0" applyNumberFormat="1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165" fontId="2" fillId="15" borderId="0" xfId="0" applyNumberFormat="1" applyFont="1" applyFill="1" applyAlignment="1">
      <alignment horizontal="center"/>
    </xf>
    <xf numFmtId="166" fontId="2" fillId="15" borderId="0" xfId="0" applyNumberFormat="1" applyFont="1" applyFill="1" applyAlignment="1">
      <alignment horizontal="center"/>
    </xf>
    <xf numFmtId="166" fontId="21" fillId="15" borderId="0" xfId="0" applyNumberFormat="1" applyFont="1" applyFill="1" applyAlignment="1">
      <alignment horizontal="center"/>
    </xf>
    <xf numFmtId="1" fontId="2" fillId="15" borderId="0" xfId="0" applyNumberFormat="1" applyFont="1" applyFill="1" applyAlignment="1">
      <alignment horizontal="center"/>
    </xf>
    <xf numFmtId="166" fontId="22" fillId="15" borderId="1" xfId="0" applyNumberFormat="1" applyFont="1" applyFill="1" applyBorder="1" applyAlignment="1">
      <alignment horizontal="center"/>
    </xf>
    <xf numFmtId="166" fontId="2" fillId="15" borderId="0" xfId="0" applyNumberFormat="1" applyFon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166" fontId="22" fillId="15" borderId="0" xfId="0" applyNumberFormat="1" applyFont="1" applyFill="1" applyAlignment="1">
      <alignment horizontal="center"/>
    </xf>
    <xf numFmtId="1" fontId="16" fillId="15" borderId="0" xfId="0" applyNumberFormat="1" applyFont="1" applyFill="1"/>
    <xf numFmtId="0" fontId="1" fillId="15" borderId="0" xfId="0" applyFont="1" applyFill="1" applyAlignment="1">
      <alignment vertical="center"/>
    </xf>
    <xf numFmtId="11" fontId="16" fillId="15" borderId="0" xfId="0" applyNumberFormat="1" applyFont="1" applyFill="1" applyAlignment="1">
      <alignment horizontal="center"/>
    </xf>
    <xf numFmtId="11" fontId="16" fillId="15" borderId="0" xfId="0" applyNumberFormat="1" applyFont="1" applyFill="1" applyAlignment="1">
      <alignment horizontal="center" vertical="center"/>
    </xf>
    <xf numFmtId="11" fontId="17" fillId="15" borderId="0" xfId="0" applyNumberFormat="1" applyFont="1" applyFill="1" applyAlignment="1">
      <alignment horizontal="center" wrapText="1"/>
    </xf>
    <xf numFmtId="2" fontId="2" fillId="15" borderId="0" xfId="0" applyNumberFormat="1" applyFont="1" applyFill="1" applyAlignment="1">
      <alignment horizontal="center"/>
    </xf>
    <xf numFmtId="2" fontId="21" fillId="15" borderId="0" xfId="0" applyNumberFormat="1" applyFont="1" applyFill="1" applyAlignment="1">
      <alignment horizontal="center"/>
    </xf>
    <xf numFmtId="2" fontId="16" fillId="15" borderId="0" xfId="0" applyNumberFormat="1" applyFont="1" applyFill="1" applyAlignment="1">
      <alignment horizontal="center"/>
    </xf>
    <xf numFmtId="2" fontId="22" fillId="15" borderId="0" xfId="0" applyNumberFormat="1" applyFont="1" applyFill="1" applyAlignment="1">
      <alignment horizontal="center"/>
    </xf>
    <xf numFmtId="2" fontId="16" fillId="15" borderId="0" xfId="0" applyNumberFormat="1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6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3" borderId="0" xfId="3" applyFont="1" applyFill="1" applyAlignment="1">
      <alignment horizontal="center" vertical="center"/>
    </xf>
    <xf numFmtId="0" fontId="0" fillId="0" borderId="0" xfId="0" applyAlignment="1">
      <alignment vertical="center"/>
    </xf>
    <xf numFmtId="0" fontId="17" fillId="7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</cellXfs>
  <cellStyles count="5">
    <cellStyle name="Bad" xfId="2" xr:uid="{00000000-0005-0000-0000-000000000000}"/>
    <cellStyle name="Hyperlink" xfId="1" builtinId="8"/>
    <cellStyle name="Normal" xfId="0" builtinId="0"/>
    <cellStyle name="Normal 2" xfId="4" xr:uid="{00000000-0005-0000-0000-000003000000}"/>
    <cellStyle name="Normal 3" xfId="3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Ca/K vs.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Matrix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12700">
                <a:solidFill>
                  <a:srgbClr val="FF0000"/>
                </a:solidFill>
              </a:ln>
              <a:effectLst/>
            </c:spPr>
          </c:marker>
          <c:dPt>
            <c:idx val="14"/>
            <c:marker>
              <c:symbol val="star"/>
              <c:size val="8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658-1B4A-A23B-40A6D201FF0B}"/>
              </c:ext>
            </c:extLst>
          </c:dPt>
          <c:dPt>
            <c:idx val="15"/>
            <c:marker>
              <c:symbol val="star"/>
              <c:size val="8"/>
              <c:spPr>
                <a:noFill/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658-1B4A-A23B-40A6D201FF0B}"/>
              </c:ext>
            </c:extLst>
          </c:dPt>
          <c:dPt>
            <c:idx val="19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58-1B4A-A23B-40A6D201FF0B}"/>
              </c:ext>
            </c:extLst>
          </c:dPt>
          <c:dPt>
            <c:idx val="20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658-1B4A-A23B-40A6D201FF0B}"/>
              </c:ext>
            </c:extLst>
          </c:dPt>
          <c:dPt>
            <c:idx val="21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658-1B4A-A23B-40A6D201FF0B}"/>
              </c:ext>
            </c:extLst>
          </c:dPt>
          <c:dPt>
            <c:idx val="37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58-1B4A-A23B-40A6D201FF0B}"/>
              </c:ext>
            </c:extLst>
          </c:dPt>
          <c:dPt>
            <c:idx val="38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658-1B4A-A23B-40A6D201FF0B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'Mb2'!$DF$22:$DF$64</c:f>
                <c:numCache>
                  <c:formatCode>General</c:formatCode>
                  <c:ptCount val="43"/>
                  <c:pt idx="0">
                    <c:v>5.3557373542641793</c:v>
                  </c:pt>
                  <c:pt idx="1">
                    <c:v>4.8870983420688798</c:v>
                  </c:pt>
                  <c:pt idx="2">
                    <c:v>5.0493673246640034</c:v>
                  </c:pt>
                  <c:pt idx="8">
                    <c:v>10.447570905382854</c:v>
                  </c:pt>
                  <c:pt idx="9">
                    <c:v>9.3053363535845754</c:v>
                  </c:pt>
                  <c:pt idx="10">
                    <c:v>9.7297497390554444</c:v>
                  </c:pt>
                  <c:pt idx="11">
                    <c:v>10.47807353063234</c:v>
                  </c:pt>
                  <c:pt idx="12">
                    <c:v>20.011343700510864</c:v>
                  </c:pt>
                  <c:pt idx="14">
                    <c:v>96.878066971286756</c:v>
                  </c:pt>
                  <c:pt idx="15">
                    <c:v>157.59906131367418</c:v>
                  </c:pt>
                  <c:pt idx="19">
                    <c:v>51.424990681949566</c:v>
                  </c:pt>
                  <c:pt idx="20">
                    <c:v>53.205503477623679</c:v>
                  </c:pt>
                  <c:pt idx="21">
                    <c:v>45.77516974144573</c:v>
                  </c:pt>
                  <c:pt idx="24">
                    <c:v>14.348169464826643</c:v>
                  </c:pt>
                  <c:pt idx="25">
                    <c:v>15.110993670569181</c:v>
                  </c:pt>
                  <c:pt idx="26">
                    <c:v>27.109531361639274</c:v>
                  </c:pt>
                  <c:pt idx="27">
                    <c:v>24.863677791405276</c:v>
                  </c:pt>
                  <c:pt idx="28">
                    <c:v>40.234286793211716</c:v>
                  </c:pt>
                  <c:pt idx="37">
                    <c:v>36.166446758863835</c:v>
                  </c:pt>
                  <c:pt idx="38">
                    <c:v>60.011130144115633</c:v>
                  </c:pt>
                  <c:pt idx="39">
                    <c:v>14.879751368990087</c:v>
                  </c:pt>
                  <c:pt idx="40">
                    <c:v>9.2272194866975603</c:v>
                  </c:pt>
                  <c:pt idx="41">
                    <c:v>15.864033138354747</c:v>
                  </c:pt>
                  <c:pt idx="42">
                    <c:v>13.293484338603404</c:v>
                  </c:pt>
                </c:numCache>
              </c:numRef>
            </c:plus>
            <c:minus>
              <c:numRef>
                <c:f>'Mb2'!$DF$22:$DF$64</c:f>
                <c:numCache>
                  <c:formatCode>General</c:formatCode>
                  <c:ptCount val="43"/>
                  <c:pt idx="0">
                    <c:v>5.3557373542641793</c:v>
                  </c:pt>
                  <c:pt idx="1">
                    <c:v>4.8870983420688798</c:v>
                  </c:pt>
                  <c:pt idx="2">
                    <c:v>5.0493673246640034</c:v>
                  </c:pt>
                  <c:pt idx="8">
                    <c:v>10.447570905382854</c:v>
                  </c:pt>
                  <c:pt idx="9">
                    <c:v>9.3053363535845754</c:v>
                  </c:pt>
                  <c:pt idx="10">
                    <c:v>9.7297497390554444</c:v>
                  </c:pt>
                  <c:pt idx="11">
                    <c:v>10.47807353063234</c:v>
                  </c:pt>
                  <c:pt idx="12">
                    <c:v>20.011343700510864</c:v>
                  </c:pt>
                  <c:pt idx="14">
                    <c:v>96.878066971286756</c:v>
                  </c:pt>
                  <c:pt idx="15">
                    <c:v>157.59906131367418</c:v>
                  </c:pt>
                  <c:pt idx="19">
                    <c:v>51.424990681949566</c:v>
                  </c:pt>
                  <c:pt idx="20">
                    <c:v>53.205503477623679</c:v>
                  </c:pt>
                  <c:pt idx="21">
                    <c:v>45.77516974144573</c:v>
                  </c:pt>
                  <c:pt idx="24">
                    <c:v>14.348169464826643</c:v>
                  </c:pt>
                  <c:pt idx="25">
                    <c:v>15.110993670569181</c:v>
                  </c:pt>
                  <c:pt idx="26">
                    <c:v>27.109531361639274</c:v>
                  </c:pt>
                  <c:pt idx="27">
                    <c:v>24.863677791405276</c:v>
                  </c:pt>
                  <c:pt idx="28">
                    <c:v>40.234286793211716</c:v>
                  </c:pt>
                  <c:pt idx="37">
                    <c:v>36.166446758863835</c:v>
                  </c:pt>
                  <c:pt idx="38">
                    <c:v>60.011130144115633</c:v>
                  </c:pt>
                  <c:pt idx="39">
                    <c:v>14.879751368990087</c:v>
                  </c:pt>
                  <c:pt idx="40">
                    <c:v>9.2272194866975603</c:v>
                  </c:pt>
                  <c:pt idx="41">
                    <c:v>15.864033138354747</c:v>
                  </c:pt>
                  <c:pt idx="42">
                    <c:v>13.293484338603404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'Mb2'!$DE$22:$DE$64</c:f>
              <c:numCache>
                <c:formatCode>0.0</c:formatCode>
                <c:ptCount val="43"/>
                <c:pt idx="0">
                  <c:v>558.19922232018723</c:v>
                </c:pt>
                <c:pt idx="1">
                  <c:v>499.38389068869066</c:v>
                </c:pt>
                <c:pt idx="2">
                  <c:v>494.79321090424628</c:v>
                </c:pt>
                <c:pt idx="8" formatCode="0">
                  <c:v>603.1362973579412</c:v>
                </c:pt>
                <c:pt idx="9">
                  <c:v>521.56015255342584</c:v>
                </c:pt>
                <c:pt idx="10">
                  <c:v>526.51555301798589</c:v>
                </c:pt>
                <c:pt idx="11" formatCode="0">
                  <c:v>443.70901008335079</c:v>
                </c:pt>
                <c:pt idx="12" formatCode="0">
                  <c:v>707.85709947081421</c:v>
                </c:pt>
                <c:pt idx="14" formatCode="0">
                  <c:v>1204.7094550216041</c:v>
                </c:pt>
                <c:pt idx="15" formatCode="0">
                  <c:v>1022.5813280433978</c:v>
                </c:pt>
                <c:pt idx="19" formatCode="0">
                  <c:v>1557.9530059934932</c:v>
                </c:pt>
                <c:pt idx="20" formatCode="0">
                  <c:v>1604.2505046446554</c:v>
                </c:pt>
                <c:pt idx="21" formatCode="0">
                  <c:v>1016.2418513383946</c:v>
                </c:pt>
                <c:pt idx="24" formatCode="0">
                  <c:v>491.01296745249323</c:v>
                </c:pt>
                <c:pt idx="25" formatCode="0">
                  <c:v>477.77793754071996</c:v>
                </c:pt>
                <c:pt idx="26" formatCode="0">
                  <c:v>462.09508335251508</c:v>
                </c:pt>
                <c:pt idx="27" formatCode="0">
                  <c:v>733.41749211578883</c:v>
                </c:pt>
                <c:pt idx="28" formatCode="0">
                  <c:v>656.0686201901957</c:v>
                </c:pt>
                <c:pt idx="37" formatCode="0">
                  <c:v>966.47226308696122</c:v>
                </c:pt>
                <c:pt idx="38" formatCode="0">
                  <c:v>2045.8589960761815</c:v>
                </c:pt>
                <c:pt idx="39" formatCode="0">
                  <c:v>475.16309742954559</c:v>
                </c:pt>
                <c:pt idx="40">
                  <c:v>499.7327924723254</c:v>
                </c:pt>
                <c:pt idx="41" formatCode="0">
                  <c:v>576.71821935428761</c:v>
                </c:pt>
                <c:pt idx="42" formatCode="0">
                  <c:v>502.48704995970013</c:v>
                </c:pt>
              </c:numCache>
            </c:numRef>
          </c:xVal>
          <c:yVal>
            <c:numRef>
              <c:f>'Mb2'!$DI$22:$DI$64</c:f>
              <c:numCache>
                <c:formatCode>0.00</c:formatCode>
                <c:ptCount val="43"/>
                <c:pt idx="0">
                  <c:v>10.006015647172358</c:v>
                </c:pt>
                <c:pt idx="1">
                  <c:v>19.64469098545646</c:v>
                </c:pt>
                <c:pt idx="2">
                  <c:v>12.043496698751378</c:v>
                </c:pt>
                <c:pt idx="3">
                  <c:v>25.048061179093416</c:v>
                </c:pt>
                <c:pt idx="4">
                  <c:v>108.01372125479229</c:v>
                </c:pt>
                <c:pt idx="5">
                  <c:v>99.71939786228171</c:v>
                </c:pt>
                <c:pt idx="6">
                  <c:v>144.50875781557693</c:v>
                </c:pt>
                <c:pt idx="7">
                  <c:v>40.673080565709448</c:v>
                </c:pt>
                <c:pt idx="8">
                  <c:v>37.493321674850954</c:v>
                </c:pt>
                <c:pt idx="9">
                  <c:v>6.5751812247586612</c:v>
                </c:pt>
                <c:pt idx="10">
                  <c:v>7.4866875938227819</c:v>
                </c:pt>
                <c:pt idx="11">
                  <c:v>32.05060759821005</c:v>
                </c:pt>
                <c:pt idx="12">
                  <c:v>21.061345431087723</c:v>
                </c:pt>
                <c:pt idx="13">
                  <c:v>8.6830823254102345</c:v>
                </c:pt>
                <c:pt idx="14">
                  <c:v>8.8537351003141129</c:v>
                </c:pt>
                <c:pt idx="15">
                  <c:v>2.2143043416647221</c:v>
                </c:pt>
                <c:pt idx="16">
                  <c:v>21.967945751456963</c:v>
                </c:pt>
                <c:pt idx="17">
                  <c:v>40.090821138800855</c:v>
                </c:pt>
                <c:pt idx="18">
                  <c:v>63.441694303849218</c:v>
                </c:pt>
                <c:pt idx="19">
                  <c:v>73.296521657037857</c:v>
                </c:pt>
                <c:pt idx="20">
                  <c:v>89.049782725869989</c:v>
                </c:pt>
                <c:pt idx="21">
                  <c:v>17.496579914101595</c:v>
                </c:pt>
                <c:pt idx="22">
                  <c:v>52.363049641528384</c:v>
                </c:pt>
                <c:pt idx="23">
                  <c:v>43.12212796515616</c:v>
                </c:pt>
                <c:pt idx="24">
                  <c:v>49.531275909530663</c:v>
                </c:pt>
                <c:pt idx="25">
                  <c:v>63.666813238148556</c:v>
                </c:pt>
                <c:pt idx="26">
                  <c:v>0.35656720084443583</c:v>
                </c:pt>
                <c:pt idx="27">
                  <c:v>0.39645879570369452</c:v>
                </c:pt>
                <c:pt idx="28">
                  <c:v>0.51285521532484601</c:v>
                </c:pt>
                <c:pt idx="29">
                  <c:v>1.1757730614862092</c:v>
                </c:pt>
                <c:pt idx="30">
                  <c:v>18.512865553911702</c:v>
                </c:pt>
                <c:pt idx="31">
                  <c:v>2.7829955534510944</c:v>
                </c:pt>
                <c:pt idx="32">
                  <c:v>34.718213349307199</c:v>
                </c:pt>
                <c:pt idx="33">
                  <c:v>4.9911201810580108</c:v>
                </c:pt>
                <c:pt idx="34">
                  <c:v>2.8585905248551313</c:v>
                </c:pt>
                <c:pt idx="35">
                  <c:v>3.8805993485748154</c:v>
                </c:pt>
                <c:pt idx="36">
                  <c:v>8.3442577991728601</c:v>
                </c:pt>
                <c:pt idx="37">
                  <c:v>14.456706475815302</c:v>
                </c:pt>
                <c:pt idx="38">
                  <c:v>0.70166991289900438</c:v>
                </c:pt>
                <c:pt idx="39">
                  <c:v>7.3194145373869519</c:v>
                </c:pt>
                <c:pt idx="40">
                  <c:v>21.317941775692834</c:v>
                </c:pt>
                <c:pt idx="41">
                  <c:v>2.5888843738775669</c:v>
                </c:pt>
                <c:pt idx="42">
                  <c:v>3.8088111147354247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7-9342-A7F6-62D81DD55931}"/>
            </c:ext>
          </c:extLst>
        </c:ser>
        <c:ser>
          <c:idx val="1"/>
          <c:order val="1"/>
          <c:tx>
            <c:v>Melt Vein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127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'Mb2'!$DD$25:$DD$58</c:f>
                <c:numCache>
                  <c:formatCode>General</c:formatCode>
                  <c:ptCount val="34"/>
                  <c:pt idx="0">
                    <c:v>43.223618504526662</c:v>
                  </c:pt>
                  <c:pt idx="1">
                    <c:v>55.689771846154159</c:v>
                  </c:pt>
                  <c:pt idx="2">
                    <c:v>93.369144060924356</c:v>
                  </c:pt>
                  <c:pt idx="3">
                    <c:v>148.66935954174809</c:v>
                  </c:pt>
                  <c:pt idx="4">
                    <c:v>55.425665009572377</c:v>
                  </c:pt>
                  <c:pt idx="13">
                    <c:v>57.178500148590125</c:v>
                  </c:pt>
                  <c:pt idx="14">
                    <c:v>67.002049991192251</c:v>
                  </c:pt>
                  <c:pt idx="15">
                    <c:v>80.816837842034246</c:v>
                  </c:pt>
                  <c:pt idx="19">
                    <c:v>65.213610529372062</c:v>
                  </c:pt>
                  <c:pt idx="20">
                    <c:v>137.29667610388549</c:v>
                  </c:pt>
                  <c:pt idx="26">
                    <c:v>119.23304994175056</c:v>
                  </c:pt>
                  <c:pt idx="27">
                    <c:v>88.098993829837724</c:v>
                  </c:pt>
                  <c:pt idx="28">
                    <c:v>358.92652991873217</c:v>
                  </c:pt>
                  <c:pt idx="29">
                    <c:v>293.31067294256525</c:v>
                  </c:pt>
                  <c:pt idx="30">
                    <c:v>56.336240928762749</c:v>
                  </c:pt>
                  <c:pt idx="31">
                    <c:v>425.62903406892622</c:v>
                  </c:pt>
                  <c:pt idx="32">
                    <c:v>579.54948072305058</c:v>
                  </c:pt>
                  <c:pt idx="33">
                    <c:v>855.32675716305312</c:v>
                  </c:pt>
                </c:numCache>
              </c:numRef>
            </c:plus>
            <c:minus>
              <c:numRef>
                <c:f>'Mb2'!$DD$25:$DD$58</c:f>
                <c:numCache>
                  <c:formatCode>General</c:formatCode>
                  <c:ptCount val="34"/>
                  <c:pt idx="0">
                    <c:v>43.223618504526662</c:v>
                  </c:pt>
                  <c:pt idx="1">
                    <c:v>55.689771846154159</c:v>
                  </c:pt>
                  <c:pt idx="2">
                    <c:v>93.369144060924356</c:v>
                  </c:pt>
                  <c:pt idx="3">
                    <c:v>148.66935954174809</c:v>
                  </c:pt>
                  <c:pt idx="4">
                    <c:v>55.425665009572377</c:v>
                  </c:pt>
                  <c:pt idx="13">
                    <c:v>57.178500148590125</c:v>
                  </c:pt>
                  <c:pt idx="14">
                    <c:v>67.002049991192251</c:v>
                  </c:pt>
                  <c:pt idx="15">
                    <c:v>80.816837842034246</c:v>
                  </c:pt>
                  <c:pt idx="19">
                    <c:v>65.213610529372062</c:v>
                  </c:pt>
                  <c:pt idx="20">
                    <c:v>137.29667610388549</c:v>
                  </c:pt>
                  <c:pt idx="26">
                    <c:v>119.23304994175056</c:v>
                  </c:pt>
                  <c:pt idx="27">
                    <c:v>88.098993829837724</c:v>
                  </c:pt>
                  <c:pt idx="28">
                    <c:v>358.92652991873217</c:v>
                  </c:pt>
                  <c:pt idx="29">
                    <c:v>293.31067294256525</c:v>
                  </c:pt>
                  <c:pt idx="30">
                    <c:v>56.336240928762749</c:v>
                  </c:pt>
                  <c:pt idx="31">
                    <c:v>425.62903406892622</c:v>
                  </c:pt>
                  <c:pt idx="32">
                    <c:v>579.54948072305058</c:v>
                  </c:pt>
                  <c:pt idx="33">
                    <c:v>855.32675716305312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'Mb2'!$DC$25:$DC$58</c:f>
              <c:numCache>
                <c:formatCode>0</c:formatCode>
                <c:ptCount val="34"/>
                <c:pt idx="0">
                  <c:v>2837.723295321226</c:v>
                </c:pt>
                <c:pt idx="1">
                  <c:v>3731.5100457408075</c:v>
                </c:pt>
                <c:pt idx="2">
                  <c:v>5287.4127740234044</c:v>
                </c:pt>
                <c:pt idx="3">
                  <c:v>5876.9337537797028</c:v>
                </c:pt>
                <c:pt idx="4">
                  <c:v>2558.577012143091</c:v>
                </c:pt>
                <c:pt idx="13">
                  <c:v>2441.2746059420765</c:v>
                </c:pt>
                <c:pt idx="14">
                  <c:v>2263.2757617876773</c:v>
                </c:pt>
                <c:pt idx="15">
                  <c:v>2294.7849243882656</c:v>
                </c:pt>
                <c:pt idx="19">
                  <c:v>2325.933185423617</c:v>
                </c:pt>
                <c:pt idx="20">
                  <c:v>6845.2256271418546</c:v>
                </c:pt>
                <c:pt idx="26">
                  <c:v>2154.0717568786263</c:v>
                </c:pt>
                <c:pt idx="27">
                  <c:v>3248.085351056905</c:v>
                </c:pt>
                <c:pt idx="28">
                  <c:v>4090.7557965270712</c:v>
                </c:pt>
                <c:pt idx="29">
                  <c:v>4236.7642038876893</c:v>
                </c:pt>
                <c:pt idx="30">
                  <c:v>1831.7181101574047</c:v>
                </c:pt>
                <c:pt idx="31">
                  <c:v>5759.4266200880802</c:v>
                </c:pt>
                <c:pt idx="32">
                  <c:v>5895.9475997519048</c:v>
                </c:pt>
                <c:pt idx="33">
                  <c:v>5116.0730907134339</c:v>
                </c:pt>
              </c:numCache>
            </c:numRef>
          </c:xVal>
          <c:yVal>
            <c:numRef>
              <c:f>'Mb2'!$DI$25:$DI$58</c:f>
              <c:numCache>
                <c:formatCode>0.00</c:formatCode>
                <c:ptCount val="34"/>
                <c:pt idx="0">
                  <c:v>25.048061179093416</c:v>
                </c:pt>
                <c:pt idx="1">
                  <c:v>108.01372125479229</c:v>
                </c:pt>
                <c:pt idx="2">
                  <c:v>99.71939786228171</c:v>
                </c:pt>
                <c:pt idx="3">
                  <c:v>144.50875781557693</c:v>
                </c:pt>
                <c:pt idx="4">
                  <c:v>40.673080565709448</c:v>
                </c:pt>
                <c:pt idx="5">
                  <c:v>37.493321674850954</c:v>
                </c:pt>
                <c:pt idx="6">
                  <c:v>6.5751812247586612</c:v>
                </c:pt>
                <c:pt idx="7">
                  <c:v>7.4866875938227819</c:v>
                </c:pt>
                <c:pt idx="8">
                  <c:v>32.05060759821005</c:v>
                </c:pt>
                <c:pt idx="9">
                  <c:v>21.061345431087723</c:v>
                </c:pt>
                <c:pt idx="10">
                  <c:v>8.6830823254102345</c:v>
                </c:pt>
                <c:pt idx="11">
                  <c:v>8.8537351003141129</c:v>
                </c:pt>
                <c:pt idx="12">
                  <c:v>2.2143043416647221</c:v>
                </c:pt>
                <c:pt idx="13">
                  <c:v>21.967945751456963</c:v>
                </c:pt>
                <c:pt idx="14">
                  <c:v>40.090821138800855</c:v>
                </c:pt>
                <c:pt idx="15">
                  <c:v>63.441694303849218</c:v>
                </c:pt>
                <c:pt idx="16">
                  <c:v>73.296521657037857</c:v>
                </c:pt>
                <c:pt idx="17">
                  <c:v>89.049782725869989</c:v>
                </c:pt>
                <c:pt idx="18">
                  <c:v>17.496579914101595</c:v>
                </c:pt>
                <c:pt idx="19">
                  <c:v>52.363049641528384</c:v>
                </c:pt>
                <c:pt idx="20">
                  <c:v>43.12212796515616</c:v>
                </c:pt>
                <c:pt idx="21">
                  <c:v>49.531275909530663</c:v>
                </c:pt>
                <c:pt idx="22">
                  <c:v>63.666813238148556</c:v>
                </c:pt>
                <c:pt idx="23">
                  <c:v>0.35656720084443583</c:v>
                </c:pt>
                <c:pt idx="24">
                  <c:v>0.39645879570369452</c:v>
                </c:pt>
                <c:pt idx="25">
                  <c:v>0.51285521532484601</c:v>
                </c:pt>
                <c:pt idx="26">
                  <c:v>1.1757730614862092</c:v>
                </c:pt>
                <c:pt idx="27">
                  <c:v>18.512865553911702</c:v>
                </c:pt>
                <c:pt idx="28">
                  <c:v>2.7829955534510944</c:v>
                </c:pt>
                <c:pt idx="29">
                  <c:v>34.718213349307199</c:v>
                </c:pt>
                <c:pt idx="30">
                  <c:v>4.9911201810580108</c:v>
                </c:pt>
                <c:pt idx="31">
                  <c:v>2.8585905248551313</c:v>
                </c:pt>
                <c:pt idx="32">
                  <c:v>3.8805993485748154</c:v>
                </c:pt>
                <c:pt idx="33">
                  <c:v>8.3442577991728601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7-9342-A7F6-62D81DD55931}"/>
            </c:ext>
          </c:extLst>
        </c:ser>
        <c:ser>
          <c:idx val="2"/>
          <c:order val="2"/>
          <c:tx>
            <c:v>Parent Body Collision Age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'Mb2'!$DB$18:$DB$19</c:f>
              <c:numCache>
                <c:formatCode>General</c:formatCode>
                <c:ptCount val="2"/>
                <c:pt idx="0">
                  <c:v>480</c:v>
                </c:pt>
                <c:pt idx="1">
                  <c:v>480</c:v>
                </c:pt>
              </c:numCache>
            </c:numRef>
          </c:xVal>
          <c:yVal>
            <c:numRef>
              <c:f>'Mb2'!$DI$18:$DI$19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8-1B4A-A23B-40A6D201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704"/>
        <c:axId val="272013624"/>
      </c:scatterChart>
      <c:valAx>
        <c:axId val="486791704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±</a:t>
                </a:r>
                <a:r>
                  <a:rPr lang="en-US" sz="1400" baseline="0"/>
                  <a:t> 2SD (Ma)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13624"/>
        <c:crosses val="autoZero"/>
        <c:crossBetween val="midCat"/>
      </c:valAx>
      <c:valAx>
        <c:axId val="2720136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704"/>
        <c:crosses val="autoZero"/>
        <c:crossBetween val="midCat"/>
        <c:majorUnit val="3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- Profile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Profile 1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rgbClr val="FFFF00"/>
              </a:solidFill>
              <a:ln w="12700">
                <a:solidFill>
                  <a:srgbClr val="FF0000"/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F8-BB42-A27C-EF270E28F2F1}"/>
              </c:ext>
            </c:extLst>
          </c:dPt>
          <c:dPt>
            <c:idx val="4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F8-BB42-A27C-EF270E28F2F1}"/>
              </c:ext>
            </c:extLst>
          </c:dPt>
          <c:dPt>
            <c:idx val="5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AF8-BB42-A27C-EF270E28F2F1}"/>
              </c:ext>
            </c:extLst>
          </c:dPt>
          <c:dPt>
            <c:idx val="6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AF8-BB42-A27C-EF270E28F2F1}"/>
              </c:ext>
            </c:extLst>
          </c:dPt>
          <c:dPt>
            <c:idx val="7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AF8-BB42-A27C-EF270E28F2F1}"/>
              </c:ext>
            </c:extLst>
          </c:dPt>
          <c:dPt>
            <c:idx val="13"/>
            <c:marker>
              <c:symbol val="star"/>
              <c:size val="8"/>
              <c:spPr>
                <a:noFill/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AF8-BB42-A27C-EF270E28F2F1}"/>
              </c:ext>
            </c:extLst>
          </c:dPt>
          <c:dPt>
            <c:idx val="14"/>
            <c:marker>
              <c:symbol val="star"/>
              <c:size val="8"/>
              <c:spPr>
                <a:noFill/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AF8-BB42-A27C-EF270E28F2F1}"/>
              </c:ext>
            </c:extLst>
          </c:dPt>
          <c:dPt>
            <c:idx val="15"/>
            <c:marker>
              <c:symbol val="star"/>
              <c:size val="8"/>
              <c:spPr>
                <a:noFill/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AF8-BB42-A27C-EF270E28F2F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'Mb2'!$CW$22:$CW$37</c:f>
                <c:numCache>
                  <c:formatCode>General</c:formatCode>
                  <c:ptCount val="16"/>
                  <c:pt idx="0">
                    <c:v>5.3557373542641793</c:v>
                  </c:pt>
                  <c:pt idx="1">
                    <c:v>4.8870983420688798</c:v>
                  </c:pt>
                  <c:pt idx="2">
                    <c:v>5.0493673246640034</c:v>
                  </c:pt>
                  <c:pt idx="3">
                    <c:v>43.223618504526662</c:v>
                  </c:pt>
                  <c:pt idx="4">
                    <c:v>55.689771846154159</c:v>
                  </c:pt>
                  <c:pt idx="5">
                    <c:v>93.369144060924356</c:v>
                  </c:pt>
                  <c:pt idx="6">
                    <c:v>148.66935954174809</c:v>
                  </c:pt>
                  <c:pt idx="7">
                    <c:v>55.425665009572377</c:v>
                  </c:pt>
                  <c:pt idx="8">
                    <c:v>10.447570905382854</c:v>
                  </c:pt>
                  <c:pt idx="9">
                    <c:v>9.3053363535845754</c:v>
                  </c:pt>
                  <c:pt idx="10">
                    <c:v>9.7297497390554444</c:v>
                  </c:pt>
                  <c:pt idx="11">
                    <c:v>10.47807353063234</c:v>
                  </c:pt>
                  <c:pt idx="12">
                    <c:v>20.011343700510864</c:v>
                  </c:pt>
                  <c:pt idx="13">
                    <c:v>156.4247748291869</c:v>
                  </c:pt>
                  <c:pt idx="14">
                    <c:v>96.878066971286756</c:v>
                  </c:pt>
                  <c:pt idx="15">
                    <c:v>157.59906131367418</c:v>
                  </c:pt>
                </c:numCache>
              </c:numRef>
            </c:plus>
            <c:minus>
              <c:numRef>
                <c:f>'Mb2'!$CW$22:$CW$37</c:f>
                <c:numCache>
                  <c:formatCode>General</c:formatCode>
                  <c:ptCount val="16"/>
                  <c:pt idx="0">
                    <c:v>5.3557373542641793</c:v>
                  </c:pt>
                  <c:pt idx="1">
                    <c:v>4.8870983420688798</c:v>
                  </c:pt>
                  <c:pt idx="2">
                    <c:v>5.0493673246640034</c:v>
                  </c:pt>
                  <c:pt idx="3">
                    <c:v>43.223618504526662</c:v>
                  </c:pt>
                  <c:pt idx="4">
                    <c:v>55.689771846154159</c:v>
                  </c:pt>
                  <c:pt idx="5">
                    <c:v>93.369144060924356</c:v>
                  </c:pt>
                  <c:pt idx="6">
                    <c:v>148.66935954174809</c:v>
                  </c:pt>
                  <c:pt idx="7">
                    <c:v>55.425665009572377</c:v>
                  </c:pt>
                  <c:pt idx="8">
                    <c:v>10.447570905382854</c:v>
                  </c:pt>
                  <c:pt idx="9">
                    <c:v>9.3053363535845754</c:v>
                  </c:pt>
                  <c:pt idx="10">
                    <c:v>9.7297497390554444</c:v>
                  </c:pt>
                  <c:pt idx="11">
                    <c:v>10.47807353063234</c:v>
                  </c:pt>
                  <c:pt idx="12">
                    <c:v>20.011343700510864</c:v>
                  </c:pt>
                  <c:pt idx="13">
                    <c:v>156.4247748291869</c:v>
                  </c:pt>
                  <c:pt idx="14">
                    <c:v>96.878066971286756</c:v>
                  </c:pt>
                  <c:pt idx="15">
                    <c:v>157.59906131367418</c:v>
                  </c:pt>
                </c:numCache>
              </c:numRef>
            </c:minus>
          </c:errBars>
          <c:xVal>
            <c:numRef>
              <c:f>'Mb2'!$EK$22:$EK$37</c:f>
              <c:numCache>
                <c:formatCode>0.00</c:formatCode>
                <c:ptCount val="16"/>
                <c:pt idx="0">
                  <c:v>0</c:v>
                </c:pt>
                <c:pt idx="1">
                  <c:v>0.23899999999999999</c:v>
                </c:pt>
                <c:pt idx="2">
                  <c:v>0.45900000000000002</c:v>
                </c:pt>
                <c:pt idx="3">
                  <c:v>0.751</c:v>
                </c:pt>
                <c:pt idx="4">
                  <c:v>1.006</c:v>
                </c:pt>
                <c:pt idx="5">
                  <c:v>1.236</c:v>
                </c:pt>
                <c:pt idx="6">
                  <c:v>1.482</c:v>
                </c:pt>
                <c:pt idx="7">
                  <c:v>1.6950000000000001</c:v>
                </c:pt>
                <c:pt idx="8">
                  <c:v>1.93</c:v>
                </c:pt>
                <c:pt idx="9">
                  <c:v>2.1680000000000001</c:v>
                </c:pt>
                <c:pt idx="10">
                  <c:v>2.536</c:v>
                </c:pt>
                <c:pt idx="11">
                  <c:v>2.8610000000000002</c:v>
                </c:pt>
                <c:pt idx="12">
                  <c:v>3.08</c:v>
                </c:pt>
                <c:pt idx="13">
                  <c:v>3.4009999999999998</c:v>
                </c:pt>
                <c:pt idx="14">
                  <c:v>3.6360000000000001</c:v>
                </c:pt>
                <c:pt idx="15">
                  <c:v>4.0060000000000002</c:v>
                </c:pt>
              </c:numCache>
            </c:numRef>
          </c:xVal>
          <c:yVal>
            <c:numRef>
              <c:f>'Mb2'!$CU$22:$CU$37</c:f>
              <c:numCache>
                <c:formatCode>0.00</c:formatCode>
                <c:ptCount val="16"/>
                <c:pt idx="0">
                  <c:v>558.19922232018723</c:v>
                </c:pt>
                <c:pt idx="1">
                  <c:v>499.38389068869066</c:v>
                </c:pt>
                <c:pt idx="2">
                  <c:v>494.79321090424628</c:v>
                </c:pt>
                <c:pt idx="3">
                  <c:v>2837.723295321226</c:v>
                </c:pt>
                <c:pt idx="4">
                  <c:v>3731.5100457408075</c:v>
                </c:pt>
                <c:pt idx="5">
                  <c:v>5287.4127740234044</c:v>
                </c:pt>
                <c:pt idx="6">
                  <c:v>5876.9337537797028</c:v>
                </c:pt>
                <c:pt idx="7">
                  <c:v>2558.577012143091</c:v>
                </c:pt>
                <c:pt idx="8">
                  <c:v>603.1362973579412</c:v>
                </c:pt>
                <c:pt idx="9">
                  <c:v>521.56015255342584</c:v>
                </c:pt>
                <c:pt idx="10">
                  <c:v>526.51555301798589</c:v>
                </c:pt>
                <c:pt idx="11">
                  <c:v>443.70901008335079</c:v>
                </c:pt>
                <c:pt idx="12">
                  <c:v>707.85709947081421</c:v>
                </c:pt>
                <c:pt idx="13">
                  <c:v>210.8664586492425</c:v>
                </c:pt>
                <c:pt idx="14">
                  <c:v>1204.7094550216041</c:v>
                </c:pt>
                <c:pt idx="15">
                  <c:v>1022.5813280433978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8-BB42-A27C-EF270E28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3976"/>
        <c:axId val="292221112"/>
      </c:scatterChart>
      <c:valAx>
        <c:axId val="292213976"/>
        <c:scaling>
          <c:orientation val="minMax"/>
          <c:max val="4.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2221112"/>
        <c:crosses val="autoZero"/>
        <c:crossBetween val="midCat"/>
        <c:majorUnit val="0.5"/>
      </c:valAx>
      <c:valAx>
        <c:axId val="29222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Apparent Age (Ma)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221397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- Profile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Profile 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solidFill>
                <a:srgbClr val="00B0F0"/>
              </a:solidFill>
              <a:ln w="12700">
                <a:solidFill>
                  <a:srgbClr val="FF0000"/>
                </a:solidFill>
              </a:ln>
            </c:spPr>
          </c:marker>
          <c:dPt>
            <c:idx val="3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C3-3A45-BAC9-70BF2B64E0BC}"/>
              </c:ext>
            </c:extLst>
          </c:dPt>
          <c:dPt>
            <c:idx val="4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C3-3A45-BAC9-70BF2B64E0BC}"/>
              </c:ext>
            </c:extLst>
          </c:dPt>
          <c:dPt>
            <c:idx val="5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C3-3A45-BAC9-70BF2B64E0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'Mb2'!$CW$38:$CW$45</c:f>
                <c:numCache>
                  <c:formatCode>General</c:formatCode>
                  <c:ptCount val="8"/>
                  <c:pt idx="0">
                    <c:v>57.178500148590125</c:v>
                  </c:pt>
                  <c:pt idx="1">
                    <c:v>67.002049991192251</c:v>
                  </c:pt>
                  <c:pt idx="2">
                    <c:v>80.816837842034246</c:v>
                  </c:pt>
                  <c:pt idx="3">
                    <c:v>51.424990681949566</c:v>
                  </c:pt>
                  <c:pt idx="4">
                    <c:v>53.205503477623679</c:v>
                  </c:pt>
                  <c:pt idx="5">
                    <c:v>45.77516974144573</c:v>
                  </c:pt>
                  <c:pt idx="6">
                    <c:v>65.213610529372062</c:v>
                  </c:pt>
                  <c:pt idx="7">
                    <c:v>137.29667610388549</c:v>
                  </c:pt>
                </c:numCache>
              </c:numRef>
            </c:plus>
            <c:minus>
              <c:numRef>
                <c:f>'Mb2'!$CW$38:$CW$45</c:f>
                <c:numCache>
                  <c:formatCode>General</c:formatCode>
                  <c:ptCount val="8"/>
                  <c:pt idx="0">
                    <c:v>57.178500148590125</c:v>
                  </c:pt>
                  <c:pt idx="1">
                    <c:v>67.002049991192251</c:v>
                  </c:pt>
                  <c:pt idx="2">
                    <c:v>80.816837842034246</c:v>
                  </c:pt>
                  <c:pt idx="3">
                    <c:v>51.424990681949566</c:v>
                  </c:pt>
                  <c:pt idx="4">
                    <c:v>53.205503477623679</c:v>
                  </c:pt>
                  <c:pt idx="5">
                    <c:v>45.77516974144573</c:v>
                  </c:pt>
                  <c:pt idx="6">
                    <c:v>65.213610529372062</c:v>
                  </c:pt>
                  <c:pt idx="7">
                    <c:v>137.29667610388549</c:v>
                  </c:pt>
                </c:numCache>
              </c:numRef>
            </c:minus>
          </c:errBars>
          <c:xVal>
            <c:numRef>
              <c:f>'Mb2'!$EK$38:$EK$45</c:f>
              <c:numCache>
                <c:formatCode>0.00</c:formatCode>
                <c:ptCount val="8"/>
                <c:pt idx="0">
                  <c:v>0</c:v>
                </c:pt>
                <c:pt idx="1">
                  <c:v>0.186</c:v>
                </c:pt>
                <c:pt idx="2">
                  <c:v>0.376</c:v>
                </c:pt>
                <c:pt idx="3">
                  <c:v>0.56599999999999995</c:v>
                </c:pt>
                <c:pt idx="4">
                  <c:v>0.73499999999999999</c:v>
                </c:pt>
                <c:pt idx="5">
                  <c:v>0.90400000000000003</c:v>
                </c:pt>
                <c:pt idx="6">
                  <c:v>1.08</c:v>
                </c:pt>
                <c:pt idx="7">
                  <c:v>1.256</c:v>
                </c:pt>
              </c:numCache>
            </c:numRef>
          </c:xVal>
          <c:yVal>
            <c:numRef>
              <c:f>'Mb2'!$CU$38:$CU$45</c:f>
              <c:numCache>
                <c:formatCode>0.00</c:formatCode>
                <c:ptCount val="8"/>
                <c:pt idx="0">
                  <c:v>2441.2746059420765</c:v>
                </c:pt>
                <c:pt idx="1">
                  <c:v>2263.2757617876773</c:v>
                </c:pt>
                <c:pt idx="2">
                  <c:v>2294.7849243882656</c:v>
                </c:pt>
                <c:pt idx="3">
                  <c:v>1557.9530059934932</c:v>
                </c:pt>
                <c:pt idx="4">
                  <c:v>1604.2505046446554</c:v>
                </c:pt>
                <c:pt idx="5">
                  <c:v>1016.2418513383946</c:v>
                </c:pt>
                <c:pt idx="6">
                  <c:v>2325.933185423617</c:v>
                </c:pt>
                <c:pt idx="7">
                  <c:v>6845.2256271418546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3-3A45-BAC9-70BF2B64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9448"/>
        <c:axId val="292280808"/>
      </c:scatterChart>
      <c:valAx>
        <c:axId val="292269448"/>
        <c:scaling>
          <c:orientation val="minMax"/>
          <c:max val="1.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2280808"/>
        <c:crosses val="autoZero"/>
        <c:crossBetween val="midCat"/>
      </c:valAx>
      <c:valAx>
        <c:axId val="292280808"/>
        <c:scaling>
          <c:orientation val="minMax"/>
          <c:max val="7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Apparent Age (Ma)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22694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- Profile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Profile 3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6"/>
            <c:spPr>
              <a:ln w="127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57B-5E4E-9DCA-FF9E242D6657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57B-5E4E-9DCA-FF9E242D6657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57B-5E4E-9DCA-FF9E242D6657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57B-5E4E-9DCA-FF9E242D6657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57B-5E4E-9DCA-FF9E242D6657}"/>
              </c:ext>
            </c:extLst>
          </c:dPt>
          <c:dPt>
            <c:idx val="5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57B-5E4E-9DCA-FF9E242D6657}"/>
              </c:ext>
            </c:extLst>
          </c:dPt>
          <c:dPt>
            <c:idx val="6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57B-5E4E-9DCA-FF9E242D6657}"/>
              </c:ext>
            </c:extLst>
          </c:dPt>
          <c:dPt>
            <c:idx val="7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57B-5E4E-9DCA-FF9E242D6657}"/>
              </c:ext>
            </c:extLst>
          </c:dPt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7B-5E4E-9DCA-FF9E242D6657}"/>
              </c:ext>
            </c:extLst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57B-5E4E-9DCA-FF9E242D6657}"/>
              </c:ext>
            </c:extLst>
          </c:dPt>
          <c:dPt>
            <c:idx val="10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57B-5E4E-9DCA-FF9E242D6657}"/>
              </c:ext>
            </c:extLst>
          </c:dPt>
          <c:dPt>
            <c:idx val="11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57B-5E4E-9DCA-FF9E242D6657}"/>
              </c:ext>
            </c:extLst>
          </c:dPt>
          <c:dPt>
            <c:idx val="12"/>
            <c:marker>
              <c:spPr>
                <a:solidFill>
                  <a:srgbClr val="00B0F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57B-5E4E-9DCA-FF9E242D6657}"/>
              </c:ext>
            </c:extLst>
          </c:dPt>
          <c:dPt>
            <c:idx val="13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57B-5E4E-9DCA-FF9E242D6657}"/>
              </c:ext>
            </c:extLst>
          </c:dPt>
          <c:dPt>
            <c:idx val="14"/>
            <c:marker>
              <c:spPr>
                <a:solidFill>
                  <a:srgbClr val="92D05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57B-5E4E-9DCA-FF9E242D6657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57B-5E4E-9DCA-FF9E242D6657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57B-5E4E-9DCA-FF9E242D665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57B-5E4E-9DCA-FF9E242D6657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127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57B-5E4E-9DCA-FF9E242D665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'Mb2'!$CW$46:$CW$64</c:f>
                <c:numCache>
                  <c:formatCode>General</c:formatCode>
                  <c:ptCount val="19"/>
                  <c:pt idx="0">
                    <c:v>14.348169464826643</c:v>
                  </c:pt>
                  <c:pt idx="1">
                    <c:v>15.110993670569181</c:v>
                  </c:pt>
                  <c:pt idx="2">
                    <c:v>27.109531361639274</c:v>
                  </c:pt>
                  <c:pt idx="3">
                    <c:v>24.863677791405276</c:v>
                  </c:pt>
                  <c:pt idx="4">
                    <c:v>40.234286793211716</c:v>
                  </c:pt>
                  <c:pt idx="5">
                    <c:v>119.23304994175056</c:v>
                  </c:pt>
                  <c:pt idx="6">
                    <c:v>88.098993829837724</c:v>
                  </c:pt>
                  <c:pt idx="7">
                    <c:v>358.92652991873217</c:v>
                  </c:pt>
                  <c:pt idx="8">
                    <c:v>293.31067294256525</c:v>
                  </c:pt>
                  <c:pt idx="9">
                    <c:v>56.336240928762749</c:v>
                  </c:pt>
                  <c:pt idx="10">
                    <c:v>425.62903406892622</c:v>
                  </c:pt>
                  <c:pt idx="11">
                    <c:v>579.54948072305058</c:v>
                  </c:pt>
                  <c:pt idx="12">
                    <c:v>855.32675716305312</c:v>
                  </c:pt>
                  <c:pt idx="13">
                    <c:v>36.166446758863835</c:v>
                  </c:pt>
                  <c:pt idx="14">
                    <c:v>60.011130144115633</c:v>
                  </c:pt>
                  <c:pt idx="15">
                    <c:v>14.879751368990087</c:v>
                  </c:pt>
                  <c:pt idx="16">
                    <c:v>9.2272194866975603</c:v>
                  </c:pt>
                  <c:pt idx="17">
                    <c:v>15.864033138354747</c:v>
                  </c:pt>
                  <c:pt idx="18">
                    <c:v>13.293484338603404</c:v>
                  </c:pt>
                </c:numCache>
              </c:numRef>
            </c:plus>
            <c:minus>
              <c:numRef>
                <c:f>'Mb2'!$CW$46:$CW$64</c:f>
                <c:numCache>
                  <c:formatCode>General</c:formatCode>
                  <c:ptCount val="19"/>
                  <c:pt idx="0">
                    <c:v>14.348169464826643</c:v>
                  </c:pt>
                  <c:pt idx="1">
                    <c:v>15.110993670569181</c:v>
                  </c:pt>
                  <c:pt idx="2">
                    <c:v>27.109531361639274</c:v>
                  </c:pt>
                  <c:pt idx="3">
                    <c:v>24.863677791405276</c:v>
                  </c:pt>
                  <c:pt idx="4">
                    <c:v>40.234286793211716</c:v>
                  </c:pt>
                  <c:pt idx="5">
                    <c:v>119.23304994175056</c:v>
                  </c:pt>
                  <c:pt idx="6">
                    <c:v>88.098993829837724</c:v>
                  </c:pt>
                  <c:pt idx="7">
                    <c:v>358.92652991873217</c:v>
                  </c:pt>
                  <c:pt idx="8">
                    <c:v>293.31067294256525</c:v>
                  </c:pt>
                  <c:pt idx="9">
                    <c:v>56.336240928762749</c:v>
                  </c:pt>
                  <c:pt idx="10">
                    <c:v>425.62903406892622</c:v>
                  </c:pt>
                  <c:pt idx="11">
                    <c:v>579.54948072305058</c:v>
                  </c:pt>
                  <c:pt idx="12">
                    <c:v>855.32675716305312</c:v>
                  </c:pt>
                  <c:pt idx="13">
                    <c:v>36.166446758863835</c:v>
                  </c:pt>
                  <c:pt idx="14">
                    <c:v>60.011130144115633</c:v>
                  </c:pt>
                  <c:pt idx="15">
                    <c:v>14.879751368990087</c:v>
                  </c:pt>
                  <c:pt idx="16">
                    <c:v>9.2272194866975603</c:v>
                  </c:pt>
                  <c:pt idx="17">
                    <c:v>15.864033138354747</c:v>
                  </c:pt>
                  <c:pt idx="18">
                    <c:v>13.293484338603404</c:v>
                  </c:pt>
                </c:numCache>
              </c:numRef>
            </c:minus>
          </c:errBars>
          <c:xVal>
            <c:numRef>
              <c:f>'Mb2'!$EK$46:$EK$64</c:f>
              <c:numCache>
                <c:formatCode>0.00</c:formatCode>
                <c:ptCount val="19"/>
                <c:pt idx="0">
                  <c:v>0</c:v>
                </c:pt>
                <c:pt idx="1">
                  <c:v>0.17599999999999999</c:v>
                </c:pt>
                <c:pt idx="2">
                  <c:v>0.48399999999999999</c:v>
                </c:pt>
                <c:pt idx="3">
                  <c:v>0.72399999999999998</c:v>
                </c:pt>
                <c:pt idx="4">
                  <c:v>0.96499999999999997</c:v>
                </c:pt>
                <c:pt idx="5">
                  <c:v>1.206</c:v>
                </c:pt>
                <c:pt idx="6">
                  <c:v>1.401</c:v>
                </c:pt>
                <c:pt idx="7">
                  <c:v>1.605</c:v>
                </c:pt>
                <c:pt idx="8">
                  <c:v>1.7949999999999999</c:v>
                </c:pt>
                <c:pt idx="9">
                  <c:v>1.9970000000000001</c:v>
                </c:pt>
                <c:pt idx="10">
                  <c:v>2.2040000000000002</c:v>
                </c:pt>
                <c:pt idx="11">
                  <c:v>2.3690000000000002</c:v>
                </c:pt>
                <c:pt idx="12">
                  <c:v>2.5529999999999999</c:v>
                </c:pt>
                <c:pt idx="13">
                  <c:v>2.8439999999999999</c:v>
                </c:pt>
                <c:pt idx="14">
                  <c:v>3.077</c:v>
                </c:pt>
                <c:pt idx="15">
                  <c:v>3.331</c:v>
                </c:pt>
                <c:pt idx="16">
                  <c:v>3.5790000000000002</c:v>
                </c:pt>
                <c:pt idx="17">
                  <c:v>3.798</c:v>
                </c:pt>
                <c:pt idx="18">
                  <c:v>4.0490000000000004</c:v>
                </c:pt>
              </c:numCache>
            </c:numRef>
          </c:xVal>
          <c:yVal>
            <c:numRef>
              <c:f>'Mb2'!$CU$46:$CU$64</c:f>
              <c:numCache>
                <c:formatCode>0.00</c:formatCode>
                <c:ptCount val="19"/>
                <c:pt idx="0">
                  <c:v>491.01296745249323</c:v>
                </c:pt>
                <c:pt idx="1">
                  <c:v>477.77793754071996</c:v>
                </c:pt>
                <c:pt idx="2">
                  <c:v>462.09508335251508</c:v>
                </c:pt>
                <c:pt idx="3">
                  <c:v>733.41749211578883</c:v>
                </c:pt>
                <c:pt idx="4">
                  <c:v>656.0686201901957</c:v>
                </c:pt>
                <c:pt idx="5">
                  <c:v>2154.0717568786263</c:v>
                </c:pt>
                <c:pt idx="6">
                  <c:v>3248.085351056905</c:v>
                </c:pt>
                <c:pt idx="7">
                  <c:v>4090.7557965270712</c:v>
                </c:pt>
                <c:pt idx="8">
                  <c:v>4236.7642038876893</c:v>
                </c:pt>
                <c:pt idx="9">
                  <c:v>1831.7181101574047</c:v>
                </c:pt>
                <c:pt idx="10">
                  <c:v>5759.4266200880802</c:v>
                </c:pt>
                <c:pt idx="11">
                  <c:v>5895.9475997519048</c:v>
                </c:pt>
                <c:pt idx="12">
                  <c:v>5116.0730907134339</c:v>
                </c:pt>
                <c:pt idx="13">
                  <c:v>966.47226308696122</c:v>
                </c:pt>
                <c:pt idx="14">
                  <c:v>2045.8589960761815</c:v>
                </c:pt>
                <c:pt idx="15">
                  <c:v>475.16309742954559</c:v>
                </c:pt>
                <c:pt idx="16">
                  <c:v>499.7327924723254</c:v>
                </c:pt>
                <c:pt idx="17">
                  <c:v>576.71821935428761</c:v>
                </c:pt>
                <c:pt idx="18">
                  <c:v>502.48704995970013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B-5E4E-9DCA-FF9E242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15912"/>
        <c:axId val="486823048"/>
      </c:scatterChart>
      <c:valAx>
        <c:axId val="486815912"/>
        <c:scaling>
          <c:orientation val="minMax"/>
          <c:max val="4.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6823048"/>
        <c:crosses val="autoZero"/>
        <c:crossBetween val="midCat"/>
        <c:majorUnit val="0.5"/>
      </c:valAx>
      <c:valAx>
        <c:axId val="48682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Apparent Age (Ma)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681591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96513552807729E-2"/>
          <c:y val="2.2401046765414163E-2"/>
          <c:w val="0.86720027638227137"/>
          <c:h val="0.87441277521519789"/>
        </c:manualLayout>
      </c:layout>
      <c:scatterChart>
        <c:scatterStyle val="smoothMarker"/>
        <c:varyColors val="0"/>
        <c:ser>
          <c:idx val="0"/>
          <c:order val="0"/>
          <c:tx>
            <c:v>40Ar (cps)</c:v>
          </c:tx>
          <c:errBars>
            <c:errDir val="y"/>
            <c:errBarType val="both"/>
            <c:errValType val="cust"/>
            <c:noEndCap val="0"/>
            <c:plus>
              <c:numRef>
                <c:f>'Mb2'!$BM$22:$BM$37</c:f>
                <c:numCache>
                  <c:formatCode>General</c:formatCode>
                  <c:ptCount val="16"/>
                  <c:pt idx="0">
                    <c:v>21.608926356689722</c:v>
                  </c:pt>
                  <c:pt idx="1">
                    <c:v>15.901097804317688</c:v>
                  </c:pt>
                  <c:pt idx="2">
                    <c:v>16.140934791262126</c:v>
                  </c:pt>
                  <c:pt idx="3">
                    <c:v>29.642300323557389</c:v>
                  </c:pt>
                  <c:pt idx="4">
                    <c:v>33.457905910366385</c:v>
                  </c:pt>
                  <c:pt idx="5">
                    <c:v>26.498308451339412</c:v>
                  </c:pt>
                  <c:pt idx="6">
                    <c:v>22.601357425818062</c:v>
                  </c:pt>
                  <c:pt idx="7">
                    <c:v>18.860629851732096</c:v>
                  </c:pt>
                  <c:pt idx="8">
                    <c:v>11.814528111157339</c:v>
                  </c:pt>
                  <c:pt idx="9">
                    <c:v>13.049365815353964</c:v>
                  </c:pt>
                  <c:pt idx="10">
                    <c:v>11.397263527111555</c:v>
                  </c:pt>
                  <c:pt idx="11">
                    <c:v>10.890315488362534</c:v>
                  </c:pt>
                  <c:pt idx="12">
                    <c:v>11.432796077179487</c:v>
                  </c:pt>
                  <c:pt idx="13">
                    <c:v>291.28197374395609</c:v>
                  </c:pt>
                  <c:pt idx="14">
                    <c:v>9.0371082943057832</c:v>
                  </c:pt>
                  <c:pt idx="15">
                    <c:v>9.4969589563139856</c:v>
                  </c:pt>
                </c:numCache>
              </c:numRef>
            </c:plus>
            <c:minus>
              <c:numRef>
                <c:f>'Mb2'!$BM$22:$BM$37</c:f>
                <c:numCache>
                  <c:formatCode>General</c:formatCode>
                  <c:ptCount val="16"/>
                  <c:pt idx="0">
                    <c:v>21.608926356689722</c:v>
                  </c:pt>
                  <c:pt idx="1">
                    <c:v>15.901097804317688</c:v>
                  </c:pt>
                  <c:pt idx="2">
                    <c:v>16.140934791262126</c:v>
                  </c:pt>
                  <c:pt idx="3">
                    <c:v>29.642300323557389</c:v>
                  </c:pt>
                  <c:pt idx="4">
                    <c:v>33.457905910366385</c:v>
                  </c:pt>
                  <c:pt idx="5">
                    <c:v>26.498308451339412</c:v>
                  </c:pt>
                  <c:pt idx="6">
                    <c:v>22.601357425818062</c:v>
                  </c:pt>
                  <c:pt idx="7">
                    <c:v>18.860629851732096</c:v>
                  </c:pt>
                  <c:pt idx="8">
                    <c:v>11.814528111157339</c:v>
                  </c:pt>
                  <c:pt idx="9">
                    <c:v>13.049365815353964</c:v>
                  </c:pt>
                  <c:pt idx="10">
                    <c:v>11.397263527111555</c:v>
                  </c:pt>
                  <c:pt idx="11">
                    <c:v>10.890315488362534</c:v>
                  </c:pt>
                  <c:pt idx="12">
                    <c:v>11.432796077179487</c:v>
                  </c:pt>
                  <c:pt idx="13">
                    <c:v>291.28197374395609</c:v>
                  </c:pt>
                  <c:pt idx="14">
                    <c:v>9.0371082943057832</c:v>
                  </c:pt>
                  <c:pt idx="15">
                    <c:v>9.4969589563139856</c:v>
                  </c:pt>
                </c:numCache>
              </c:numRef>
            </c:minus>
          </c:errBars>
          <c:xVal>
            <c:numRef>
              <c:f>'Mb2'!$EK$22:$EK$37</c:f>
              <c:numCache>
                <c:formatCode>0.00</c:formatCode>
                <c:ptCount val="16"/>
                <c:pt idx="0">
                  <c:v>0</c:v>
                </c:pt>
                <c:pt idx="1">
                  <c:v>0.23899999999999999</c:v>
                </c:pt>
                <c:pt idx="2">
                  <c:v>0.45900000000000002</c:v>
                </c:pt>
                <c:pt idx="3">
                  <c:v>0.751</c:v>
                </c:pt>
                <c:pt idx="4">
                  <c:v>1.006</c:v>
                </c:pt>
                <c:pt idx="5">
                  <c:v>1.236</c:v>
                </c:pt>
                <c:pt idx="6">
                  <c:v>1.482</c:v>
                </c:pt>
                <c:pt idx="7">
                  <c:v>1.6950000000000001</c:v>
                </c:pt>
                <c:pt idx="8">
                  <c:v>1.93</c:v>
                </c:pt>
                <c:pt idx="9">
                  <c:v>2.1680000000000001</c:v>
                </c:pt>
                <c:pt idx="10">
                  <c:v>2.536</c:v>
                </c:pt>
                <c:pt idx="11">
                  <c:v>2.8610000000000002</c:v>
                </c:pt>
                <c:pt idx="12">
                  <c:v>3.08</c:v>
                </c:pt>
                <c:pt idx="13">
                  <c:v>3.4009999999999998</c:v>
                </c:pt>
                <c:pt idx="14">
                  <c:v>3.6360000000000001</c:v>
                </c:pt>
                <c:pt idx="15">
                  <c:v>4.0060000000000002</c:v>
                </c:pt>
              </c:numCache>
            </c:numRef>
          </c:xVal>
          <c:yVal>
            <c:numRef>
              <c:f>'Mb2'!$BL$22:$BL$37</c:f>
              <c:numCache>
                <c:formatCode>General</c:formatCode>
                <c:ptCount val="16"/>
                <c:pt idx="0" formatCode="0.0000E+00">
                  <c:v>14505.900603009088</c:v>
                </c:pt>
                <c:pt idx="1">
                  <c:v>10143.000907795062</c:v>
                </c:pt>
                <c:pt idx="2">
                  <c:v>9612.591613693312</c:v>
                </c:pt>
                <c:pt idx="3">
                  <c:v>23448.809269286641</c:v>
                </c:pt>
                <c:pt idx="4">
                  <c:v>31821.189211525485</c:v>
                </c:pt>
                <c:pt idx="5">
                  <c:v>21961.570440826006</c:v>
                </c:pt>
                <c:pt idx="6">
                  <c:v>17950.451094915814</c:v>
                </c:pt>
                <c:pt idx="7">
                  <c:v>11914.525204141779</c:v>
                </c:pt>
                <c:pt idx="8">
                  <c:v>4409.5980023040693</c:v>
                </c:pt>
                <c:pt idx="9">
                  <c:v>4822.7518883249322</c:v>
                </c:pt>
                <c:pt idx="10">
                  <c:v>3605.153600634449</c:v>
                </c:pt>
                <c:pt idx="11">
                  <c:v>2782.961773660028</c:v>
                </c:pt>
                <c:pt idx="12">
                  <c:v>1154.1899996355371</c:v>
                </c:pt>
                <c:pt idx="13">
                  <c:v>741.06546061893766</c:v>
                </c:pt>
                <c:pt idx="14">
                  <c:v>522.55930804043169</c:v>
                </c:pt>
                <c:pt idx="15">
                  <c:v>258.3395776491592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B-7F4D-8EAA-F0E699AC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85512"/>
        <c:axId val="486912760"/>
      </c:scatterChart>
      <c:scatterChart>
        <c:scatterStyle val="smoothMarker"/>
        <c:varyColors val="0"/>
        <c:ser>
          <c:idx val="1"/>
          <c:order val="1"/>
          <c:tx>
            <c:v>39Ar (cps)</c:v>
          </c:tx>
          <c:errBars>
            <c:errDir val="y"/>
            <c:errBarType val="both"/>
            <c:errValType val="cust"/>
            <c:noEndCap val="0"/>
            <c:plus>
              <c:numRef>
                <c:f>'Mb2'!$BO$22:$BO$37</c:f>
                <c:numCache>
                  <c:formatCode>General</c:formatCode>
                  <c:ptCount val="16"/>
                  <c:pt idx="0">
                    <c:v>5.3282107825502365</c:v>
                  </c:pt>
                  <c:pt idx="1">
                    <c:v>4.2409458946859706</c:v>
                  </c:pt>
                  <c:pt idx="2">
                    <c:v>4.2444304043012524</c:v>
                  </c:pt>
                  <c:pt idx="3">
                    <c:v>2.4519217781198326</c:v>
                  </c:pt>
                  <c:pt idx="4">
                    <c:v>2.1550879848934152</c:v>
                  </c:pt>
                  <c:pt idx="5">
                    <c:v>0.90241215933790764</c:v>
                  </c:pt>
                  <c:pt idx="6">
                    <c:v>0.82300387006011555</c:v>
                  </c:pt>
                  <c:pt idx="7">
                    <c:v>2.0491476497602807</c:v>
                  </c:pt>
                  <c:pt idx="8">
                    <c:v>2.8604135877295773</c:v>
                  </c:pt>
                  <c:pt idx="9">
                    <c:v>3.7318674601261335</c:v>
                  </c:pt>
                  <c:pt idx="10">
                    <c:v>2.8373194442088421</c:v>
                  </c:pt>
                  <c:pt idx="11">
                    <c:v>2.9445325586295117</c:v>
                  </c:pt>
                  <c:pt idx="12">
                    <c:v>0.87207371323512195</c:v>
                  </c:pt>
                  <c:pt idx="13">
                    <c:v>2.342366120359328</c:v>
                  </c:pt>
                  <c:pt idx="14">
                    <c:v>0.76830330951960568</c:v>
                  </c:pt>
                  <c:pt idx="15">
                    <c:v>0.84143854634182669</c:v>
                  </c:pt>
                </c:numCache>
              </c:numRef>
            </c:plus>
            <c:minus>
              <c:numRef>
                <c:f>'Mb2'!$BO$22:$BO$37</c:f>
                <c:numCache>
                  <c:formatCode>General</c:formatCode>
                  <c:ptCount val="16"/>
                  <c:pt idx="0">
                    <c:v>5.3282107825502365</c:v>
                  </c:pt>
                  <c:pt idx="1">
                    <c:v>4.2409458946859706</c:v>
                  </c:pt>
                  <c:pt idx="2">
                    <c:v>4.2444304043012524</c:v>
                  </c:pt>
                  <c:pt idx="3">
                    <c:v>2.4519217781198326</c:v>
                  </c:pt>
                  <c:pt idx="4">
                    <c:v>2.1550879848934152</c:v>
                  </c:pt>
                  <c:pt idx="5">
                    <c:v>0.90241215933790764</c:v>
                  </c:pt>
                  <c:pt idx="6">
                    <c:v>0.82300387006011555</c:v>
                  </c:pt>
                  <c:pt idx="7">
                    <c:v>2.0491476497602807</c:v>
                  </c:pt>
                  <c:pt idx="8">
                    <c:v>2.8604135877295773</c:v>
                  </c:pt>
                  <c:pt idx="9">
                    <c:v>3.7318674601261335</c:v>
                  </c:pt>
                  <c:pt idx="10">
                    <c:v>2.8373194442088421</c:v>
                  </c:pt>
                  <c:pt idx="11">
                    <c:v>2.9445325586295117</c:v>
                  </c:pt>
                  <c:pt idx="12">
                    <c:v>0.87207371323512195</c:v>
                  </c:pt>
                  <c:pt idx="13">
                    <c:v>2.342366120359328</c:v>
                  </c:pt>
                  <c:pt idx="14">
                    <c:v>0.76830330951960568</c:v>
                  </c:pt>
                  <c:pt idx="15">
                    <c:v>0.84143854634182669</c:v>
                  </c:pt>
                </c:numCache>
              </c:numRef>
            </c:minus>
          </c:errBars>
          <c:xVal>
            <c:numRef>
              <c:f>'Mb2'!$EK$22:$EK$37</c:f>
              <c:numCache>
                <c:formatCode>0.00</c:formatCode>
                <c:ptCount val="16"/>
                <c:pt idx="0">
                  <c:v>0</c:v>
                </c:pt>
                <c:pt idx="1">
                  <c:v>0.23899999999999999</c:v>
                </c:pt>
                <c:pt idx="2">
                  <c:v>0.45900000000000002</c:v>
                </c:pt>
                <c:pt idx="3">
                  <c:v>0.751</c:v>
                </c:pt>
                <c:pt idx="4">
                  <c:v>1.006</c:v>
                </c:pt>
                <c:pt idx="5">
                  <c:v>1.236</c:v>
                </c:pt>
                <c:pt idx="6">
                  <c:v>1.482</c:v>
                </c:pt>
                <c:pt idx="7">
                  <c:v>1.6950000000000001</c:v>
                </c:pt>
                <c:pt idx="8">
                  <c:v>1.93</c:v>
                </c:pt>
                <c:pt idx="9">
                  <c:v>2.1680000000000001</c:v>
                </c:pt>
                <c:pt idx="10">
                  <c:v>2.536</c:v>
                </c:pt>
                <c:pt idx="11">
                  <c:v>2.8610000000000002</c:v>
                </c:pt>
                <c:pt idx="12">
                  <c:v>3.08</c:v>
                </c:pt>
                <c:pt idx="13">
                  <c:v>3.4009999999999998</c:v>
                </c:pt>
                <c:pt idx="14">
                  <c:v>3.6360000000000001</c:v>
                </c:pt>
                <c:pt idx="15">
                  <c:v>4.0060000000000002</c:v>
                </c:pt>
              </c:numCache>
            </c:numRef>
          </c:xVal>
          <c:yVal>
            <c:numRef>
              <c:f>'Mb2'!$BN$22:$BN$37</c:f>
              <c:numCache>
                <c:formatCode>General</c:formatCode>
                <c:ptCount val="16"/>
                <c:pt idx="0">
                  <c:v>1071.0686016078484</c:v>
                </c:pt>
                <c:pt idx="1">
                  <c:v>852.06479796585393</c:v>
                </c:pt>
                <c:pt idx="2">
                  <c:v>815.80997361871471</c:v>
                </c:pt>
                <c:pt idx="3">
                  <c:v>164.29799076358145</c:v>
                </c:pt>
                <c:pt idx="4">
                  <c:v>123.02030730232195</c:v>
                </c:pt>
                <c:pt idx="5">
                  <c:v>33.136547987462563</c:v>
                </c:pt>
                <c:pt idx="6">
                  <c:v>19.235419331842895</c:v>
                </c:pt>
                <c:pt idx="7">
                  <c:v>101.92460033212753</c:v>
                </c:pt>
                <c:pt idx="8">
                  <c:v>297.48785265642914</c:v>
                </c:pt>
                <c:pt idx="9">
                  <c:v>384.9207291174784</c:v>
                </c:pt>
                <c:pt idx="10">
                  <c:v>284.77175847131332</c:v>
                </c:pt>
                <c:pt idx="11">
                  <c:v>238.58924982043806</c:v>
                </c:pt>
                <c:pt idx="12">
                  <c:v>63.765635839459122</c:v>
                </c:pt>
                <c:pt idx="13">
                  <c:v>160.23167624129107</c:v>
                </c:pt>
                <c:pt idx="14">
                  <c:v>14.705960692157502</c:v>
                </c:pt>
                <c:pt idx="15">
                  <c:v>8.9760661538277429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B-7F4D-8EAA-F0E699AC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17560"/>
        <c:axId val="486914536"/>
      </c:scatterChart>
      <c:valAx>
        <c:axId val="486885512"/>
        <c:scaling>
          <c:orientation val="minMax"/>
          <c:max val="4.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Distance</a:t>
                </a:r>
                <a:r>
                  <a:rPr lang="en-GB" sz="1400" baseline="0"/>
                  <a:t> (mm)</a:t>
                </a:r>
                <a:endParaRPr lang="en-GB" sz="14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6912760"/>
        <c:crosses val="autoZero"/>
        <c:crossBetween val="midCat"/>
        <c:majorUnit val="0.5"/>
      </c:valAx>
      <c:valAx>
        <c:axId val="486912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486885512"/>
        <c:crosses val="autoZero"/>
        <c:crossBetween val="midCat"/>
      </c:valAx>
      <c:valAx>
        <c:axId val="4869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6917560"/>
        <c:crosses val="max"/>
        <c:crossBetween val="midCat"/>
      </c:valAx>
      <c:valAx>
        <c:axId val="486917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8691453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407660971080642"/>
          <c:y val="3.7789870994042678E-2"/>
          <c:w val="0.10402211058169832"/>
          <c:h val="7.2970136491931445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4746145762858E-2"/>
          <c:y val="2.2401046765414163E-2"/>
          <c:w val="0.87972684218860209"/>
          <c:h val="0.87441277521519789"/>
        </c:manualLayout>
      </c:layout>
      <c:scatterChart>
        <c:scatterStyle val="smoothMarker"/>
        <c:varyColors val="0"/>
        <c:ser>
          <c:idx val="0"/>
          <c:order val="0"/>
          <c:tx>
            <c:v>40Ar (cps)</c:v>
          </c:tx>
          <c:xVal>
            <c:numRef>
              <c:f>'Mb2'!$EK$38:$EK$45</c:f>
              <c:numCache>
                <c:formatCode>0.00</c:formatCode>
                <c:ptCount val="8"/>
                <c:pt idx="0">
                  <c:v>0</c:v>
                </c:pt>
                <c:pt idx="1">
                  <c:v>0.186</c:v>
                </c:pt>
                <c:pt idx="2">
                  <c:v>0.376</c:v>
                </c:pt>
                <c:pt idx="3">
                  <c:v>0.56599999999999995</c:v>
                </c:pt>
                <c:pt idx="4">
                  <c:v>0.73499999999999999</c:v>
                </c:pt>
                <c:pt idx="5">
                  <c:v>0.90400000000000003</c:v>
                </c:pt>
                <c:pt idx="6">
                  <c:v>1.08</c:v>
                </c:pt>
                <c:pt idx="7">
                  <c:v>1.256</c:v>
                </c:pt>
              </c:numCache>
            </c:numRef>
          </c:xVal>
          <c:yVal>
            <c:numRef>
              <c:f>'Mb2'!$BL$38:$BL$45</c:f>
              <c:numCache>
                <c:formatCode>General</c:formatCode>
                <c:ptCount val="8"/>
                <c:pt idx="0">
                  <c:v>9434.9648608690313</c:v>
                </c:pt>
                <c:pt idx="1">
                  <c:v>6839.4605634363934</c:v>
                </c:pt>
                <c:pt idx="2">
                  <c:v>5473.5263159138931</c:v>
                </c:pt>
                <c:pt idx="3">
                  <c:v>4333.9270222467112</c:v>
                </c:pt>
                <c:pt idx="4">
                  <c:v>4029.7604600609866</c:v>
                </c:pt>
                <c:pt idx="5">
                  <c:v>1843.778935555591</c:v>
                </c:pt>
                <c:pt idx="6">
                  <c:v>3838.4411622958305</c:v>
                </c:pt>
                <c:pt idx="7">
                  <c:v>35166.38498263267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5-0B45-9374-BEBD5444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08872"/>
        <c:axId val="292339256"/>
      </c:scatterChart>
      <c:scatterChart>
        <c:scatterStyle val="smoothMarker"/>
        <c:varyColors val="0"/>
        <c:ser>
          <c:idx val="1"/>
          <c:order val="1"/>
          <c:tx>
            <c:v>39ar (cps)</c:v>
          </c:tx>
          <c:xVal>
            <c:numRef>
              <c:f>'Mb2'!$EK$38:$EK$45</c:f>
              <c:numCache>
                <c:formatCode>0.00</c:formatCode>
                <c:ptCount val="8"/>
                <c:pt idx="0">
                  <c:v>0</c:v>
                </c:pt>
                <c:pt idx="1">
                  <c:v>0.186</c:v>
                </c:pt>
                <c:pt idx="2">
                  <c:v>0.376</c:v>
                </c:pt>
                <c:pt idx="3">
                  <c:v>0.56599999999999995</c:v>
                </c:pt>
                <c:pt idx="4">
                  <c:v>0.73499999999999999</c:v>
                </c:pt>
                <c:pt idx="5">
                  <c:v>0.90400000000000003</c:v>
                </c:pt>
                <c:pt idx="6">
                  <c:v>1.08</c:v>
                </c:pt>
                <c:pt idx="7">
                  <c:v>1.256</c:v>
                </c:pt>
              </c:numCache>
            </c:numRef>
          </c:xVal>
          <c:yVal>
            <c:numRef>
              <c:f>'Mb2'!$BN$38:$BN$45</c:f>
              <c:numCache>
                <c:formatCode>General</c:formatCode>
                <c:ptCount val="8"/>
                <c:pt idx="0">
                  <c:v>87.967419067186214</c:v>
                </c:pt>
                <c:pt idx="1">
                  <c:v>73.036014846910291</c:v>
                </c:pt>
                <c:pt idx="2">
                  <c:v>57.043888940502598</c:v>
                </c:pt>
                <c:pt idx="3">
                  <c:v>84.537718925987022</c:v>
                </c:pt>
                <c:pt idx="4">
                  <c:v>75.233014112656278</c:v>
                </c:pt>
                <c:pt idx="5">
                  <c:v>65.127503223516584</c:v>
                </c:pt>
                <c:pt idx="6">
                  <c:v>39.056046779184676</c:v>
                </c:pt>
                <c:pt idx="7">
                  <c:v>21.62173140416871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5-0B45-9374-BEBD5444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44648"/>
        <c:axId val="292341512"/>
      </c:scatterChart>
      <c:valAx>
        <c:axId val="292308872"/>
        <c:scaling>
          <c:orientation val="minMax"/>
          <c:max val="1.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2339256"/>
        <c:crosses val="autoZero"/>
        <c:crossBetween val="midCat"/>
      </c:valAx>
      <c:valAx>
        <c:axId val="292339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2308872"/>
        <c:crosses val="autoZero"/>
        <c:crossBetween val="midCat"/>
      </c:valAx>
      <c:valAx>
        <c:axId val="292341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92344648"/>
        <c:crosses val="max"/>
        <c:crossBetween val="midCat"/>
      </c:valAx>
      <c:valAx>
        <c:axId val="292344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234151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407660971080642"/>
          <c:y val="2.9719253728450419E-2"/>
          <c:w val="0.10402211058169832"/>
          <c:h val="7.2970136491931445E-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32470598396405E-2"/>
          <c:y val="2.2401046765414163E-2"/>
          <c:w val="0.89591697015935179"/>
          <c:h val="0.87441277521519789"/>
        </c:manualLayout>
      </c:layout>
      <c:scatterChart>
        <c:scatterStyle val="smoothMarker"/>
        <c:varyColors val="0"/>
        <c:ser>
          <c:idx val="0"/>
          <c:order val="0"/>
          <c:tx>
            <c:v>40Ar (cps)</c:v>
          </c:tx>
          <c:xVal>
            <c:numRef>
              <c:f>'Mb2'!$EK$46:$EK$64</c:f>
              <c:numCache>
                <c:formatCode>0.00</c:formatCode>
                <c:ptCount val="19"/>
                <c:pt idx="0">
                  <c:v>0</c:v>
                </c:pt>
                <c:pt idx="1">
                  <c:v>0.17599999999999999</c:v>
                </c:pt>
                <c:pt idx="2">
                  <c:v>0.48399999999999999</c:v>
                </c:pt>
                <c:pt idx="3">
                  <c:v>0.72399999999999998</c:v>
                </c:pt>
                <c:pt idx="4">
                  <c:v>0.96499999999999997</c:v>
                </c:pt>
                <c:pt idx="5">
                  <c:v>1.206</c:v>
                </c:pt>
                <c:pt idx="6">
                  <c:v>1.401</c:v>
                </c:pt>
                <c:pt idx="7">
                  <c:v>1.605</c:v>
                </c:pt>
                <c:pt idx="8">
                  <c:v>1.7949999999999999</c:v>
                </c:pt>
                <c:pt idx="9">
                  <c:v>1.9970000000000001</c:v>
                </c:pt>
                <c:pt idx="10">
                  <c:v>2.2040000000000002</c:v>
                </c:pt>
                <c:pt idx="11">
                  <c:v>2.3690000000000002</c:v>
                </c:pt>
                <c:pt idx="12">
                  <c:v>2.5529999999999999</c:v>
                </c:pt>
                <c:pt idx="13">
                  <c:v>2.8439999999999999</c:v>
                </c:pt>
                <c:pt idx="14">
                  <c:v>3.077</c:v>
                </c:pt>
                <c:pt idx="15">
                  <c:v>3.331</c:v>
                </c:pt>
                <c:pt idx="16">
                  <c:v>3.5790000000000002</c:v>
                </c:pt>
                <c:pt idx="17">
                  <c:v>3.798</c:v>
                </c:pt>
                <c:pt idx="18">
                  <c:v>4.0490000000000004</c:v>
                </c:pt>
              </c:numCache>
            </c:numRef>
          </c:xVal>
          <c:yVal>
            <c:numRef>
              <c:f>'Mb2'!$BL$46:$BL$64</c:f>
              <c:numCache>
                <c:formatCode>General</c:formatCode>
                <c:ptCount val="19"/>
                <c:pt idx="0">
                  <c:v>1687.325215978248</c:v>
                </c:pt>
                <c:pt idx="1">
                  <c:v>1496.1867899517897</c:v>
                </c:pt>
                <c:pt idx="2">
                  <c:v>633.20129924450703</c:v>
                </c:pt>
                <c:pt idx="3">
                  <c:v>972.96757008213717</c:v>
                </c:pt>
                <c:pt idx="4">
                  <c:v>843.93460085788968</c:v>
                </c:pt>
                <c:pt idx="5">
                  <c:v>1502.0361797019111</c:v>
                </c:pt>
                <c:pt idx="6">
                  <c:v>5708.0475779286589</c:v>
                </c:pt>
                <c:pt idx="7">
                  <c:v>2385.4686531761931</c:v>
                </c:pt>
                <c:pt idx="8">
                  <c:v>3747.0445016816057</c:v>
                </c:pt>
                <c:pt idx="9">
                  <c:v>2717.5890554102502</c:v>
                </c:pt>
                <c:pt idx="10">
                  <c:v>6272.3506615876322</c:v>
                </c:pt>
                <c:pt idx="11">
                  <c:v>5006.2457506195478</c:v>
                </c:pt>
                <c:pt idx="12">
                  <c:v>2075.1038371553286</c:v>
                </c:pt>
                <c:pt idx="13">
                  <c:v>2115.748246866357</c:v>
                </c:pt>
                <c:pt idx="14">
                  <c:v>2851.2363005508114</c:v>
                </c:pt>
                <c:pt idx="15">
                  <c:v>1702.5368970238005</c:v>
                </c:pt>
                <c:pt idx="16">
                  <c:v>2970.3192903937193</c:v>
                </c:pt>
                <c:pt idx="17">
                  <c:v>2011.8312909742456</c:v>
                </c:pt>
                <c:pt idx="18">
                  <c:v>2164.2935148999645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8-3449-B142-2E507468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92248"/>
        <c:axId val="292413832"/>
      </c:scatterChart>
      <c:scatterChart>
        <c:scatterStyle val="smoothMarker"/>
        <c:varyColors val="0"/>
        <c:ser>
          <c:idx val="1"/>
          <c:order val="1"/>
          <c:tx>
            <c:v>39Ar (cps)</c:v>
          </c:tx>
          <c:xVal>
            <c:numRef>
              <c:f>'Mb2'!$EK$46:$EK$64</c:f>
              <c:numCache>
                <c:formatCode>0.00</c:formatCode>
                <c:ptCount val="19"/>
                <c:pt idx="0">
                  <c:v>0</c:v>
                </c:pt>
                <c:pt idx="1">
                  <c:v>0.17599999999999999</c:v>
                </c:pt>
                <c:pt idx="2">
                  <c:v>0.48399999999999999</c:v>
                </c:pt>
                <c:pt idx="3">
                  <c:v>0.72399999999999998</c:v>
                </c:pt>
                <c:pt idx="4">
                  <c:v>0.96499999999999997</c:v>
                </c:pt>
                <c:pt idx="5">
                  <c:v>1.206</c:v>
                </c:pt>
                <c:pt idx="6">
                  <c:v>1.401</c:v>
                </c:pt>
                <c:pt idx="7">
                  <c:v>1.605</c:v>
                </c:pt>
                <c:pt idx="8">
                  <c:v>1.7949999999999999</c:v>
                </c:pt>
                <c:pt idx="9">
                  <c:v>1.9970000000000001</c:v>
                </c:pt>
                <c:pt idx="10">
                  <c:v>2.2040000000000002</c:v>
                </c:pt>
                <c:pt idx="11">
                  <c:v>2.3690000000000002</c:v>
                </c:pt>
                <c:pt idx="12">
                  <c:v>2.5529999999999999</c:v>
                </c:pt>
                <c:pt idx="13">
                  <c:v>2.8439999999999999</c:v>
                </c:pt>
                <c:pt idx="14">
                  <c:v>3.077</c:v>
                </c:pt>
                <c:pt idx="15">
                  <c:v>3.331</c:v>
                </c:pt>
                <c:pt idx="16">
                  <c:v>3.5790000000000002</c:v>
                </c:pt>
                <c:pt idx="17">
                  <c:v>3.798</c:v>
                </c:pt>
                <c:pt idx="18">
                  <c:v>4.0490000000000004</c:v>
                </c:pt>
              </c:numCache>
            </c:numRef>
          </c:xVal>
          <c:yVal>
            <c:numRef>
              <c:f>'Mb2'!$BN$46:$BN$64</c:f>
              <c:numCache>
                <c:formatCode>General</c:formatCode>
                <c:ptCount val="19"/>
                <c:pt idx="0">
                  <c:v>144.17830429743992</c:v>
                </c:pt>
                <c:pt idx="1">
                  <c:v>131.97985697435158</c:v>
                </c:pt>
                <c:pt idx="2">
                  <c:v>57.398157251668174</c:v>
                </c:pt>
                <c:pt idx="3">
                  <c:v>51.642145299997111</c:v>
                </c:pt>
                <c:pt idx="4">
                  <c:v>50.988079615993364</c:v>
                </c:pt>
                <c:pt idx="5">
                  <c:v>17.433491784439092</c:v>
                </c:pt>
                <c:pt idx="6">
                  <c:v>30.222756074774345</c:v>
                </c:pt>
                <c:pt idx="7">
                  <c:v>7.370918046295599</c:v>
                </c:pt>
                <c:pt idx="8">
                  <c:v>10.590576464710537</c:v>
                </c:pt>
                <c:pt idx="9">
                  <c:v>41.32764647220943</c:v>
                </c:pt>
                <c:pt idx="10">
                  <c:v>7.1921528414224785</c:v>
                </c:pt>
                <c:pt idx="11">
                  <c:v>5.2999904885636155</c:v>
                </c:pt>
                <c:pt idx="12">
                  <c:v>3.4608775428157226</c:v>
                </c:pt>
                <c:pt idx="13">
                  <c:v>79.763960716171823</c:v>
                </c:pt>
                <c:pt idx="14">
                  <c:v>36.117764839050032</c:v>
                </c:pt>
                <c:pt idx="15">
                  <c:v>150.95692515778751</c:v>
                </c:pt>
                <c:pt idx="16">
                  <c:v>248.85992988439821</c:v>
                </c:pt>
                <c:pt idx="17">
                  <c:v>142.58444210485314</c:v>
                </c:pt>
                <c:pt idx="18">
                  <c:v>180.33069167487787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8-3449-B142-2E507468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19000"/>
        <c:axId val="292416072"/>
      </c:scatterChart>
      <c:valAx>
        <c:axId val="292392248"/>
        <c:scaling>
          <c:orientation val="minMax"/>
          <c:max val="4.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Distance (mm)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2413832"/>
        <c:crosses val="autoZero"/>
        <c:crossBetween val="midCat"/>
        <c:majorUnit val="0.5"/>
      </c:valAx>
      <c:valAx>
        <c:axId val="29241383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92392248"/>
        <c:crosses val="autoZero"/>
        <c:crossBetween val="midCat"/>
      </c:valAx>
      <c:valAx>
        <c:axId val="292416072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92419000"/>
        <c:crosses val="max"/>
        <c:crossBetween val="midCat"/>
      </c:valAx>
      <c:valAx>
        <c:axId val="2924190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2416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16268839338411"/>
          <c:y val="3.3754562361246548E-2"/>
          <c:w val="0.10402211058169832"/>
          <c:h val="7.2970136491931445E-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('Mb2'!$DL$25:$DL$29,'Mb2'!$DL$38:$DL$40,'Mb2'!$DL$44:$DL$45,'Mb2'!$DL$51:$DL$58)</c:f>
              <c:numCache>
                <c:formatCode>0.00E+00</c:formatCode>
                <c:ptCount val="18"/>
                <c:pt idx="0">
                  <c:v>7.0066666872837646E-3</c:v>
                </c:pt>
                <c:pt idx="1">
                  <c:v>3.8659871095504052E-3</c:v>
                </c:pt>
                <c:pt idx="2">
                  <c:v>1.5088423697543303E-3</c:v>
                </c:pt>
                <c:pt idx="3">
                  <c:v>1.0715841752462158E-3</c:v>
                </c:pt>
                <c:pt idx="4">
                  <c:v>8.5546506122372423E-3</c:v>
                </c:pt>
                <c:pt idx="5">
                  <c:v>9.3235555579041923E-3</c:v>
                </c:pt>
                <c:pt idx="6">
                  <c:v>1.0678622117855205E-2</c:v>
                </c:pt>
                <c:pt idx="7">
                  <c:v>1.0421780338326227E-2</c:v>
                </c:pt>
                <c:pt idx="8">
                  <c:v>1.0174976019646646E-2</c:v>
                </c:pt>
                <c:pt idx="9">
                  <c:v>6.1484088895821549E-4</c:v>
                </c:pt>
                <c:pt idx="10">
                  <c:v>1.1606572478100282E-2</c:v>
                </c:pt>
                <c:pt idx="11">
                  <c:v>5.2947624668786665E-3</c:v>
                </c:pt>
                <c:pt idx="12">
                  <c:v>3.0899245045544412E-3</c:v>
                </c:pt>
                <c:pt idx="13">
                  <c:v>2.8263812879611326E-3</c:v>
                </c:pt>
                <c:pt idx="14">
                  <c:v>1.5207467218022986E-2</c:v>
                </c:pt>
                <c:pt idx="15">
                  <c:v>1.1466439345408073E-3</c:v>
                </c:pt>
                <c:pt idx="16">
                  <c:v>1.0586756528897358E-3</c:v>
                </c:pt>
                <c:pt idx="17">
                  <c:v>1.6678093311995857E-3</c:v>
                </c:pt>
              </c:numCache>
            </c:numRef>
          </c:xVal>
          <c:yVal>
            <c:numRef>
              <c:f>('Mb2'!$DN$25:$DN$29,'Mb2'!$DN$38:$DN$40,'Mb2'!$DN$44:$DN$45,'Mb2'!$DN$51:$DN$58)</c:f>
              <c:numCache>
                <c:formatCode>0.00E+00</c:formatCode>
                <c:ptCount val="18"/>
                <c:pt idx="0">
                  <c:v>5.4452485700876951E-4</c:v>
                </c:pt>
                <c:pt idx="1">
                  <c:v>2.4056248303394459E-3</c:v>
                </c:pt>
                <c:pt idx="2">
                  <c:v>5.5329219149455658E-4</c:v>
                </c:pt>
                <c:pt idx="3">
                  <c:v>3.9801778518456572E-4</c:v>
                </c:pt>
                <c:pt idx="4">
                  <c:v>4.4794597327870301E-4</c:v>
                </c:pt>
                <c:pt idx="5">
                  <c:v>1.0981796268226957E-3</c:v>
                </c:pt>
                <c:pt idx="6">
                  <c:v>8.6622196767206989E-4</c:v>
                </c:pt>
                <c:pt idx="7">
                  <c:v>8.6196666349974086E-4</c:v>
                </c:pt>
                <c:pt idx="8">
                  <c:v>9.193916479467983E-4</c:v>
                </c:pt>
                <c:pt idx="9">
                  <c:v>2.7142775562726002E-3</c:v>
                </c:pt>
                <c:pt idx="10">
                  <c:v>3.2792485333341687E-3</c:v>
                </c:pt>
                <c:pt idx="11">
                  <c:v>1.3462876248603751E-3</c:v>
                </c:pt>
                <c:pt idx="12">
                  <c:v>1.5608057440792665E-3</c:v>
                </c:pt>
                <c:pt idx="13">
                  <c:v>8.3652201782212325E-4</c:v>
                </c:pt>
                <c:pt idx="14">
                  <c:v>6.3659824160492307E-4</c:v>
                </c:pt>
                <c:pt idx="15">
                  <c:v>5.2805336759462846E-4</c:v>
                </c:pt>
                <c:pt idx="16">
                  <c:v>1.5573598527928855E-3</c:v>
                </c:pt>
                <c:pt idx="17">
                  <c:v>9.8929895066221106E-4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3-1D42-B2DF-3EA86EC1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76767"/>
        <c:axId val="447378447"/>
      </c:scatterChart>
      <c:valAx>
        <c:axId val="4473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78447"/>
        <c:crosses val="autoZero"/>
        <c:crossBetween val="midCat"/>
      </c:valAx>
      <c:valAx>
        <c:axId val="4473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7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180874763776499"/>
          <c:y val="8.1470019838681795E-2"/>
          <c:w val="0.62806574457183295"/>
          <c:h val="0.78336557537193996"/>
        </c:manualLayout>
      </c:layout>
      <c:scatterChart>
        <c:scatterStyle val="lineMarker"/>
        <c:varyColors val="0"/>
        <c:ser>
          <c:idx val="1"/>
          <c:order val="0"/>
          <c:spPr>
            <a:ln w="3175">
              <a:solidFill>
                <a:srgbClr val="0000D4"/>
              </a:solidFill>
              <a:prstDash val="lgDashDot"/>
            </a:ln>
          </c:spPr>
          <c:marker>
            <c:symbol val="none"/>
          </c:marker>
          <c:xVal>
            <c:numRef>
              <c:f>PlotDat1!$E$1:$E$2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PlotDat1!$F$1:$F$2</c:f>
              <c:numCache>
                <c:formatCode>General</c:formatCode>
                <c:ptCount val="2"/>
                <c:pt idx="0">
                  <c:v>0.22274542795909602</c:v>
                </c:pt>
                <c:pt idx="1">
                  <c:v>2.2715977000712035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F-DA44-852F-A5C852ACB7AD}"/>
            </c:ext>
          </c:extLst>
        </c:ser>
        <c:ser>
          <c:idx val="2"/>
          <c:order val="1"/>
          <c:tx>
            <c:v>IsoDat1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FF"/>
              </a:solidFill>
            </c:spPr>
          </c:marker>
          <c:dPt>
            <c:idx val="0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6F-DA44-852F-A5C852ACB7AD}"/>
              </c:ext>
            </c:extLst>
          </c:dPt>
          <c:dPt>
            <c:idx val="1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6F-DA44-852F-A5C852ACB7AD}"/>
              </c:ext>
            </c:extLst>
          </c:dPt>
          <c:dPt>
            <c:idx val="2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6F-DA44-852F-A5C852ACB7AD}"/>
              </c:ext>
            </c:extLst>
          </c:dPt>
          <c:dPt>
            <c:idx val="3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6F-DA44-852F-A5C852ACB7AD}"/>
              </c:ext>
            </c:extLst>
          </c:dPt>
          <c:dPt>
            <c:idx val="4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56F-DA44-852F-A5C852ACB7AD}"/>
              </c:ext>
            </c:extLst>
          </c:dPt>
          <c:dPt>
            <c:idx val="5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56F-DA44-852F-A5C852ACB7AD}"/>
              </c:ext>
            </c:extLst>
          </c:dPt>
          <c:dPt>
            <c:idx val="6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56F-DA44-852F-A5C852ACB7AD}"/>
              </c:ext>
            </c:extLst>
          </c:dPt>
          <c:dPt>
            <c:idx val="7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6F-DA44-852F-A5C852ACB7AD}"/>
              </c:ext>
            </c:extLst>
          </c:dPt>
          <c:dPt>
            <c:idx val="8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6F-DA44-852F-A5C852ACB7AD}"/>
              </c:ext>
            </c:extLst>
          </c:dPt>
          <c:dPt>
            <c:idx val="9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56F-DA44-852F-A5C852ACB7AD}"/>
              </c:ext>
            </c:extLst>
          </c:dPt>
          <c:dPt>
            <c:idx val="10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56F-DA44-852F-A5C852ACB7AD}"/>
              </c:ext>
            </c:extLst>
          </c:dPt>
          <c:dPt>
            <c:idx val="11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56F-DA44-852F-A5C852ACB7AD}"/>
              </c:ext>
            </c:extLst>
          </c:dPt>
          <c:dPt>
            <c:idx val="12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56F-DA44-852F-A5C852ACB7AD}"/>
              </c:ext>
            </c:extLst>
          </c:dPt>
          <c:dPt>
            <c:idx val="13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56F-DA44-852F-A5C852ACB7AD}"/>
              </c:ext>
            </c:extLst>
          </c:dPt>
          <c:dPt>
            <c:idx val="14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56F-DA44-852F-A5C852ACB7AD}"/>
              </c:ext>
            </c:extLst>
          </c:dPt>
          <c:dPt>
            <c:idx val="15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56F-DA44-852F-A5C852ACB7AD}"/>
              </c:ext>
            </c:extLst>
          </c:dPt>
          <c:dPt>
            <c:idx val="16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56F-DA44-852F-A5C852ACB7AD}"/>
              </c:ext>
            </c:extLst>
          </c:dPt>
          <c:dPt>
            <c:idx val="17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56F-DA44-852F-A5C852ACB7AD}"/>
              </c:ext>
            </c:extLst>
          </c:dPt>
          <c:dPt>
            <c:idx val="18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56F-DA44-852F-A5C852ACB7AD}"/>
              </c:ext>
            </c:extLst>
          </c:dPt>
          <c:dPt>
            <c:idx val="19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56F-DA44-852F-A5C852ACB7AD}"/>
              </c:ext>
            </c:extLst>
          </c:dPt>
          <c:dPt>
            <c:idx val="20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56F-DA44-852F-A5C852ACB7AD}"/>
              </c:ext>
            </c:extLst>
          </c:dPt>
          <c:dPt>
            <c:idx val="21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56F-DA44-852F-A5C852ACB7AD}"/>
              </c:ext>
            </c:extLst>
          </c:dPt>
          <c:dPt>
            <c:idx val="22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56F-DA44-852F-A5C852ACB7AD}"/>
              </c:ext>
            </c:extLst>
          </c:dPt>
          <c:dPt>
            <c:idx val="23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56F-DA44-852F-A5C852ACB7AD}"/>
              </c:ext>
            </c:extLst>
          </c:dPt>
          <c:dPt>
            <c:idx val="24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56F-DA44-852F-A5C852ACB7AD}"/>
              </c:ext>
            </c:extLst>
          </c:dPt>
          <c:dPt>
            <c:idx val="25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56F-DA44-852F-A5C852ACB7AD}"/>
              </c:ext>
            </c:extLst>
          </c:dPt>
          <c:dPt>
            <c:idx val="26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56F-DA44-852F-A5C852ACB7AD}"/>
              </c:ext>
            </c:extLst>
          </c:dPt>
          <c:dPt>
            <c:idx val="27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56F-DA44-852F-A5C852ACB7AD}"/>
              </c:ext>
            </c:extLst>
          </c:dPt>
          <c:dPt>
            <c:idx val="28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56F-DA44-852F-A5C852ACB7AD}"/>
              </c:ext>
            </c:extLst>
          </c:dPt>
          <c:dPt>
            <c:idx val="29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56F-DA44-852F-A5C852ACB7AD}"/>
              </c:ext>
            </c:extLst>
          </c:dPt>
          <c:dPt>
            <c:idx val="30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56F-DA44-852F-A5C852ACB7AD}"/>
              </c:ext>
            </c:extLst>
          </c:dPt>
          <c:dPt>
            <c:idx val="31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56F-DA44-852F-A5C852ACB7AD}"/>
              </c:ext>
            </c:extLst>
          </c:dPt>
          <c:dPt>
            <c:idx val="32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56F-DA44-852F-A5C852ACB7AD}"/>
              </c:ext>
            </c:extLst>
          </c:dPt>
          <c:dPt>
            <c:idx val="33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56F-DA44-852F-A5C852ACB7AD}"/>
              </c:ext>
            </c:extLst>
          </c:dPt>
          <c:dPt>
            <c:idx val="34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56F-DA44-852F-A5C852ACB7AD}"/>
              </c:ext>
            </c:extLst>
          </c:dPt>
          <c:dPt>
            <c:idx val="35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56F-DA44-852F-A5C852ACB7AD}"/>
              </c:ext>
            </c:extLst>
          </c:dPt>
          <c:dPt>
            <c:idx val="36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56F-DA44-852F-A5C852ACB7AD}"/>
              </c:ext>
            </c:extLst>
          </c:dPt>
          <c:dPt>
            <c:idx val="37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56F-DA44-852F-A5C852ACB7AD}"/>
              </c:ext>
            </c:extLst>
          </c:dPt>
          <c:dPt>
            <c:idx val="38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56F-DA44-852F-A5C852ACB7AD}"/>
              </c:ext>
            </c:extLst>
          </c:dPt>
          <c:dPt>
            <c:idx val="39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56F-DA44-852F-A5C852ACB7AD}"/>
              </c:ext>
            </c:extLst>
          </c:dPt>
          <c:dPt>
            <c:idx val="40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56F-DA44-852F-A5C852ACB7AD}"/>
              </c:ext>
            </c:extLst>
          </c:dPt>
          <c:dPt>
            <c:idx val="41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56F-DA44-852F-A5C852ACB7AD}"/>
              </c:ext>
            </c:extLst>
          </c:dPt>
          <c:dPt>
            <c:idx val="42"/>
            <c:marker>
              <c:spPr>
                <a:solidFill>
                  <a:srgbClr val="969696"/>
                </a:solidFill>
                <a:ln>
                  <a:solidFill>
                    <a:srgbClr val="9696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56F-DA44-852F-A5C852ACB7AD}"/>
              </c:ext>
            </c:extLst>
          </c:dPt>
          <c:xVal>
            <c:numRef>
              <c:f>PlotDat1!$C$1:$C$43</c:f>
              <c:numCache>
                <c:formatCode>General</c:formatCode>
                <c:ptCount val="43"/>
                <c:pt idx="0">
                  <c:v>145.71625551781455</c:v>
                </c:pt>
                <c:pt idx="1">
                  <c:v>250.09393442001439</c:v>
                </c:pt>
                <c:pt idx="2">
                  <c:v>176.30022397006596</c:v>
                </c:pt>
                <c:pt idx="3">
                  <c:v>100.54095895577895</c:v>
                </c:pt>
                <c:pt idx="4">
                  <c:v>66.545577325111665</c:v>
                </c:pt>
                <c:pt idx="5">
                  <c:v>89.153893195658455</c:v>
                </c:pt>
                <c:pt idx="6">
                  <c:v>102.31324978547312</c:v>
                </c:pt>
                <c:pt idx="7">
                  <c:v>147.81842573871484</c:v>
                </c:pt>
                <c:pt idx="8">
                  <c:v>254.74875257700722</c:v>
                </c:pt>
                <c:pt idx="9">
                  <c:v>96.906265530600294</c:v>
                </c:pt>
                <c:pt idx="10">
                  <c:v>138.92147082886976</c:v>
                </c:pt>
                <c:pt idx="11">
                  <c:v>12.638746528403848</c:v>
                </c:pt>
                <c:pt idx="12">
                  <c:v>49.097530742092246</c:v>
                </c:pt>
                <c:pt idx="13">
                  <c:v>173.3673111197003</c:v>
                </c:pt>
                <c:pt idx="14">
                  <c:v>17.043006133702733</c:v>
                </c:pt>
                <c:pt idx="15">
                  <c:v>-31.903863042948636</c:v>
                </c:pt>
                <c:pt idx="16">
                  <c:v>57.311327880009124</c:v>
                </c:pt>
                <c:pt idx="17">
                  <c:v>104.80764890172442</c:v>
                </c:pt>
                <c:pt idx="18">
                  <c:v>125.8702906362256</c:v>
                </c:pt>
                <c:pt idx="19">
                  <c:v>168.08634612040146</c:v>
                </c:pt>
                <c:pt idx="20">
                  <c:v>192.84323511605891</c:v>
                </c:pt>
                <c:pt idx="21">
                  <c:v>65.601715964066088</c:v>
                </c:pt>
                <c:pt idx="22">
                  <c:v>116.44457291134961</c:v>
                </c:pt>
                <c:pt idx="23">
                  <c:v>5.1362509338373386</c:v>
                </c:pt>
                <c:pt idx="24">
                  <c:v>210.95896520948</c:v>
                </c:pt>
                <c:pt idx="25">
                  <c:v>231.77270718680322</c:v>
                </c:pt>
                <c:pt idx="26">
                  <c:v>-40.074685291032552</c:v>
                </c:pt>
                <c:pt idx="27">
                  <c:v>-5.7255989709615696</c:v>
                </c:pt>
                <c:pt idx="28">
                  <c:v>1.1928438359865121</c:v>
                </c:pt>
                <c:pt idx="29">
                  <c:v>-18.646869027428036</c:v>
                </c:pt>
                <c:pt idx="30">
                  <c:v>27.722638451912154</c:v>
                </c:pt>
                <c:pt idx="31">
                  <c:v>-40.610164736121973</c:v>
                </c:pt>
                <c:pt idx="32">
                  <c:v>27.433128984518255</c:v>
                </c:pt>
                <c:pt idx="33">
                  <c:v>19.73435444330892</c:v>
                </c:pt>
                <c:pt idx="34">
                  <c:v>7.8228540683107584</c:v>
                </c:pt>
                <c:pt idx="35">
                  <c:v>4.2865802669421651</c:v>
                </c:pt>
                <c:pt idx="36">
                  <c:v>31.457702619315498</c:v>
                </c:pt>
                <c:pt idx="37">
                  <c:v>114.111169261302</c:v>
                </c:pt>
                <c:pt idx="38">
                  <c:v>12.194241699034221</c:v>
                </c:pt>
                <c:pt idx="39">
                  <c:v>107.91742449484298</c:v>
                </c:pt>
                <c:pt idx="40">
                  <c:v>184.29414306385098</c:v>
                </c:pt>
                <c:pt idx="41">
                  <c:v>32.356332959314621</c:v>
                </c:pt>
                <c:pt idx="42">
                  <c:v>79.754937087405551</c:v>
                </c:pt>
              </c:numCache>
            </c:numRef>
          </c:xVal>
          <c:yVal>
            <c:numRef>
              <c:f>PlotDat1!$D$1:$D$43</c:f>
              <c:numCache>
                <c:formatCode>General</c:formatCode>
                <c:ptCount val="43"/>
                <c:pt idx="0">
                  <c:v>1.3344061111253172</c:v>
                </c:pt>
                <c:pt idx="1">
                  <c:v>1.5222010914842077</c:v>
                </c:pt>
                <c:pt idx="2">
                  <c:v>1.4518524197078857</c:v>
                </c:pt>
                <c:pt idx="3">
                  <c:v>0.84078853830265377</c:v>
                </c:pt>
                <c:pt idx="4">
                  <c:v>0.57086515138017302</c:v>
                </c:pt>
                <c:pt idx="5">
                  <c:v>0.68204481908529946</c:v>
                </c:pt>
                <c:pt idx="6">
                  <c:v>0.8336337306327618</c:v>
                </c:pt>
                <c:pt idx="7">
                  <c:v>1.030837960464456</c:v>
                </c:pt>
                <c:pt idx="8">
                  <c:v>1.2865427202312931</c:v>
                </c:pt>
                <c:pt idx="9">
                  <c:v>1.0088509226359681</c:v>
                </c:pt>
                <c:pt idx="10">
                  <c:v>1.1767187478723946</c:v>
                </c:pt>
                <c:pt idx="11">
                  <c:v>0.29274819357101922</c:v>
                </c:pt>
                <c:pt idx="12">
                  <c:v>0.58289370921910943</c:v>
                </c:pt>
                <c:pt idx="13">
                  <c:v>1.5015395223333767</c:v>
                </c:pt>
                <c:pt idx="14">
                  <c:v>1.1910293406699357</c:v>
                </c:pt>
                <c:pt idx="15">
                  <c:v>0.52539328999987489</c:v>
                </c:pt>
                <c:pt idx="16">
                  <c:v>0.67782742046338895</c:v>
                </c:pt>
                <c:pt idx="17">
                  <c:v>0.9304401077622404</c:v>
                </c:pt>
                <c:pt idx="18">
                  <c:v>1.0692970259059138</c:v>
                </c:pt>
                <c:pt idx="19">
                  <c:v>1.2569748588498846</c:v>
                </c:pt>
                <c:pt idx="20">
                  <c:v>1.2153068849324991</c:v>
                </c:pt>
                <c:pt idx="21">
                  <c:v>0.85109719862677746</c:v>
                </c:pt>
                <c:pt idx="22">
                  <c:v>1.022292599208664</c:v>
                </c:pt>
                <c:pt idx="23">
                  <c:v>0.22032818029322104</c:v>
                </c:pt>
                <c:pt idx="24">
                  <c:v>1.2694749176018374</c:v>
                </c:pt>
                <c:pt idx="25">
                  <c:v>1.3848541987902963</c:v>
                </c:pt>
                <c:pt idx="26">
                  <c:v>0.33647959391668214</c:v>
                </c:pt>
                <c:pt idx="27">
                  <c:v>0.53318840525678712</c:v>
                </c:pt>
                <c:pt idx="28">
                  <c:v>0.49262653617494306</c:v>
                </c:pt>
                <c:pt idx="29">
                  <c:v>0.47220623843519238</c:v>
                </c:pt>
                <c:pt idx="30">
                  <c:v>0.5578611171171195</c:v>
                </c:pt>
                <c:pt idx="31">
                  <c:v>0.27131509463112058</c:v>
                </c:pt>
                <c:pt idx="32">
                  <c:v>0.34669056528887293</c:v>
                </c:pt>
                <c:pt idx="33">
                  <c:v>0.42536504480413845</c:v>
                </c:pt>
                <c:pt idx="34">
                  <c:v>0.51437513156576786</c:v>
                </c:pt>
                <c:pt idx="35">
                  <c:v>0.56028186746558273</c:v>
                </c:pt>
                <c:pt idx="36">
                  <c:v>0.89243841842513494</c:v>
                </c:pt>
                <c:pt idx="37">
                  <c:v>1.0251774100474864</c:v>
                </c:pt>
                <c:pt idx="38">
                  <c:v>0.547186840032304</c:v>
                </c:pt>
                <c:pt idx="39">
                  <c:v>1.2818735270069053</c:v>
                </c:pt>
                <c:pt idx="40">
                  <c:v>1.3535191613854916</c:v>
                </c:pt>
                <c:pt idx="41">
                  <c:v>0.65629043292287981</c:v>
                </c:pt>
                <c:pt idx="42">
                  <c:v>1.1760080622156133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56F-DA44-852F-A5C852AC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74472"/>
        <c:axId val="487081752"/>
      </c:scatterChart>
      <c:valAx>
        <c:axId val="487074472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spPr>
          <a:ln w="12700"/>
        </c:spPr>
        <c:txPr>
          <a:bodyPr/>
          <a:lstStyle/>
          <a:p>
            <a:pPr>
              <a:defRPr sz="1000"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081752"/>
        <c:crosses val="autoZero"/>
        <c:crossBetween val="midCat"/>
        <c:majorUnit val="100"/>
        <c:minorUnit val="50"/>
      </c:valAx>
      <c:valAx>
        <c:axId val="487081752"/>
        <c:scaling>
          <c:orientation val="minMax"/>
          <c:max val="2.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/>
        </c:spPr>
        <c:txPr>
          <a:bodyPr/>
          <a:lstStyle/>
          <a:p>
            <a:pPr>
              <a:defRPr sz="1000"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074472"/>
        <c:crosses val="autoZero"/>
        <c:crossBetween val="midCat"/>
        <c:majorUnit val="0.4"/>
        <c:minorUnit val="0.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</c:sp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tabSelected="1" zoomScale="16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80" workbookViewId="0" zoomToFit="1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F7AE5-FA58-F241-99EE-0B54E3A5B1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0.13133</cdr:x>
      <cdr:y>0.37851</cdr:y>
    </cdr:from>
    <cdr:to>
      <cdr:x>0.17337</cdr:x>
      <cdr:y>0.50371</cdr:y>
    </cdr:to>
    <cdr:sp macro="" textlink="">
      <cdr:nvSpPr>
        <cdr:cNvPr id="2" name="YaxisName"/>
        <cdr:cNvSpPr txBox="1"/>
      </cdr:nvSpPr>
      <cdr:spPr>
        <a:xfrm xmlns:a="http://schemas.openxmlformats.org/drawingml/2006/main">
          <a:off x="1221978" y="2299481"/>
          <a:ext cx="391133" cy="760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aseline="30000">
              <a:latin typeface="Times New Roman"/>
            </a:rPr>
            <a:t>38</a:t>
          </a:r>
          <a:r>
            <a:rPr lang="en-GB" sz="1400">
              <a:latin typeface="Times New Roman"/>
            </a:rPr>
            <a:t>Ar/</a:t>
          </a:r>
          <a:r>
            <a:rPr lang="en-GB" sz="1400" baseline="30000">
              <a:latin typeface="Times New Roman"/>
            </a:rPr>
            <a:t>36</a:t>
          </a:r>
          <a:r>
            <a:rPr lang="en-GB" sz="1400">
              <a:latin typeface="Times New Roman"/>
            </a:rPr>
            <a:t>Ar</a:t>
          </a:r>
        </a:p>
      </cdr:txBody>
    </cdr:sp>
  </cdr:relSizeAnchor>
  <cdr:relSizeAnchor xmlns:cdr="http://schemas.openxmlformats.org/drawingml/2006/chartDrawing">
    <cdr:from>
      <cdr:x>0.4317</cdr:x>
      <cdr:y>0.85439</cdr:y>
    </cdr:from>
    <cdr:to>
      <cdr:x>0.50903</cdr:x>
      <cdr:y>0.89682</cdr:y>
    </cdr:to>
    <cdr:sp macro="" textlink="">
      <cdr:nvSpPr>
        <cdr:cNvPr id="3" name="XaxisName"/>
        <cdr:cNvSpPr txBox="1"/>
      </cdr:nvSpPr>
      <cdr:spPr>
        <a:xfrm xmlns:a="http://schemas.openxmlformats.org/drawingml/2006/main">
          <a:off x="4016654" y="5190501"/>
          <a:ext cx="719556" cy="257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25400" tIns="25400" rIns="25400" bIns="2540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aseline="30000">
              <a:latin typeface="Times New Roman"/>
            </a:rPr>
            <a:t>37</a:t>
          </a:r>
          <a:r>
            <a:rPr lang="en-GB" sz="1400">
              <a:latin typeface="Times New Roman"/>
            </a:rPr>
            <a:t>Ar/</a:t>
          </a:r>
          <a:r>
            <a:rPr lang="en-GB" sz="1400" baseline="30000">
              <a:latin typeface="Times New Roman"/>
            </a:rPr>
            <a:t>36</a:t>
          </a:r>
          <a:r>
            <a:rPr lang="en-GB" sz="1400">
              <a:latin typeface="Times New Roman"/>
            </a:rPr>
            <a:t>Ar</a:t>
          </a:r>
        </a:p>
      </cdr:txBody>
    </cdr:sp>
  </cdr:relSizeAnchor>
  <cdr:relSizeAnchor xmlns:cdr="http://schemas.openxmlformats.org/drawingml/2006/chartDrawing">
    <cdr:from>
      <cdr:x>0.64814</cdr:x>
      <cdr:y>0.7126</cdr:y>
    </cdr:from>
    <cdr:to>
      <cdr:x>0.79054</cdr:x>
      <cdr:y>0.7959</cdr:y>
    </cdr:to>
    <cdr:sp macro="" textlink="">
      <cdr:nvSpPr>
        <cdr:cNvPr id="4" name="ChartResBox"/>
        <cdr:cNvSpPr txBox="1"/>
      </cdr:nvSpPr>
      <cdr:spPr>
        <a:xfrm xmlns:a="http://schemas.openxmlformats.org/drawingml/2006/main">
          <a:off x="6028702" y="4332275"/>
          <a:ext cx="1324598" cy="5064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solidFill>
            <a:srgbClr val="000000"/>
          </a:solidFill>
          <a:prstDash val="solid"/>
        </a:ln>
      </cdr:spPr>
      <cdr:txBody>
        <a:bodyPr xmlns:a="http://schemas.openxmlformats.org/drawingml/2006/main" vertOverflow="clip" vert="horz" wrap="none" lIns="25400" tIns="25400" rIns="25400" bIns="2540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800">
              <a:latin typeface="Times New Roman"/>
            </a:rPr>
            <a:t>Age</a:t>
          </a:r>
          <a:r>
            <a:rPr lang="en-GB" sz="1000">
              <a:latin typeface="Times New Roman"/>
            </a:rPr>
            <a:t> </a:t>
          </a:r>
          <a:r>
            <a:rPr lang="en-GB" sz="800">
              <a:latin typeface="Times New Roman"/>
            </a:rPr>
            <a:t>= 0.283±0.027 Ma
Initial</a:t>
          </a:r>
          <a:r>
            <a:rPr lang="en-GB" sz="1000">
              <a:latin typeface="Times New Roman"/>
            </a:rPr>
            <a:t> </a:t>
          </a:r>
          <a:r>
            <a:rPr lang="en-GB" sz="800" baseline="30000">
              <a:latin typeface="Times New Roman"/>
            </a:rPr>
            <a:t>40</a:t>
          </a:r>
          <a:r>
            <a:rPr lang="en-GB" sz="800">
              <a:latin typeface="Times New Roman"/>
            </a:rPr>
            <a:t>Ar/</a:t>
          </a:r>
          <a:r>
            <a:rPr lang="en-GB" sz="800" baseline="30000">
              <a:latin typeface="Times New Roman"/>
            </a:rPr>
            <a:t>36</a:t>
          </a:r>
          <a:r>
            <a:rPr lang="en-GB" sz="800">
              <a:latin typeface="Times New Roman"/>
            </a:rPr>
            <a:t>Ar =0.223±0.033
MSWD</a:t>
          </a:r>
          <a:r>
            <a:rPr lang="en-GB" sz="1000">
              <a:latin typeface="Times New Roman"/>
            </a:rPr>
            <a:t> </a:t>
          </a:r>
          <a:r>
            <a:rPr lang="en-GB" sz="800">
              <a:latin typeface="Times New Roman"/>
            </a:rPr>
            <a:t>= 9.7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68B4F-AB4C-AA45-9DBD-F03CE065A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D1443-3C59-804B-991F-24938ED30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E77EC-A31B-3A4D-91F4-E8BF0074A9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12C15-06FE-664E-BA91-C29B3A6485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96763-9620-854F-873E-3B38C79E1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D83D7-6371-3E40-85FB-D232B5B88A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260350</xdr:colOff>
      <xdr:row>29</xdr:row>
      <xdr:rowOff>38100</xdr:rowOff>
    </xdr:from>
    <xdr:to>
      <xdr:col>125</xdr:col>
      <xdr:colOff>768350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F1886-BB64-0F4A-84EC-30B533F0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/>
  </sheetViews>
  <sheetFormatPr baseColWidth="10" defaultColWidth="8.83203125" defaultRowHeight="13" x14ac:dyDescent="0.15"/>
  <cols>
    <col min="1" max="1" width="14" style="61" bestFit="1" customWidth="1"/>
    <col min="2" max="2" width="10.1640625" style="62" bestFit="1" customWidth="1"/>
  </cols>
  <sheetData>
    <row r="1" spans="1:6" x14ac:dyDescent="0.15">
      <c r="A1" s="61" t="s">
        <v>78</v>
      </c>
      <c r="B1" s="62" t="s">
        <v>96</v>
      </c>
      <c r="C1">
        <v>145.71625551781455</v>
      </c>
      <c r="D1">
        <v>1.3344061111253172</v>
      </c>
      <c r="E1">
        <v>0</v>
      </c>
      <c r="F1">
        <v>0.22274542795909602</v>
      </c>
    </row>
    <row r="2" spans="1:6" x14ac:dyDescent="0.15">
      <c r="A2" s="61" t="s">
        <v>79</v>
      </c>
      <c r="B2" s="62" t="s">
        <v>10</v>
      </c>
      <c r="C2">
        <v>250.09393442001439</v>
      </c>
      <c r="D2">
        <v>1.5222010914842077</v>
      </c>
      <c r="E2">
        <v>350</v>
      </c>
      <c r="F2">
        <v>2.2715977000712035</v>
      </c>
    </row>
    <row r="3" spans="1:6" x14ac:dyDescent="0.15">
      <c r="A3" s="61" t="s">
        <v>80</v>
      </c>
      <c r="B3" s="63">
        <v>2</v>
      </c>
      <c r="C3">
        <v>176.30022397006596</v>
      </c>
      <c r="D3">
        <v>1.4518524197078857</v>
      </c>
    </row>
    <row r="4" spans="1:6" x14ac:dyDescent="0.15">
      <c r="A4" s="61" t="s">
        <v>81</v>
      </c>
      <c r="B4" s="63">
        <v>7</v>
      </c>
      <c r="C4">
        <v>100.54095895577895</v>
      </c>
      <c r="D4">
        <v>0.84078853830265377</v>
      </c>
    </row>
    <row r="5" spans="1:6" x14ac:dyDescent="0.15">
      <c r="A5" s="61" t="s">
        <v>82</v>
      </c>
      <c r="B5" s="63">
        <v>1</v>
      </c>
      <c r="C5">
        <v>66.545577325111665</v>
      </c>
      <c r="D5">
        <v>0.57086515138017302</v>
      </c>
    </row>
    <row r="6" spans="1:6" x14ac:dyDescent="0.15">
      <c r="A6" s="61" t="s">
        <v>83</v>
      </c>
      <c r="B6" s="63" t="b">
        <v>1</v>
      </c>
      <c r="C6">
        <v>89.153893195658455</v>
      </c>
      <c r="D6">
        <v>0.68204481908529946</v>
      </c>
    </row>
    <row r="7" spans="1:6" x14ac:dyDescent="0.15">
      <c r="A7" s="61" t="s">
        <v>84</v>
      </c>
      <c r="B7" s="63">
        <v>7</v>
      </c>
      <c r="C7">
        <v>102.31324978547312</v>
      </c>
      <c r="D7">
        <v>0.8336337306327618</v>
      </c>
    </row>
    <row r="8" spans="1:6" x14ac:dyDescent="0.15">
      <c r="A8" s="61" t="s">
        <v>85</v>
      </c>
      <c r="B8" s="63" t="b">
        <v>0</v>
      </c>
      <c r="C8">
        <v>147.81842573871484</v>
      </c>
      <c r="D8">
        <v>1.030837960464456</v>
      </c>
    </row>
    <row r="9" spans="1:6" x14ac:dyDescent="0.15">
      <c r="A9" s="61" t="s">
        <v>86</v>
      </c>
      <c r="B9" s="63" t="b">
        <v>1</v>
      </c>
      <c r="C9">
        <v>254.74875257700722</v>
      </c>
      <c r="D9">
        <v>1.2865427202312931</v>
      </c>
    </row>
    <row r="10" spans="1:6" x14ac:dyDescent="0.15">
      <c r="A10" s="61" t="s">
        <v>87</v>
      </c>
      <c r="B10" s="63" t="b">
        <v>0</v>
      </c>
      <c r="C10">
        <v>96.906265530600294</v>
      </c>
      <c r="D10">
        <v>1.0088509226359681</v>
      </c>
    </row>
    <row r="11" spans="1:6" x14ac:dyDescent="0.15">
      <c r="A11" s="61" t="s">
        <v>88</v>
      </c>
      <c r="B11" s="63" t="b">
        <v>0</v>
      </c>
      <c r="C11">
        <v>138.92147082886976</v>
      </c>
      <c r="D11">
        <v>1.1767187478723946</v>
      </c>
    </row>
    <row r="12" spans="1:6" x14ac:dyDescent="0.15">
      <c r="A12" s="61" t="s">
        <v>89</v>
      </c>
      <c r="B12" s="63" t="s">
        <v>11</v>
      </c>
      <c r="C12">
        <v>12.638746528403848</v>
      </c>
      <c r="D12">
        <v>0.29274819357101922</v>
      </c>
    </row>
    <row r="13" spans="1:6" x14ac:dyDescent="0.15">
      <c r="A13" s="61" t="s">
        <v>90</v>
      </c>
      <c r="B13" s="63" t="b">
        <v>1</v>
      </c>
      <c r="C13">
        <v>49.097530742092246</v>
      </c>
      <c r="D13">
        <v>0.58289370921910943</v>
      </c>
    </row>
    <row r="14" spans="1:6" x14ac:dyDescent="0.15">
      <c r="A14" s="61" t="s">
        <v>91</v>
      </c>
      <c r="B14" s="63" t="b">
        <v>0</v>
      </c>
      <c r="C14">
        <v>173.3673111197003</v>
      </c>
      <c r="D14">
        <v>1.5015395223333767</v>
      </c>
    </row>
    <row r="15" spans="1:6" x14ac:dyDescent="0.15">
      <c r="A15" s="61" t="s">
        <v>92</v>
      </c>
      <c r="B15" s="63" t="b">
        <v>0</v>
      </c>
      <c r="C15">
        <v>17.043006133702733</v>
      </c>
      <c r="D15">
        <v>1.1910293406699357</v>
      </c>
    </row>
    <row r="16" spans="1:6" x14ac:dyDescent="0.15">
      <c r="A16" s="61" t="s">
        <v>93</v>
      </c>
      <c r="B16" s="63">
        <v>1</v>
      </c>
      <c r="C16">
        <v>-31.903863042948636</v>
      </c>
      <c r="D16">
        <v>0.52539328999987489</v>
      </c>
    </row>
    <row r="17" spans="3:4" x14ac:dyDescent="0.15">
      <c r="C17">
        <v>57.311327880009124</v>
      </c>
      <c r="D17">
        <v>0.67782742046338895</v>
      </c>
    </row>
    <row r="18" spans="3:4" x14ac:dyDescent="0.15">
      <c r="C18">
        <v>104.80764890172442</v>
      </c>
      <c r="D18">
        <v>0.9304401077622404</v>
      </c>
    </row>
    <row r="19" spans="3:4" x14ac:dyDescent="0.15">
      <c r="C19">
        <v>125.8702906362256</v>
      </c>
      <c r="D19">
        <v>1.0692970259059138</v>
      </c>
    </row>
    <row r="20" spans="3:4" x14ac:dyDescent="0.15">
      <c r="C20">
        <v>168.08634612040146</v>
      </c>
      <c r="D20">
        <v>1.2569748588498846</v>
      </c>
    </row>
    <row r="21" spans="3:4" x14ac:dyDescent="0.15">
      <c r="C21">
        <v>192.84323511605891</v>
      </c>
      <c r="D21">
        <v>1.2153068849324991</v>
      </c>
    </row>
    <row r="22" spans="3:4" x14ac:dyDescent="0.15">
      <c r="C22">
        <v>65.601715964066088</v>
      </c>
      <c r="D22">
        <v>0.85109719862677746</v>
      </c>
    </row>
    <row r="23" spans="3:4" x14ac:dyDescent="0.15">
      <c r="C23">
        <v>116.44457291134961</v>
      </c>
      <c r="D23">
        <v>1.022292599208664</v>
      </c>
    </row>
    <row r="24" spans="3:4" x14ac:dyDescent="0.15">
      <c r="C24">
        <v>5.1362509338373386</v>
      </c>
      <c r="D24">
        <v>0.22032818029322104</v>
      </c>
    </row>
    <row r="25" spans="3:4" x14ac:dyDescent="0.15">
      <c r="C25">
        <v>210.95896520948</v>
      </c>
      <c r="D25">
        <v>1.2694749176018374</v>
      </c>
    </row>
    <row r="26" spans="3:4" x14ac:dyDescent="0.15">
      <c r="C26">
        <v>231.77270718680322</v>
      </c>
      <c r="D26">
        <v>1.3848541987902963</v>
      </c>
    </row>
    <row r="27" spans="3:4" x14ac:dyDescent="0.15">
      <c r="C27">
        <v>-40.074685291032552</v>
      </c>
      <c r="D27">
        <v>0.33647959391668214</v>
      </c>
    </row>
    <row r="28" spans="3:4" x14ac:dyDescent="0.15">
      <c r="C28">
        <v>-5.7255989709615696</v>
      </c>
      <c r="D28">
        <v>0.53318840525678712</v>
      </c>
    </row>
    <row r="29" spans="3:4" x14ac:dyDescent="0.15">
      <c r="C29">
        <v>1.1928438359865121</v>
      </c>
      <c r="D29">
        <v>0.49262653617494306</v>
      </c>
    </row>
    <row r="30" spans="3:4" x14ac:dyDescent="0.15">
      <c r="C30">
        <v>-18.646869027428036</v>
      </c>
      <c r="D30">
        <v>0.47220623843519238</v>
      </c>
    </row>
    <row r="31" spans="3:4" x14ac:dyDescent="0.15">
      <c r="C31">
        <v>27.722638451912154</v>
      </c>
      <c r="D31">
        <v>0.5578611171171195</v>
      </c>
    </row>
    <row r="32" spans="3:4" x14ac:dyDescent="0.15">
      <c r="C32">
        <v>-40.610164736121973</v>
      </c>
      <c r="D32">
        <v>0.27131509463112058</v>
      </c>
    </row>
    <row r="33" spans="3:4" x14ac:dyDescent="0.15">
      <c r="C33">
        <v>27.433128984518255</v>
      </c>
      <c r="D33">
        <v>0.34669056528887293</v>
      </c>
    </row>
    <row r="34" spans="3:4" x14ac:dyDescent="0.15">
      <c r="C34">
        <v>19.73435444330892</v>
      </c>
      <c r="D34">
        <v>0.42536504480413845</v>
      </c>
    </row>
    <row r="35" spans="3:4" x14ac:dyDescent="0.15">
      <c r="C35">
        <v>7.8228540683107584</v>
      </c>
      <c r="D35">
        <v>0.51437513156576786</v>
      </c>
    </row>
    <row r="36" spans="3:4" x14ac:dyDescent="0.15">
      <c r="C36">
        <v>4.2865802669421651</v>
      </c>
      <c r="D36">
        <v>0.56028186746558273</v>
      </c>
    </row>
    <row r="37" spans="3:4" x14ac:dyDescent="0.15">
      <c r="C37">
        <v>31.457702619315498</v>
      </c>
      <c r="D37">
        <v>0.89243841842513494</v>
      </c>
    </row>
    <row r="38" spans="3:4" x14ac:dyDescent="0.15">
      <c r="C38">
        <v>114.111169261302</v>
      </c>
      <c r="D38">
        <v>1.0251774100474864</v>
      </c>
    </row>
    <row r="39" spans="3:4" x14ac:dyDescent="0.15">
      <c r="C39">
        <v>12.194241699034221</v>
      </c>
      <c r="D39">
        <v>0.547186840032304</v>
      </c>
    </row>
    <row r="40" spans="3:4" x14ac:dyDescent="0.15">
      <c r="C40">
        <v>107.91742449484298</v>
      </c>
      <c r="D40">
        <v>1.2818735270069053</v>
      </c>
    </row>
    <row r="41" spans="3:4" x14ac:dyDescent="0.15">
      <c r="C41">
        <v>184.29414306385098</v>
      </c>
      <c r="D41">
        <v>1.3535191613854916</v>
      </c>
    </row>
    <row r="42" spans="3:4" x14ac:dyDescent="0.15">
      <c r="C42">
        <v>32.356332959314621</v>
      </c>
      <c r="D42">
        <v>0.65629043292287981</v>
      </c>
    </row>
    <row r="43" spans="3:4" x14ac:dyDescent="0.15">
      <c r="C43">
        <v>79.754937087405551</v>
      </c>
      <c r="D43">
        <v>1.1760080622156133</v>
      </c>
    </row>
    <row r="44" spans="3:4" x14ac:dyDescent="0.15">
      <c r="C44" t="s">
        <v>77</v>
      </c>
      <c r="D44" t="s">
        <v>77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4"/>
  <sheetViews>
    <sheetView workbookViewId="0"/>
  </sheetViews>
  <sheetFormatPr baseColWidth="10" defaultColWidth="8.83203125" defaultRowHeight="13" x14ac:dyDescent="0.15"/>
  <cols>
    <col min="1" max="1" width="14" style="61" bestFit="1" customWidth="1"/>
    <col min="2" max="2" width="19.6640625" style="62" bestFit="1" customWidth="1"/>
  </cols>
  <sheetData>
    <row r="1" spans="1:32" x14ac:dyDescent="0.15">
      <c r="A1" s="61" t="s">
        <v>78</v>
      </c>
      <c r="B1" s="62" t="s">
        <v>96</v>
      </c>
      <c r="C1">
        <v>14.526722788003404</v>
      </c>
      <c r="D1">
        <v>2074.5542302206354</v>
      </c>
      <c r="E1">
        <v>1.4747539198341277</v>
      </c>
      <c r="F1">
        <v>0</v>
      </c>
      <c r="G1">
        <v>14.856382597448322</v>
      </c>
      <c r="H1">
        <v>2074.5519230441887</v>
      </c>
      <c r="I1">
        <v>1.650667489176125</v>
      </c>
      <c r="J1">
        <v>416.16108432131404</v>
      </c>
      <c r="K1">
        <v>2.7430583716111525</v>
      </c>
      <c r="L1">
        <v>1747.6938680393525</v>
      </c>
      <c r="M1">
        <v>2.695056016158611</v>
      </c>
      <c r="N1">
        <v>2366.5920600297995</v>
      </c>
      <c r="O1">
        <v>18.565922058354829</v>
      </c>
      <c r="P1">
        <v>2114.0836967666792</v>
      </c>
      <c r="Q1">
        <v>3.7201540941604665</v>
      </c>
      <c r="R1">
        <v>297.57737886607168</v>
      </c>
      <c r="S1">
        <v>4.7567149782718214</v>
      </c>
      <c r="T1">
        <v>727.78857067085664</v>
      </c>
      <c r="U1">
        <v>1.0750012967668279</v>
      </c>
      <c r="V1">
        <v>289.49960814524837</v>
      </c>
      <c r="W1">
        <v>1.7573825781162224</v>
      </c>
      <c r="X1">
        <v>547.88205781768465</v>
      </c>
      <c r="Y1">
        <v>8.6298653730687409</v>
      </c>
      <c r="Z1">
        <v>461.1634094064716</v>
      </c>
      <c r="AA1">
        <v>2.7490311302961326</v>
      </c>
      <c r="AB1">
        <v>1986.7657799587655</v>
      </c>
      <c r="AC1">
        <v>1.5336189669651972</v>
      </c>
      <c r="AD1">
        <v>1158.3899224464924</v>
      </c>
      <c r="AE1">
        <v>2.9042367971247844</v>
      </c>
      <c r="AF1">
        <v>1277.5832732524184</v>
      </c>
    </row>
    <row r="2" spans="1:32" x14ac:dyDescent="0.15">
      <c r="A2" s="61" t="s">
        <v>79</v>
      </c>
      <c r="B2" s="62" t="s">
        <v>14</v>
      </c>
      <c r="C2">
        <v>1.6079183632997331</v>
      </c>
      <c r="D2">
        <v>416.16124908824935</v>
      </c>
      <c r="E2">
        <v>3.2074326222885907</v>
      </c>
      <c r="F2">
        <v>3500</v>
      </c>
      <c r="G2">
        <v>15.086626517532794</v>
      </c>
      <c r="H2">
        <v>2108.3553368242883</v>
      </c>
      <c r="I2">
        <v>1.6599528020484182</v>
      </c>
      <c r="J2">
        <v>418.78329850828072</v>
      </c>
      <c r="K2">
        <v>2.7713128791752131</v>
      </c>
      <c r="L2">
        <v>1767.8448613623161</v>
      </c>
      <c r="M2">
        <v>2.7304784211287436</v>
      </c>
      <c r="N2">
        <v>2402.6808839844348</v>
      </c>
      <c r="O2">
        <v>18.82761019559155</v>
      </c>
      <c r="P2">
        <v>2146.0603325460092</v>
      </c>
      <c r="Q2">
        <v>3.8065121897829193</v>
      </c>
      <c r="R2">
        <v>305.42614814712329</v>
      </c>
      <c r="S2">
        <v>4.8204997723082217</v>
      </c>
      <c r="T2">
        <v>739.18505140487036</v>
      </c>
      <c r="U2">
        <v>1.092642448232878</v>
      </c>
      <c r="V2">
        <v>295.95112442677481</v>
      </c>
      <c r="W2">
        <v>1.7915745672510965</v>
      </c>
      <c r="X2">
        <v>561.44707623277895</v>
      </c>
      <c r="Y2">
        <v>8.8274509196640469</v>
      </c>
      <c r="Z2">
        <v>472.85918225707013</v>
      </c>
      <c r="AA2">
        <v>2.8823971180150427</v>
      </c>
      <c r="AB2">
        <v>2107.7397316509005</v>
      </c>
      <c r="AC2">
        <v>1.5868607655641604</v>
      </c>
      <c r="AD2">
        <v>1214.4617432006503</v>
      </c>
      <c r="AE2">
        <v>3.0650316690391164</v>
      </c>
      <c r="AF2">
        <v>1385.3826525255979</v>
      </c>
    </row>
    <row r="3" spans="1:32" x14ac:dyDescent="0.15">
      <c r="A3" s="61" t="s">
        <v>80</v>
      </c>
      <c r="B3" s="63">
        <v>2</v>
      </c>
      <c r="C3">
        <v>2.6342985184790231</v>
      </c>
      <c r="D3">
        <v>1747.6940318149946</v>
      </c>
      <c r="G3">
        <v>15.295353651289085</v>
      </c>
      <c r="H3">
        <v>2140.8597930334895</v>
      </c>
      <c r="I3">
        <v>1.6672384606208492</v>
      </c>
      <c r="J3">
        <v>421.30474880649797</v>
      </c>
      <c r="K3">
        <v>2.7943020016962592</v>
      </c>
      <c r="L3">
        <v>1787.2214696064932</v>
      </c>
      <c r="M3">
        <v>2.7582368149941145</v>
      </c>
      <c r="N3">
        <v>2437.3828414100749</v>
      </c>
      <c r="O3">
        <v>19.058114347290761</v>
      </c>
      <c r="P3">
        <v>2176.8083040265624</v>
      </c>
      <c r="Q3">
        <v>3.8800290822105148</v>
      </c>
      <c r="R3">
        <v>312.9734041775672</v>
      </c>
      <c r="S3">
        <v>4.8701621328832978</v>
      </c>
      <c r="T3">
        <v>750.14364307448579</v>
      </c>
      <c r="U3">
        <v>1.1038267943823605</v>
      </c>
      <c r="V3">
        <v>302.15473094569694</v>
      </c>
      <c r="W3">
        <v>1.8163514849107736</v>
      </c>
      <c r="X3">
        <v>574.49082143617147</v>
      </c>
      <c r="Y3">
        <v>8.9995824313333745</v>
      </c>
      <c r="Z3">
        <v>484.10580849656412</v>
      </c>
      <c r="AA3">
        <v>2.9943230173307889</v>
      </c>
      <c r="AB3">
        <v>2224.0647413087636</v>
      </c>
      <c r="AC3">
        <v>1.6261343600440936</v>
      </c>
      <c r="AD3">
        <v>1268.3787679165512</v>
      </c>
      <c r="AE3">
        <v>3.1884116163721914</v>
      </c>
      <c r="AF3">
        <v>1489.0394132247968</v>
      </c>
    </row>
    <row r="4" spans="1:32" x14ac:dyDescent="0.15">
      <c r="A4" s="61" t="s">
        <v>81</v>
      </c>
      <c r="B4" s="63">
        <v>33</v>
      </c>
      <c r="C4">
        <v>2.5310476913133764</v>
      </c>
      <c r="D4">
        <v>2366.5922353312021</v>
      </c>
      <c r="G4">
        <v>15.474542732022455</v>
      </c>
      <c r="H4">
        <v>2170.8161636483787</v>
      </c>
      <c r="I4">
        <v>1.6722444811203232</v>
      </c>
      <c r="J4">
        <v>423.62853729505076</v>
      </c>
      <c r="K4">
        <v>2.8111422800882533</v>
      </c>
      <c r="L4">
        <v>1805.0790605835853</v>
      </c>
      <c r="M4">
        <v>2.7772644582455603</v>
      </c>
      <c r="N4">
        <v>2469.3643555439289</v>
      </c>
      <c r="O4">
        <v>19.248576368170877</v>
      </c>
      <c r="P4">
        <v>2205.1459839080017</v>
      </c>
      <c r="Q4">
        <v>3.937879558496006</v>
      </c>
      <c r="R4">
        <v>319.92911014070319</v>
      </c>
      <c r="S4">
        <v>4.9037935633311207</v>
      </c>
      <c r="T4">
        <v>760.24321314748818</v>
      </c>
      <c r="U4">
        <v>1.1081245270650049</v>
      </c>
      <c r="V4">
        <v>307.87202658251533</v>
      </c>
      <c r="W4">
        <v>1.8307611680446476</v>
      </c>
      <c r="X4">
        <v>586.51202961471267</v>
      </c>
      <c r="Y4">
        <v>9.1396449906157393</v>
      </c>
      <c r="Z4">
        <v>494.47108658575041</v>
      </c>
      <c r="AA4">
        <v>3.0805075787014013</v>
      </c>
      <c r="AB4">
        <v>2331.2705040469787</v>
      </c>
      <c r="AC4">
        <v>1.6499304881940224</v>
      </c>
      <c r="AD4">
        <v>1318.0689955713879</v>
      </c>
      <c r="AE4">
        <v>3.2696352169402676</v>
      </c>
      <c r="AF4">
        <v>1584.5700841677194</v>
      </c>
    </row>
    <row r="5" spans="1:32" x14ac:dyDescent="0.15">
      <c r="A5" s="61" t="s">
        <v>82</v>
      </c>
      <c r="B5" s="63">
        <v>1</v>
      </c>
      <c r="C5">
        <v>18.016149341831504</v>
      </c>
      <c r="D5">
        <v>2114.0883775927014</v>
      </c>
      <c r="G5">
        <v>15.617307623850728</v>
      </c>
      <c r="H5">
        <v>2197.0732421459556</v>
      </c>
      <c r="I5">
        <v>1.6747784849864544</v>
      </c>
      <c r="J5">
        <v>425.66536208551963</v>
      </c>
      <c r="K5">
        <v>2.821186551896727</v>
      </c>
      <c r="L5">
        <v>1820.7313770869926</v>
      </c>
      <c r="M5">
        <v>2.7868301292237594</v>
      </c>
      <c r="N5">
        <v>2497.3963947332822</v>
      </c>
      <c r="O5">
        <v>19.391676909581808</v>
      </c>
      <c r="P5">
        <v>2229.9843710444379</v>
      </c>
      <c r="Q5">
        <v>3.9778404572786652</v>
      </c>
      <c r="R5">
        <v>326.02596215717307</v>
      </c>
      <c r="S5">
        <v>4.9201016266403066</v>
      </c>
      <c r="T5">
        <v>769.09564080987695</v>
      </c>
      <c r="U5">
        <v>1.1053704868240126</v>
      </c>
      <c r="V5">
        <v>312.88329887220306</v>
      </c>
      <c r="W5">
        <v>1.8342498606109274</v>
      </c>
      <c r="X5">
        <v>597.04873247967078</v>
      </c>
      <c r="Y5">
        <v>9.2422560719059046</v>
      </c>
      <c r="Z5">
        <v>503.55668470057668</v>
      </c>
      <c r="AA5">
        <v>3.1376387777663126</v>
      </c>
      <c r="AB5">
        <v>2425.2371625252531</v>
      </c>
      <c r="AC5">
        <v>1.6573346781541591</v>
      </c>
      <c r="AD5">
        <v>1361.6228585829563</v>
      </c>
      <c r="AE5">
        <v>3.3055810933242435</v>
      </c>
      <c r="AF5">
        <v>1668.3034752442566</v>
      </c>
    </row>
    <row r="6" spans="1:32" x14ac:dyDescent="0.15">
      <c r="A6" s="61" t="s">
        <v>83</v>
      </c>
      <c r="B6" s="63" t="b">
        <v>1</v>
      </c>
      <c r="C6">
        <v>3.4723620313539252</v>
      </c>
      <c r="D6">
        <v>297.5802555987234</v>
      </c>
      <c r="G6">
        <v>15.718161952044408</v>
      </c>
      <c r="H6">
        <v>2218.6219837246958</v>
      </c>
      <c r="I6">
        <v>1.674743091871753</v>
      </c>
      <c r="J6">
        <v>427.33694914347143</v>
      </c>
      <c r="K6">
        <v>2.8240488213889754</v>
      </c>
      <c r="L6">
        <v>1833.5769093714171</v>
      </c>
      <c r="M6">
        <v>2.7865662245575034</v>
      </c>
      <c r="N6">
        <v>2520.4017034326371</v>
      </c>
      <c r="O6">
        <v>19.481916697968853</v>
      </c>
      <c r="P6">
        <v>2250.3689401477482</v>
      </c>
      <c r="Q6">
        <v>3.9983761036286039</v>
      </c>
      <c r="R6">
        <v>331.02966162313788</v>
      </c>
      <c r="S6">
        <v>4.9184596130835496</v>
      </c>
      <c r="T6">
        <v>776.36073223108451</v>
      </c>
      <c r="U6">
        <v>1.0956705098813622</v>
      </c>
      <c r="V6">
        <v>316.99596743102148</v>
      </c>
      <c r="W6">
        <v>1.826683494110773</v>
      </c>
      <c r="X6">
        <v>605.69601044899946</v>
      </c>
      <c r="Y6">
        <v>9.3034723888948481</v>
      </c>
      <c r="Z6">
        <v>511.01344840075194</v>
      </c>
      <c r="AA6">
        <v>3.1635210945849961</v>
      </c>
      <c r="AB6">
        <v>2502.3536307553986</v>
      </c>
      <c r="AC6">
        <v>1.648062391056663</v>
      </c>
      <c r="AD6">
        <v>1397.366606421047</v>
      </c>
      <c r="AE6">
        <v>3.2948678656533508</v>
      </c>
      <c r="AF6">
        <v>1737.0217591935821</v>
      </c>
    </row>
    <row r="7" spans="1:32" x14ac:dyDescent="0.15">
      <c r="A7" s="61" t="s">
        <v>84</v>
      </c>
      <c r="B7" s="63">
        <v>1</v>
      </c>
      <c r="C7">
        <v>4.4530098021787907</v>
      </c>
      <c r="D7">
        <v>727.79042599300749</v>
      </c>
      <c r="G7">
        <v>15.77322994133077</v>
      </c>
      <c r="H7">
        <v>2234.6342823304008</v>
      </c>
      <c r="I7">
        <v>1.6721396619137687</v>
      </c>
      <c r="J7">
        <v>428.57906031570565</v>
      </c>
      <c r="K7">
        <v>2.8196190931535896</v>
      </c>
      <c r="L7">
        <v>1843.1220108350151</v>
      </c>
      <c r="M7">
        <v>2.7764828859551169</v>
      </c>
      <c r="N7">
        <v>2537.4962005301886</v>
      </c>
      <c r="O7">
        <v>19.515827868871334</v>
      </c>
      <c r="P7">
        <v>2265.5163236590847</v>
      </c>
      <c r="Q7">
        <v>3.9986973241731154</v>
      </c>
      <c r="R7">
        <v>334.74791917422726</v>
      </c>
      <c r="S7">
        <v>4.8989306243209816</v>
      </c>
      <c r="T7">
        <v>781.759294022105</v>
      </c>
      <c r="U7">
        <v>1.0793973609111509</v>
      </c>
      <c r="V7">
        <v>320.05198471266607</v>
      </c>
      <c r="W7">
        <v>1.8083528397655189</v>
      </c>
      <c r="X7">
        <v>612.12155347978489</v>
      </c>
      <c r="Y7">
        <v>9.3209414328511926</v>
      </c>
      <c r="Z7">
        <v>516.55481843908035</v>
      </c>
      <c r="AA7">
        <v>3.1571598862370553</v>
      </c>
      <c r="AB7">
        <v>2559.6563661106466</v>
      </c>
      <c r="AC7">
        <v>1.6224699556947271</v>
      </c>
      <c r="AD7">
        <v>1423.9266269015495</v>
      </c>
      <c r="AE7">
        <v>3.2379072372589297</v>
      </c>
      <c r="AF7">
        <v>1788.0841309011414</v>
      </c>
    </row>
    <row r="8" spans="1:32" x14ac:dyDescent="0.15">
      <c r="A8" s="61" t="s">
        <v>85</v>
      </c>
      <c r="B8" s="63" t="b">
        <v>0</v>
      </c>
      <c r="C8">
        <v>0.9246252860762928</v>
      </c>
      <c r="D8">
        <v>289.50008668573969</v>
      </c>
      <c r="G8">
        <v>15.780395359764029</v>
      </c>
      <c r="H8">
        <v>2244.4947943074571</v>
      </c>
      <c r="I8">
        <v>1.6670682434657658</v>
      </c>
      <c r="J8">
        <v>429.34396196645764</v>
      </c>
      <c r="K8">
        <v>2.8080675991624338</v>
      </c>
      <c r="L8">
        <v>1848.9998685815035</v>
      </c>
      <c r="M8">
        <v>2.7569676104642884</v>
      </c>
      <c r="N8">
        <v>2548.0229540891905</v>
      </c>
      <c r="O8">
        <v>19.492107235009087</v>
      </c>
      <c r="P8">
        <v>2274.8444161248613</v>
      </c>
      <c r="Q8">
        <v>3.9787917745868184</v>
      </c>
      <c r="R8">
        <v>337.03784425797585</v>
      </c>
      <c r="S8">
        <v>4.862265148438774</v>
      </c>
      <c r="T8">
        <v>785.08386248085628</v>
      </c>
      <c r="U8">
        <v>1.057176407902215</v>
      </c>
      <c r="V8">
        <v>321.93390968683804</v>
      </c>
      <c r="W8">
        <v>1.7799623343416957</v>
      </c>
      <c r="X8">
        <v>616.07843155684145</v>
      </c>
      <c r="Y8">
        <v>9.2939918782124469</v>
      </c>
      <c r="Z8">
        <v>519.96784307262453</v>
      </c>
      <c r="AA8">
        <v>3.1187996103919233</v>
      </c>
      <c r="AB8">
        <v>2594.9432566071123</v>
      </c>
      <c r="AC8">
        <v>1.5815408750068773</v>
      </c>
      <c r="AD8">
        <v>1440.282233332437</v>
      </c>
      <c r="AE8">
        <v>3.1368881731463452</v>
      </c>
      <c r="AF8">
        <v>1819.5282920583268</v>
      </c>
    </row>
    <row r="9" spans="1:32" x14ac:dyDescent="0.15">
      <c r="A9" s="61" t="s">
        <v>86</v>
      </c>
      <c r="B9" s="63" t="b">
        <v>1</v>
      </c>
      <c r="C9">
        <v>1.546578239623712</v>
      </c>
      <c r="D9">
        <v>547.88265211832731</v>
      </c>
      <c r="G9">
        <v>15.739382844332217</v>
      </c>
      <c r="H9">
        <v>2247.8245857104212</v>
      </c>
      <c r="I9">
        <v>1.6597237282946187</v>
      </c>
      <c r="J9">
        <v>429.60225935425058</v>
      </c>
      <c r="K9">
        <v>2.7898382568514521</v>
      </c>
      <c r="L9">
        <v>1850.9845998340218</v>
      </c>
      <c r="M9">
        <v>2.7287703591778714</v>
      </c>
      <c r="N9">
        <v>2551.5774268738405</v>
      </c>
      <c r="O9">
        <v>19.411666367038752</v>
      </c>
      <c r="P9">
        <v>2277.9947441828735</v>
      </c>
      <c r="Q9">
        <v>3.9394244139771577</v>
      </c>
      <c r="R9">
        <v>337.81143633762002</v>
      </c>
      <c r="S9">
        <v>4.8098722191128322</v>
      </c>
      <c r="T9">
        <v>786.20667630590947</v>
      </c>
      <c r="U9">
        <v>1.0298615896170329</v>
      </c>
      <c r="V9">
        <v>322.56942103217528</v>
      </c>
      <c r="W9">
        <v>1.7426030090411784</v>
      </c>
      <c r="X9">
        <v>617.41458407470861</v>
      </c>
      <c r="Y9">
        <v>9.2236593812498953</v>
      </c>
      <c r="Z9">
        <v>521.12136167876383</v>
      </c>
      <c r="AA9">
        <v>3.049914430937628</v>
      </c>
      <c r="AB9">
        <v>2606.8582468321265</v>
      </c>
      <c r="AC9">
        <v>1.526848030610755</v>
      </c>
      <c r="AD9">
        <v>1445.8048889308798</v>
      </c>
      <c r="AE9">
        <v>2.9956927792972277</v>
      </c>
      <c r="AF9">
        <v>1830.1458611859832</v>
      </c>
    </row>
    <row r="10" spans="1:32" x14ac:dyDescent="0.15">
      <c r="A10" s="61" t="s">
        <v>87</v>
      </c>
      <c r="B10" s="63" t="b">
        <v>0</v>
      </c>
      <c r="C10">
        <v>8.1650932204589051</v>
      </c>
      <c r="D10">
        <v>461.17161614811624</v>
      </c>
      <c r="G10">
        <v>15.651768483003274</v>
      </c>
      <c r="H10">
        <v>2244.4956945230492</v>
      </c>
      <c r="I10">
        <v>1.6503883619995003</v>
      </c>
      <c r="J10">
        <v>429.34402625532658</v>
      </c>
      <c r="K10">
        <v>2.7656316096224995</v>
      </c>
      <c r="L10">
        <v>1848.999932483589</v>
      </c>
      <c r="M10">
        <v>2.6929747366495578</v>
      </c>
      <c r="N10">
        <v>2548.0230224884049</v>
      </c>
      <c r="O10">
        <v>19.277596562404632</v>
      </c>
      <c r="P10">
        <v>2274.8462424925733</v>
      </c>
      <c r="Q10">
        <v>3.8821081079348851</v>
      </c>
      <c r="R10">
        <v>337.03896670337463</v>
      </c>
      <c r="S10">
        <v>4.7437652672348554</v>
      </c>
      <c r="T10">
        <v>785.08458639164803</v>
      </c>
      <c r="U10">
        <v>0.99850259920397422</v>
      </c>
      <c r="V10">
        <v>321.93409640407515</v>
      </c>
      <c r="W10">
        <v>1.697710561783897</v>
      </c>
      <c r="X10">
        <v>616.07866344144884</v>
      </c>
      <c r="Y10">
        <v>9.1126467803788813</v>
      </c>
      <c r="Z10">
        <v>519.97104518436481</v>
      </c>
      <c r="AA10">
        <v>2.9531515666892467</v>
      </c>
      <c r="AB10">
        <v>2594.9434503933185</v>
      </c>
      <c r="AC10">
        <v>1.4604932378443103</v>
      </c>
      <c r="AD10">
        <v>1440.2823611393953</v>
      </c>
      <c r="AE10">
        <v>2.8197471155138549</v>
      </c>
      <c r="AF10">
        <v>1819.5288110569124</v>
      </c>
    </row>
    <row r="11" spans="1:32" x14ac:dyDescent="0.15">
      <c r="A11" s="61" t="s">
        <v>88</v>
      </c>
      <c r="B11" s="63" t="b">
        <v>0</v>
      </c>
      <c r="C11">
        <v>2.3244892002025193</v>
      </c>
      <c r="D11">
        <v>1986.7662766164267</v>
      </c>
      <c r="G11">
        <v>15.520919246548358</v>
      </c>
      <c r="H11">
        <v>2234.6360481668044</v>
      </c>
      <c r="I11">
        <v>1.6394208974717988</v>
      </c>
      <c r="J11">
        <v>428.5791864228583</v>
      </c>
      <c r="K11">
        <v>2.7363779053533444</v>
      </c>
      <c r="L11">
        <v>1843.1221361834648</v>
      </c>
      <c r="M11">
        <v>2.6509563485786947</v>
      </c>
      <c r="N11">
        <v>2537.4963347000735</v>
      </c>
      <c r="O11">
        <v>19.095050048511681</v>
      </c>
      <c r="P11">
        <v>2265.5199062082215</v>
      </c>
      <c r="Q11">
        <v>3.8090454899578532</v>
      </c>
      <c r="R11">
        <v>334.75012093007757</v>
      </c>
      <c r="S11">
        <v>4.6664847458923342</v>
      </c>
      <c r="T11">
        <v>781.76071402420268</v>
      </c>
      <c r="U11">
        <v>0.9643045450782991</v>
      </c>
      <c r="V11">
        <v>320.05235097170157</v>
      </c>
      <c r="W11">
        <v>1.6470101841419762</v>
      </c>
      <c r="X11">
        <v>612.12200833780446</v>
      </c>
      <c r="Y11">
        <v>8.9652202275943065</v>
      </c>
      <c r="Z11">
        <v>516.56109960720255</v>
      </c>
      <c r="AA11">
        <v>2.8322295602547909</v>
      </c>
      <c r="AB11">
        <v>2559.6567462359635</v>
      </c>
      <c r="AC11">
        <v>1.3850264741813203</v>
      </c>
      <c r="AD11">
        <v>1423.9268776039166</v>
      </c>
      <c r="AE11">
        <v>2.615812674984181</v>
      </c>
      <c r="AF11">
        <v>1788.0851489534882</v>
      </c>
    </row>
    <row r="12" spans="1:32" x14ac:dyDescent="0.15">
      <c r="A12" s="61" t="s">
        <v>89</v>
      </c>
      <c r="B12" s="63" t="s">
        <v>15</v>
      </c>
      <c r="C12">
        <v>1.2233841077684917</v>
      </c>
      <c r="D12">
        <v>1158.3902500049205</v>
      </c>
      <c r="G12">
        <v>15.351863597743385</v>
      </c>
      <c r="H12">
        <v>2218.6245473218082</v>
      </c>
      <c r="I12">
        <v>1.627242808222692</v>
      </c>
      <c r="J12">
        <v>427.33713222268074</v>
      </c>
      <c r="K12">
        <v>2.703201347493398</v>
      </c>
      <c r="L12">
        <v>1833.5770913491604</v>
      </c>
      <c r="M12">
        <v>2.6043299380546778</v>
      </c>
      <c r="N12">
        <v>2520.4018982171192</v>
      </c>
      <c r="O12">
        <v>18.8710419855155</v>
      </c>
      <c r="P12">
        <v>2250.3741412029558</v>
      </c>
      <c r="Q12">
        <v>3.7230443154809314</v>
      </c>
      <c r="R12">
        <v>331.0328580771972</v>
      </c>
      <c r="S12">
        <v>4.5810005021810145</v>
      </c>
      <c r="T12">
        <v>776.3627937546039</v>
      </c>
      <c r="U12">
        <v>0.92858163928156445</v>
      </c>
      <c r="V12">
        <v>316.99649915672603</v>
      </c>
      <c r="W12">
        <v>1.5924502631951136</v>
      </c>
      <c r="X12">
        <v>605.69667080049248</v>
      </c>
      <c r="Y12">
        <v>8.7870452426419057</v>
      </c>
      <c r="Z12">
        <v>511.02256724348763</v>
      </c>
      <c r="AA12">
        <v>2.6917953765276263</v>
      </c>
      <c r="AB12">
        <v>2502.3541826118239</v>
      </c>
      <c r="AC12">
        <v>1.3033478850272142</v>
      </c>
      <c r="AD12">
        <v>1397.3669703844716</v>
      </c>
      <c r="AE12">
        <v>2.3917265438897806</v>
      </c>
      <c r="AF12">
        <v>1737.0232371765089</v>
      </c>
    </row>
    <row r="13" spans="1:32" x14ac:dyDescent="0.15">
      <c r="A13" s="61" t="s">
        <v>90</v>
      </c>
      <c r="B13" s="63" t="b">
        <v>1</v>
      </c>
      <c r="C13">
        <v>2.0914310814055552</v>
      </c>
      <c r="D13">
        <v>1277.5846034019107</v>
      </c>
      <c r="G13">
        <v>15.151098250364393</v>
      </c>
      <c r="H13">
        <v>2197.0765049861775</v>
      </c>
      <c r="I13">
        <v>1.614322091392467</v>
      </c>
      <c r="J13">
        <v>425.66559510115422</v>
      </c>
      <c r="K13">
        <v>2.667376892555565</v>
      </c>
      <c r="L13">
        <v>1820.7316087007268</v>
      </c>
      <c r="M13">
        <v>2.554887331885535</v>
      </c>
      <c r="N13">
        <v>2497.3966426469037</v>
      </c>
      <c r="O13">
        <v>18.614180877651819</v>
      </c>
      <c r="P13">
        <v>2229.9909907320812</v>
      </c>
      <c r="Q13">
        <v>3.6274095614092481</v>
      </c>
      <c r="R13">
        <v>326.03003047150446</v>
      </c>
      <c r="S13">
        <v>4.4905976476466307</v>
      </c>
      <c r="T13">
        <v>769.09826463162528</v>
      </c>
      <c r="U13">
        <v>0.8927066930498968</v>
      </c>
      <c r="V13">
        <v>312.88397563065604</v>
      </c>
      <c r="W13">
        <v>1.5361275061077255</v>
      </c>
      <c r="X13">
        <v>597.04957294769974</v>
      </c>
      <c r="Y13">
        <v>8.5849689902717383</v>
      </c>
      <c r="Z13">
        <v>503.5682907859134</v>
      </c>
      <c r="AA13">
        <v>2.5372458224318448</v>
      </c>
      <c r="AB13">
        <v>2425.2378649052534</v>
      </c>
      <c r="AC13">
        <v>1.2185963327572553</v>
      </c>
      <c r="AD13">
        <v>1361.623321820528</v>
      </c>
      <c r="AE13">
        <v>2.1561002265796994</v>
      </c>
      <c r="AF13">
        <v>1668.3053563597086</v>
      </c>
    </row>
    <row r="14" spans="1:32" x14ac:dyDescent="0.15">
      <c r="A14" s="61" t="s">
        <v>91</v>
      </c>
      <c r="B14" s="63" t="b">
        <v>0</v>
      </c>
      <c r="C14" t="s">
        <v>77</v>
      </c>
      <c r="D14" t="s">
        <v>77</v>
      </c>
      <c r="G14">
        <v>14.926338504120658</v>
      </c>
      <c r="H14">
        <v>2170.82000034259</v>
      </c>
      <c r="I14">
        <v>1.601155282882891</v>
      </c>
      <c r="J14">
        <v>423.62881129245045</v>
      </c>
      <c r="K14">
        <v>2.6302812542525498</v>
      </c>
      <c r="L14">
        <v>1805.0793329325245</v>
      </c>
      <c r="M14">
        <v>2.5045285816986431</v>
      </c>
      <c r="N14">
        <v>2469.3646470595077</v>
      </c>
      <c r="O14">
        <v>18.334337753246544</v>
      </c>
      <c r="P14">
        <v>2205.1537678371974</v>
      </c>
      <c r="Q14">
        <v>3.5258164177091995</v>
      </c>
      <c r="R14">
        <v>319.93389397226844</v>
      </c>
      <c r="S14">
        <v>4.3987503132904218</v>
      </c>
      <c r="T14">
        <v>760.24629843546711</v>
      </c>
      <c r="U14">
        <v>0.85805836044808015</v>
      </c>
      <c r="V14">
        <v>307.87282236626896</v>
      </c>
      <c r="W14">
        <v>1.4802063648485251</v>
      </c>
      <c r="X14">
        <v>586.51301790056255</v>
      </c>
      <c r="Y14">
        <v>8.3667571475366991</v>
      </c>
      <c r="Z14">
        <v>494.48473389833742</v>
      </c>
      <c r="AA14">
        <v>2.3745201506591647</v>
      </c>
      <c r="AB14">
        <v>2331.2713299584843</v>
      </c>
      <c r="AC14">
        <v>1.1340287719959934</v>
      </c>
      <c r="AD14">
        <v>1318.0695402811466</v>
      </c>
      <c r="AE14">
        <v>1.9179887102875273</v>
      </c>
      <c r="AF14">
        <v>1584.5722961254849</v>
      </c>
    </row>
    <row r="15" spans="1:32" x14ac:dyDescent="0.15">
      <c r="A15" s="61" t="s">
        <v>92</v>
      </c>
      <c r="B15" s="63" t="b">
        <v>0</v>
      </c>
      <c r="G15">
        <v>14.686221750013624</v>
      </c>
      <c r="H15">
        <v>2140.8640561396833</v>
      </c>
      <c r="I15">
        <v>1.5882483757609551</v>
      </c>
      <c r="J15">
        <v>421.30505325609636</v>
      </c>
      <c r="K15">
        <v>2.593339997160844</v>
      </c>
      <c r="L15">
        <v>1787.2217722244204</v>
      </c>
      <c r="M15">
        <v>2.4551889460221661</v>
      </c>
      <c r="N15">
        <v>2437.3831653248308</v>
      </c>
      <c r="O15">
        <v>18.042266826632702</v>
      </c>
      <c r="P15">
        <v>2176.8169530652763</v>
      </c>
      <c r="Q15">
        <v>3.4221690519190848</v>
      </c>
      <c r="R15">
        <v>312.97871968640209</v>
      </c>
      <c r="S15">
        <v>4.3089881406631232</v>
      </c>
      <c r="T15">
        <v>750.14707126280859</v>
      </c>
      <c r="U15">
        <v>0.8259681574669927</v>
      </c>
      <c r="V15">
        <v>302.15561517322777</v>
      </c>
      <c r="W15">
        <v>1.4268358575151512</v>
      </c>
      <c r="X15">
        <v>574.49191956057132</v>
      </c>
      <c r="Y15">
        <v>8.1407954731784962</v>
      </c>
      <c r="Z15">
        <v>484.12097257783222</v>
      </c>
      <c r="AA15">
        <v>2.2098718175181404</v>
      </c>
      <c r="AB15">
        <v>2224.065659012459</v>
      </c>
      <c r="AC15">
        <v>1.0528950866773785</v>
      </c>
      <c r="AD15">
        <v>1268.3793731656062</v>
      </c>
      <c r="AE15">
        <v>1.686542487049822</v>
      </c>
      <c r="AF15">
        <v>1489.0418710205793</v>
      </c>
    </row>
    <row r="16" spans="1:32" x14ac:dyDescent="0.15">
      <c r="A16" s="61" t="s">
        <v>93</v>
      </c>
      <c r="B16" s="63">
        <v>1</v>
      </c>
      <c r="G16">
        <v>14.439975540244575</v>
      </c>
      <c r="H16">
        <v>2108.3598625136847</v>
      </c>
      <c r="I16">
        <v>1.5760973752290781</v>
      </c>
      <c r="J16">
        <v>418.78362171025049</v>
      </c>
      <c r="K16">
        <v>2.5579727530735936</v>
      </c>
      <c r="L16">
        <v>1767.8451826197943</v>
      </c>
      <c r="M16">
        <v>2.4087645193851488</v>
      </c>
      <c r="N16">
        <v>2402.6812278505054</v>
      </c>
      <c r="O16">
        <v>17.749192219724797</v>
      </c>
      <c r="P16">
        <v>2146.069514316534</v>
      </c>
      <c r="Q16">
        <v>3.3204505741801023</v>
      </c>
      <c r="R16">
        <v>305.43179106120425</v>
      </c>
      <c r="S16">
        <v>4.22476063971959</v>
      </c>
      <c r="T16">
        <v>739.18869075018222</v>
      </c>
      <c r="U16">
        <v>0.79766929261080666</v>
      </c>
      <c r="V16">
        <v>295.95206311771477</v>
      </c>
      <c r="W16">
        <v>1.3780669827739074</v>
      </c>
      <c r="X16">
        <v>561.44824199542359</v>
      </c>
      <c r="Y16">
        <v>7.9157675476219449</v>
      </c>
      <c r="Z16">
        <v>472.87528035988032</v>
      </c>
      <c r="AA16">
        <v>2.0496281661154563</v>
      </c>
      <c r="AB16">
        <v>2107.7407058799477</v>
      </c>
      <c r="AC16">
        <v>0.97831319882796541</v>
      </c>
      <c r="AD16">
        <v>1214.4623857296201</v>
      </c>
      <c r="AE16">
        <v>1.4706559054290504</v>
      </c>
      <c r="AF16">
        <v>1385.3852617076836</v>
      </c>
    </row>
    <row r="17" spans="7:32" x14ac:dyDescent="0.15">
      <c r="G17">
        <v>14.197062978558487</v>
      </c>
      <c r="H17">
        <v>2074.5565373970821</v>
      </c>
      <c r="I17">
        <v>1.5651692374233412</v>
      </c>
      <c r="J17">
        <v>416.16141385518466</v>
      </c>
      <c r="K17">
        <v>2.5255386653468936</v>
      </c>
      <c r="L17">
        <v>1747.6941955906366</v>
      </c>
      <c r="M17">
        <v>2.3670393664681417</v>
      </c>
      <c r="N17">
        <v>2366.5924106326047</v>
      </c>
      <c r="O17">
        <v>17.466376625308179</v>
      </c>
      <c r="P17">
        <v>2114.0930584187236</v>
      </c>
      <c r="Q17">
        <v>3.2245699685473839</v>
      </c>
      <c r="R17">
        <v>297.58313233137511</v>
      </c>
      <c r="S17">
        <v>4.14930462608576</v>
      </c>
      <c r="T17">
        <v>727.79228131515833</v>
      </c>
      <c r="U17">
        <v>0.77424927538575772</v>
      </c>
      <c r="V17">
        <v>289.500565226231</v>
      </c>
      <c r="W17">
        <v>1.3357739011312015</v>
      </c>
      <c r="X17">
        <v>547.88324641896997</v>
      </c>
      <c r="Y17">
        <v>7.7003210678490692</v>
      </c>
      <c r="Z17">
        <v>461.17982288976089</v>
      </c>
      <c r="AA17">
        <v>1.8999472701089057</v>
      </c>
      <c r="AB17">
        <v>1986.7667732740879</v>
      </c>
      <c r="AC17">
        <v>0.91314924857178625</v>
      </c>
      <c r="AD17">
        <v>1158.3905775633486</v>
      </c>
      <c r="AE17">
        <v>1.2786253656863262</v>
      </c>
      <c r="AF17">
        <v>1277.5859335514031</v>
      </c>
    </row>
    <row r="18" spans="7:32" x14ac:dyDescent="0.15">
      <c r="G18">
        <v>13.966819058474014</v>
      </c>
      <c r="H18">
        <v>2040.7531236169825</v>
      </c>
      <c r="I18">
        <v>1.5558839245510481</v>
      </c>
      <c r="J18">
        <v>413.53919966821798</v>
      </c>
      <c r="K18">
        <v>2.4972841577828331</v>
      </c>
      <c r="L18">
        <v>1727.543202267673</v>
      </c>
      <c r="M18">
        <v>2.3316169614980091</v>
      </c>
      <c r="N18">
        <v>2330.5035866779695</v>
      </c>
      <c r="O18">
        <v>17.204688488071458</v>
      </c>
      <c r="P18">
        <v>2082.1164226393935</v>
      </c>
      <c r="Q18">
        <v>3.1382118729249311</v>
      </c>
      <c r="R18">
        <v>289.73436305032351</v>
      </c>
      <c r="S18">
        <v>4.0855198320493598</v>
      </c>
      <c r="T18">
        <v>716.39580058114461</v>
      </c>
      <c r="U18">
        <v>0.75660812391970755</v>
      </c>
      <c r="V18">
        <v>283.04904894470457</v>
      </c>
      <c r="W18">
        <v>1.3015819119963274</v>
      </c>
      <c r="X18">
        <v>534.31822800387567</v>
      </c>
      <c r="Y18">
        <v>7.5027355212537641</v>
      </c>
      <c r="Z18">
        <v>449.48405003916236</v>
      </c>
      <c r="AA18">
        <v>1.7665812823899956</v>
      </c>
      <c r="AB18">
        <v>1865.7928215819527</v>
      </c>
      <c r="AC18">
        <v>0.85990744997282298</v>
      </c>
      <c r="AD18">
        <v>1102.3187568091907</v>
      </c>
      <c r="AE18">
        <v>1.1178304937719901</v>
      </c>
      <c r="AF18">
        <v>1169.7865542782204</v>
      </c>
    </row>
    <row r="19" spans="7:32" x14ac:dyDescent="0.15">
      <c r="G19">
        <v>13.758091924717723</v>
      </c>
      <c r="H19">
        <v>2008.2486674077816</v>
      </c>
      <c r="I19">
        <v>1.5485982659786171</v>
      </c>
      <c r="J19">
        <v>411.01774937000073</v>
      </c>
      <c r="K19">
        <v>2.474295035261787</v>
      </c>
      <c r="L19">
        <v>1708.1665940234959</v>
      </c>
      <c r="M19">
        <v>2.3038585676326382</v>
      </c>
      <c r="N19">
        <v>2295.8016292523293</v>
      </c>
      <c r="O19">
        <v>16.974184336372247</v>
      </c>
      <c r="P19">
        <v>2051.3684511588403</v>
      </c>
      <c r="Q19">
        <v>3.0646949804973356</v>
      </c>
      <c r="R19">
        <v>282.18710701987959</v>
      </c>
      <c r="S19">
        <v>4.0358574714742836</v>
      </c>
      <c r="T19">
        <v>705.43720891152918</v>
      </c>
      <c r="U19">
        <v>0.74542377777022495</v>
      </c>
      <c r="V19">
        <v>276.84544242578244</v>
      </c>
      <c r="W19">
        <v>1.2768049943366504</v>
      </c>
      <c r="X19">
        <v>521.27448280048316</v>
      </c>
      <c r="Y19">
        <v>7.3306040095844347</v>
      </c>
      <c r="Z19">
        <v>438.23742379966836</v>
      </c>
      <c r="AA19">
        <v>1.6546553830742496</v>
      </c>
      <c r="AB19">
        <v>1749.4678119240898</v>
      </c>
      <c r="AC19">
        <v>0.82063385549288981</v>
      </c>
      <c r="AD19">
        <v>1048.4017320932899</v>
      </c>
      <c r="AE19">
        <v>0.99445054643891895</v>
      </c>
      <c r="AF19">
        <v>1066.1297935790246</v>
      </c>
    </row>
    <row r="20" spans="7:32" x14ac:dyDescent="0.15">
      <c r="G20">
        <v>13.578902843984354</v>
      </c>
      <c r="H20">
        <v>1978.2922967928921</v>
      </c>
      <c r="I20">
        <v>1.5435922454791431</v>
      </c>
      <c r="J20">
        <v>408.69396088144794</v>
      </c>
      <c r="K20">
        <v>2.4574547568697929</v>
      </c>
      <c r="L20">
        <v>1690.3090030464039</v>
      </c>
      <c r="M20">
        <v>2.2848309243811924</v>
      </c>
      <c r="N20">
        <v>2263.8201151184753</v>
      </c>
      <c r="O20">
        <v>16.783722315492131</v>
      </c>
      <c r="P20">
        <v>2023.0307712774011</v>
      </c>
      <c r="Q20">
        <v>3.0068445042118443</v>
      </c>
      <c r="R20">
        <v>275.23140105674361</v>
      </c>
      <c r="S20">
        <v>4.0022260410264607</v>
      </c>
      <c r="T20">
        <v>695.3376388385268</v>
      </c>
      <c r="U20">
        <v>0.74112604508758073</v>
      </c>
      <c r="V20">
        <v>271.12814678896405</v>
      </c>
      <c r="W20">
        <v>1.2623953112027764</v>
      </c>
      <c r="X20">
        <v>509.25327462194196</v>
      </c>
      <c r="Y20">
        <v>7.1905414503020717</v>
      </c>
      <c r="Z20">
        <v>427.87214571048207</v>
      </c>
      <c r="AA20">
        <v>1.5684708217036372</v>
      </c>
      <c r="AB20">
        <v>1642.262049185875</v>
      </c>
      <c r="AC20">
        <v>0.79683772734296099</v>
      </c>
      <c r="AD20">
        <v>998.71150443845306</v>
      </c>
      <c r="AE20">
        <v>0.91322694587084308</v>
      </c>
      <c r="AF20">
        <v>970.59912263610204</v>
      </c>
    </row>
    <row r="21" spans="7:32" x14ac:dyDescent="0.15">
      <c r="G21">
        <v>13.436137952156081</v>
      </c>
      <c r="H21">
        <v>1952.035218295315</v>
      </c>
      <c r="I21">
        <v>1.5410582416130119</v>
      </c>
      <c r="J21">
        <v>406.65713609097907</v>
      </c>
      <c r="K21">
        <v>2.4474104850613192</v>
      </c>
      <c r="L21">
        <v>1674.6566865429966</v>
      </c>
      <c r="M21">
        <v>2.2752652534029933</v>
      </c>
      <c r="N21">
        <v>2235.788075929122</v>
      </c>
      <c r="O21">
        <v>16.6406217740812</v>
      </c>
      <c r="P21">
        <v>1998.1923841409648</v>
      </c>
      <c r="Q21">
        <v>2.9668836054291852</v>
      </c>
      <c r="R21">
        <v>269.13454904027373</v>
      </c>
      <c r="S21">
        <v>3.9859179777172749</v>
      </c>
      <c r="T21">
        <v>686.48521117613802</v>
      </c>
      <c r="U21">
        <v>0.74388008532857286</v>
      </c>
      <c r="V21">
        <v>266.11687449927632</v>
      </c>
      <c r="W21">
        <v>1.2589066186364966</v>
      </c>
      <c r="X21">
        <v>498.7165717569838</v>
      </c>
      <c r="Y21">
        <v>7.0879303690119047</v>
      </c>
      <c r="Z21">
        <v>418.7865475956558</v>
      </c>
      <c r="AA21">
        <v>1.5113396226387257</v>
      </c>
      <c r="AB21">
        <v>1548.2953907076003</v>
      </c>
      <c r="AC21">
        <v>0.78943353738282418</v>
      </c>
      <c r="AD21">
        <v>955.15764142688477</v>
      </c>
      <c r="AE21">
        <v>0.87728106948686679</v>
      </c>
      <c r="AF21">
        <v>886.86573155956489</v>
      </c>
    </row>
    <row r="22" spans="7:32" x14ac:dyDescent="0.15">
      <c r="G22">
        <v>13.3352836239624</v>
      </c>
      <c r="H22">
        <v>1930.486476716575</v>
      </c>
      <c r="I22">
        <v>1.5410936347277133</v>
      </c>
      <c r="J22">
        <v>404.98554903302727</v>
      </c>
      <c r="K22">
        <v>2.4445482155690708</v>
      </c>
      <c r="L22">
        <v>1661.8111542585721</v>
      </c>
      <c r="M22">
        <v>2.2755291580692494</v>
      </c>
      <c r="N22">
        <v>2212.7827672297672</v>
      </c>
      <c r="O22">
        <v>16.550381985694155</v>
      </c>
      <c r="P22">
        <v>1977.8078150376546</v>
      </c>
      <c r="Q22">
        <v>2.9463479590792465</v>
      </c>
      <c r="R22">
        <v>264.13084957430891</v>
      </c>
      <c r="S22">
        <v>3.9875599912740318</v>
      </c>
      <c r="T22">
        <v>679.22011975493047</v>
      </c>
      <c r="U22">
        <v>0.75358006227122354</v>
      </c>
      <c r="V22">
        <v>262.00420594045789</v>
      </c>
      <c r="W22">
        <v>1.266472985136651</v>
      </c>
      <c r="X22">
        <v>490.06929378765511</v>
      </c>
      <c r="Y22">
        <v>7.0267140520229621</v>
      </c>
      <c r="Z22">
        <v>411.32978389548055</v>
      </c>
      <c r="AA22">
        <v>1.4854573058200427</v>
      </c>
      <c r="AB22">
        <v>1471.1789224774548</v>
      </c>
      <c r="AC22">
        <v>0.79870582448032046</v>
      </c>
      <c r="AD22">
        <v>919.41389358879394</v>
      </c>
      <c r="AE22">
        <v>0.88799429715775968</v>
      </c>
      <c r="AF22">
        <v>818.14744761023951</v>
      </c>
    </row>
    <row r="23" spans="7:32" x14ac:dyDescent="0.15">
      <c r="G23">
        <v>13.280215634676038</v>
      </c>
      <c r="H23">
        <v>1914.4741781108698</v>
      </c>
      <c r="I23">
        <v>1.5436970646856976</v>
      </c>
      <c r="J23">
        <v>403.74343786079305</v>
      </c>
      <c r="K23">
        <v>2.4489779438044565</v>
      </c>
      <c r="L23">
        <v>1652.266052794974</v>
      </c>
      <c r="M23">
        <v>2.2856124966716358</v>
      </c>
      <c r="N23">
        <v>2195.6882701322156</v>
      </c>
      <c r="O23">
        <v>16.516470814791674</v>
      </c>
      <c r="P23">
        <v>1962.660431526318</v>
      </c>
      <c r="Q23">
        <v>2.946026738534735</v>
      </c>
      <c r="R23">
        <v>260.41259202321953</v>
      </c>
      <c r="S23">
        <v>4.0070889800365999</v>
      </c>
      <c r="T23">
        <v>673.82155796390998</v>
      </c>
      <c r="U23">
        <v>0.76985321124143458</v>
      </c>
      <c r="V23">
        <v>258.94818865881331</v>
      </c>
      <c r="W23">
        <v>1.2848036394819051</v>
      </c>
      <c r="X23">
        <v>483.64375075686968</v>
      </c>
      <c r="Y23">
        <v>7.0092450080666167</v>
      </c>
      <c r="Z23">
        <v>405.78841385715208</v>
      </c>
      <c r="AA23">
        <v>1.4918185141679832</v>
      </c>
      <c r="AB23">
        <v>1413.8761871222068</v>
      </c>
      <c r="AC23">
        <v>0.82429825984225635</v>
      </c>
      <c r="AD23">
        <v>892.85387310829162</v>
      </c>
      <c r="AE23">
        <v>0.94495492555218064</v>
      </c>
      <c r="AF23">
        <v>767.08507590267993</v>
      </c>
    </row>
    <row r="24" spans="7:32" x14ac:dyDescent="0.15">
      <c r="G24">
        <v>13.27305021624278</v>
      </c>
      <c r="H24">
        <v>1904.6136661338135</v>
      </c>
      <c r="I24">
        <v>1.5487684831337005</v>
      </c>
      <c r="J24">
        <v>402.97853621004106</v>
      </c>
      <c r="K24">
        <v>2.4605294377956124</v>
      </c>
      <c r="L24">
        <v>1646.3881950484856</v>
      </c>
      <c r="M24">
        <v>2.3051277721624643</v>
      </c>
      <c r="N24">
        <v>2185.1615165732137</v>
      </c>
      <c r="O24">
        <v>16.540191448653921</v>
      </c>
      <c r="P24">
        <v>1953.3323390605412</v>
      </c>
      <c r="Q24">
        <v>2.9659322881210319</v>
      </c>
      <c r="R24">
        <v>258.12266693947095</v>
      </c>
      <c r="S24">
        <v>4.0437544559188074</v>
      </c>
      <c r="T24">
        <v>670.49698950515869</v>
      </c>
      <c r="U24">
        <v>0.79207416425037047</v>
      </c>
      <c r="V24">
        <v>257.06626368464134</v>
      </c>
      <c r="W24">
        <v>1.3131941449057283</v>
      </c>
      <c r="X24">
        <v>479.68687267981323</v>
      </c>
      <c r="Y24">
        <v>7.0361945627053633</v>
      </c>
      <c r="Z24">
        <v>402.37538922360795</v>
      </c>
      <c r="AA24">
        <v>1.5301787900131154</v>
      </c>
      <c r="AB24">
        <v>1378.5892966257409</v>
      </c>
      <c r="AC24">
        <v>0.86522734053010597</v>
      </c>
      <c r="AD24">
        <v>876.4982666774041</v>
      </c>
      <c r="AE24">
        <v>1.0459739896647651</v>
      </c>
      <c r="AF24">
        <v>735.64091474549457</v>
      </c>
    </row>
    <row r="25" spans="7:32" x14ac:dyDescent="0.15">
      <c r="G25">
        <v>13.314062731674612</v>
      </c>
      <c r="H25">
        <v>1901.2838747308494</v>
      </c>
      <c r="I25">
        <v>1.5561129983048492</v>
      </c>
      <c r="J25">
        <v>402.72023882224812</v>
      </c>
      <c r="K25">
        <v>2.4787587801066069</v>
      </c>
      <c r="L25">
        <v>1644.4034637959674</v>
      </c>
      <c r="M25">
        <v>2.333325023448904</v>
      </c>
      <c r="N25">
        <v>2181.6070437885637</v>
      </c>
      <c r="O25">
        <v>16.620632316624278</v>
      </c>
      <c r="P25">
        <v>1950.1820110025294</v>
      </c>
      <c r="Q25">
        <v>3.0052996487306975</v>
      </c>
      <c r="R25">
        <v>257.34907485982677</v>
      </c>
      <c r="S25">
        <v>4.0961473852447563</v>
      </c>
      <c r="T25">
        <v>669.37417568010551</v>
      </c>
      <c r="U25">
        <v>0.8193889825355567</v>
      </c>
      <c r="V25">
        <v>256.43075233930409</v>
      </c>
      <c r="W25">
        <v>1.350553470206254</v>
      </c>
      <c r="X25">
        <v>478.35072016194607</v>
      </c>
      <c r="Y25">
        <v>7.1065270596679211</v>
      </c>
      <c r="Z25">
        <v>401.22187061746871</v>
      </c>
      <c r="AA25">
        <v>1.5990639694674862</v>
      </c>
      <c r="AB25">
        <v>1366.6743064007271</v>
      </c>
      <c r="AC25">
        <v>0.9199201849262636</v>
      </c>
      <c r="AD25">
        <v>870.97561107896126</v>
      </c>
      <c r="AE25">
        <v>1.1871693835139505</v>
      </c>
      <c r="AF25">
        <v>725.02334561783823</v>
      </c>
    </row>
    <row r="26" spans="7:32" x14ac:dyDescent="0.15">
      <c r="G26">
        <v>13.401677093003535</v>
      </c>
      <c r="H26">
        <v>1904.6127659182216</v>
      </c>
      <c r="I26">
        <v>1.5654483645999659</v>
      </c>
      <c r="J26">
        <v>402.97847192117212</v>
      </c>
      <c r="K26">
        <v>2.5029654273355466</v>
      </c>
      <c r="L26">
        <v>1646.3881311464002</v>
      </c>
      <c r="M26">
        <v>2.369120645977195</v>
      </c>
      <c r="N26">
        <v>2185.1614481739994</v>
      </c>
      <c r="O26">
        <v>16.754702121258376</v>
      </c>
      <c r="P26">
        <v>1953.3305126928294</v>
      </c>
      <c r="Q26">
        <v>3.0626159547729652</v>
      </c>
      <c r="R26">
        <v>258.12154449407217</v>
      </c>
      <c r="S26">
        <v>4.1622543371227261</v>
      </c>
      <c r="T26">
        <v>670.49626559436695</v>
      </c>
      <c r="U26">
        <v>0.85074797294861138</v>
      </c>
      <c r="V26">
        <v>257.06607696740423</v>
      </c>
      <c r="W26">
        <v>1.395445917463527</v>
      </c>
      <c r="X26">
        <v>479.68664079520573</v>
      </c>
      <c r="Y26">
        <v>7.2175396605389288</v>
      </c>
      <c r="Z26">
        <v>402.37218711186767</v>
      </c>
      <c r="AA26">
        <v>1.6958268337157918</v>
      </c>
      <c r="AB26">
        <v>1378.5891028395349</v>
      </c>
      <c r="AC26">
        <v>0.98627497769267325</v>
      </c>
      <c r="AD26">
        <v>876.49813887044559</v>
      </c>
      <c r="AE26">
        <v>1.3631150472972555</v>
      </c>
      <c r="AF26">
        <v>735.64039574690901</v>
      </c>
    </row>
    <row r="27" spans="7:32" x14ac:dyDescent="0.15">
      <c r="G27">
        <v>13.532526329458451</v>
      </c>
      <c r="H27">
        <v>1914.4724122744665</v>
      </c>
      <c r="I27">
        <v>1.5764158291276675</v>
      </c>
      <c r="J27">
        <v>403.7433117536404</v>
      </c>
      <c r="K27">
        <v>2.5322191316047018</v>
      </c>
      <c r="L27">
        <v>1652.2659274465243</v>
      </c>
      <c r="M27">
        <v>2.4111390340480581</v>
      </c>
      <c r="N27">
        <v>2195.6881359623308</v>
      </c>
      <c r="O27">
        <v>16.937248635151327</v>
      </c>
      <c r="P27">
        <v>1962.6568489771812</v>
      </c>
      <c r="Q27">
        <v>3.1356785727499972</v>
      </c>
      <c r="R27">
        <v>260.41039026736922</v>
      </c>
      <c r="S27">
        <v>4.2395348584652472</v>
      </c>
      <c r="T27">
        <v>673.82013796181229</v>
      </c>
      <c r="U27">
        <v>0.88494602707428649</v>
      </c>
      <c r="V27">
        <v>258.94782239977781</v>
      </c>
      <c r="W27">
        <v>1.4461462951054478</v>
      </c>
      <c r="X27">
        <v>483.64329589885011</v>
      </c>
      <c r="Y27">
        <v>7.3649662133235037</v>
      </c>
      <c r="Z27">
        <v>405.78213268902988</v>
      </c>
      <c r="AA27">
        <v>1.8167488401502478</v>
      </c>
      <c r="AB27">
        <v>1413.8758069968901</v>
      </c>
      <c r="AC27">
        <v>1.0617417413556631</v>
      </c>
      <c r="AD27">
        <v>892.8536224059244</v>
      </c>
      <c r="AE27">
        <v>1.5670494878269294</v>
      </c>
      <c r="AF27">
        <v>767.08405785033335</v>
      </c>
    </row>
    <row r="28" spans="7:32" x14ac:dyDescent="0.15">
      <c r="G28">
        <v>13.701581978263423</v>
      </c>
      <c r="H28">
        <v>1930.4839131194628</v>
      </c>
      <c r="I28">
        <v>1.5885939183767743</v>
      </c>
      <c r="J28">
        <v>404.98536595381796</v>
      </c>
      <c r="K28">
        <v>2.5653956894646481</v>
      </c>
      <c r="L28">
        <v>1661.8109722808288</v>
      </c>
      <c r="M28">
        <v>2.4577654445720749</v>
      </c>
      <c r="N28">
        <v>2212.782572445285</v>
      </c>
      <c r="O28">
        <v>17.161256698147508</v>
      </c>
      <c r="P28">
        <v>1977.8026139824469</v>
      </c>
      <c r="Q28">
        <v>3.221679747226919</v>
      </c>
      <c r="R28">
        <v>264.12765312024959</v>
      </c>
      <c r="S28">
        <v>4.3250191021765669</v>
      </c>
      <c r="T28">
        <v>679.21805823141108</v>
      </c>
      <c r="U28">
        <v>0.92066893287102114</v>
      </c>
      <c r="V28">
        <v>262.00367421475335</v>
      </c>
      <c r="W28">
        <v>1.5007062160523104</v>
      </c>
      <c r="X28">
        <v>490.06863343616209</v>
      </c>
      <c r="Y28">
        <v>7.5431411982759045</v>
      </c>
      <c r="Z28">
        <v>411.32066505274486</v>
      </c>
      <c r="AA28">
        <v>1.9571830238774122</v>
      </c>
      <c r="AB28">
        <v>1471.1783706210297</v>
      </c>
      <c r="AC28">
        <v>1.1434203305097692</v>
      </c>
      <c r="AD28">
        <v>919.41352962536939</v>
      </c>
      <c r="AE28">
        <v>1.7911356189213299</v>
      </c>
      <c r="AF28">
        <v>818.14596962731264</v>
      </c>
    </row>
    <row r="29" spans="7:32" x14ac:dyDescent="0.15">
      <c r="G29">
        <v>13.902347325642415</v>
      </c>
      <c r="H29">
        <v>1952.0319554550933</v>
      </c>
      <c r="I29">
        <v>1.6015146352069993</v>
      </c>
      <c r="J29">
        <v>406.65690307534447</v>
      </c>
      <c r="K29">
        <v>2.6012201444024812</v>
      </c>
      <c r="L29">
        <v>1674.6564549292623</v>
      </c>
      <c r="M29">
        <v>2.5072080507412178</v>
      </c>
      <c r="N29">
        <v>2235.7878280155005</v>
      </c>
      <c r="O29">
        <v>17.418117806011189</v>
      </c>
      <c r="P29">
        <v>1998.1857644533213</v>
      </c>
      <c r="Q29">
        <v>3.3173145012986023</v>
      </c>
      <c r="R29">
        <v>269.13048072594233</v>
      </c>
      <c r="S29">
        <v>4.4154219567109507</v>
      </c>
      <c r="T29">
        <v>686.48258735438969</v>
      </c>
      <c r="U29">
        <v>0.95654387910268879</v>
      </c>
      <c r="V29">
        <v>266.11619774082334</v>
      </c>
      <c r="W29">
        <v>1.5570289731396985</v>
      </c>
      <c r="X29">
        <v>498.71573128895488</v>
      </c>
      <c r="Y29">
        <v>7.7452174506460727</v>
      </c>
      <c r="Z29">
        <v>418.77494151031908</v>
      </c>
      <c r="AA29">
        <v>2.1117325779731937</v>
      </c>
      <c r="AB29">
        <v>1548.2946883276002</v>
      </c>
      <c r="AC29">
        <v>1.2281718827797281</v>
      </c>
      <c r="AD29">
        <v>955.15717818931307</v>
      </c>
      <c r="AE29">
        <v>2.0267619362314111</v>
      </c>
      <c r="AF29">
        <v>886.8638504441127</v>
      </c>
    </row>
    <row r="30" spans="7:32" x14ac:dyDescent="0.15">
      <c r="G30">
        <v>14.127107071886151</v>
      </c>
      <c r="H30">
        <v>1978.2884600986808</v>
      </c>
      <c r="I30">
        <v>1.6146814437165753</v>
      </c>
      <c r="J30">
        <v>408.69368688404825</v>
      </c>
      <c r="K30">
        <v>2.6383157827054964</v>
      </c>
      <c r="L30">
        <v>1690.3087306974646</v>
      </c>
      <c r="M30">
        <v>2.5575668009281096</v>
      </c>
      <c r="N30">
        <v>2263.8198236028966</v>
      </c>
      <c r="O30">
        <v>17.697960930416464</v>
      </c>
      <c r="P30">
        <v>2023.0229873482056</v>
      </c>
      <c r="Q30">
        <v>3.4189076449986509</v>
      </c>
      <c r="R30">
        <v>275.22661722517836</v>
      </c>
      <c r="S30">
        <v>4.5072692910671597</v>
      </c>
      <c r="T30">
        <v>695.33455355054787</v>
      </c>
      <c r="U30">
        <v>0.99119221170450544</v>
      </c>
      <c r="V30">
        <v>271.12735100521041</v>
      </c>
      <c r="W30">
        <v>1.6129501143988989</v>
      </c>
      <c r="X30">
        <v>509.25228633609208</v>
      </c>
      <c r="Y30">
        <v>7.9634292933811111</v>
      </c>
      <c r="Z30">
        <v>427.85849839789506</v>
      </c>
      <c r="AA30">
        <v>2.2744582497458739</v>
      </c>
      <c r="AB30">
        <v>1642.2612232743691</v>
      </c>
      <c r="AC30">
        <v>1.31273944354099</v>
      </c>
      <c r="AD30">
        <v>998.71095972869443</v>
      </c>
      <c r="AE30">
        <v>2.2648734525235832</v>
      </c>
      <c r="AF30">
        <v>970.59691067833649</v>
      </c>
    </row>
    <row r="31" spans="7:32" x14ac:dyDescent="0.15">
      <c r="G31">
        <v>14.367223825993184</v>
      </c>
      <c r="H31">
        <v>2008.2444043015876</v>
      </c>
      <c r="I31">
        <v>1.6275883508385112</v>
      </c>
      <c r="J31">
        <v>411.01744492040234</v>
      </c>
      <c r="K31">
        <v>2.6752570397972022</v>
      </c>
      <c r="L31">
        <v>1708.1662914055687</v>
      </c>
      <c r="M31">
        <v>2.6069064366045867</v>
      </c>
      <c r="N31">
        <v>2295.8013053375735</v>
      </c>
      <c r="O31">
        <v>17.990031857030306</v>
      </c>
      <c r="P31">
        <v>2051.3598021201265</v>
      </c>
      <c r="Q31">
        <v>3.5225550107887655</v>
      </c>
      <c r="R31">
        <v>282.18179151104471</v>
      </c>
      <c r="S31">
        <v>4.5970314636944583</v>
      </c>
      <c r="T31">
        <v>705.43378072320638</v>
      </c>
      <c r="U31">
        <v>1.0232824146855928</v>
      </c>
      <c r="V31">
        <v>276.8445581982516</v>
      </c>
      <c r="W31">
        <v>1.6663206217322728</v>
      </c>
      <c r="X31">
        <v>521.27338467608331</v>
      </c>
      <c r="Y31">
        <v>8.189390967739314</v>
      </c>
      <c r="Z31">
        <v>438.22225971840027</v>
      </c>
      <c r="AA31">
        <v>2.4391065828868981</v>
      </c>
      <c r="AB31">
        <v>1749.4668942203944</v>
      </c>
      <c r="AC31">
        <v>1.3938731288596049</v>
      </c>
      <c r="AD31">
        <v>1048.4011268442348</v>
      </c>
      <c r="AE31">
        <v>2.4963196757612884</v>
      </c>
      <c r="AF31">
        <v>1066.1273357832422</v>
      </c>
    </row>
    <row r="32" spans="7:32" x14ac:dyDescent="0.15">
      <c r="G32">
        <v>14.613470035762234</v>
      </c>
      <c r="H32">
        <v>2040.7485979275862</v>
      </c>
      <c r="I32">
        <v>1.6397393513703882</v>
      </c>
      <c r="J32">
        <v>413.53887646624821</v>
      </c>
      <c r="K32">
        <v>2.7106242838844525</v>
      </c>
      <c r="L32">
        <v>1727.5428810101948</v>
      </c>
      <c r="M32">
        <v>2.6533308632416039</v>
      </c>
      <c r="N32">
        <v>2330.5032428118989</v>
      </c>
      <c r="O32">
        <v>18.283106463938207</v>
      </c>
      <c r="P32">
        <v>2082.1072408688683</v>
      </c>
      <c r="Q32">
        <v>3.6242734885277481</v>
      </c>
      <c r="R32">
        <v>289.72872013624254</v>
      </c>
      <c r="S32">
        <v>4.6812589646379914</v>
      </c>
      <c r="T32">
        <v>716.39216123583276</v>
      </c>
      <c r="U32">
        <v>1.0515812795417787</v>
      </c>
      <c r="V32">
        <v>283.04811025376455</v>
      </c>
      <c r="W32">
        <v>1.7150894964735159</v>
      </c>
      <c r="X32">
        <v>534.31706224123081</v>
      </c>
      <c r="Y32">
        <v>8.4144188932958652</v>
      </c>
      <c r="Z32">
        <v>449.46795193635216</v>
      </c>
      <c r="AA32">
        <v>2.5993502342895822</v>
      </c>
      <c r="AB32">
        <v>1865.791847352906</v>
      </c>
      <c r="AC32">
        <v>1.468455016709018</v>
      </c>
      <c r="AD32">
        <v>1102.3181142802209</v>
      </c>
      <c r="AE32">
        <v>2.712206257382054</v>
      </c>
      <c r="AF32">
        <v>1169.7839450961346</v>
      </c>
    </row>
    <row r="33" spans="7:32" x14ac:dyDescent="0.15">
      <c r="G33">
        <v>14.856382597448322</v>
      </c>
      <c r="H33">
        <v>2074.5519230441887</v>
      </c>
      <c r="I33">
        <v>1.650667489176125</v>
      </c>
      <c r="J33">
        <v>416.16108432131404</v>
      </c>
      <c r="K33">
        <v>2.7430583716111525</v>
      </c>
      <c r="L33">
        <v>1747.6938680393525</v>
      </c>
      <c r="M33">
        <v>2.695056016158611</v>
      </c>
      <c r="N33">
        <v>2366.5920600297995</v>
      </c>
      <c r="O33">
        <v>18.565922058354829</v>
      </c>
      <c r="P33">
        <v>2114.0836967666792</v>
      </c>
      <c r="Q33">
        <v>3.7201540941604665</v>
      </c>
      <c r="R33">
        <v>297.57737886607168</v>
      </c>
      <c r="S33">
        <v>4.7567149782718214</v>
      </c>
      <c r="T33">
        <v>727.78857067085664</v>
      </c>
      <c r="U33">
        <v>1.0750012967668279</v>
      </c>
      <c r="V33">
        <v>289.49960814524837</v>
      </c>
      <c r="W33">
        <v>1.7573825781162224</v>
      </c>
      <c r="X33">
        <v>547.88205781768465</v>
      </c>
      <c r="Y33">
        <v>8.6298653730687409</v>
      </c>
      <c r="Z33">
        <v>461.1634094064716</v>
      </c>
      <c r="AA33">
        <v>2.7490311302961326</v>
      </c>
      <c r="AB33">
        <v>1986.7657799587655</v>
      </c>
      <c r="AC33">
        <v>1.5336189669651972</v>
      </c>
      <c r="AD33">
        <v>1158.3899224464924</v>
      </c>
      <c r="AE33">
        <v>2.9042367971247844</v>
      </c>
      <c r="AF33">
        <v>1277.5832732524184</v>
      </c>
    </row>
    <row r="34" spans="7:32" x14ac:dyDescent="0.15"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ER68"/>
  <sheetViews>
    <sheetView topLeftCell="DC14" workbookViewId="0">
      <selection activeCell="DN51" activeCellId="7" sqref="DL25:DL29 DL38:DL40 DL44:DL45 DL51:DL58 DN25:DN29 DN38:DN40 DN44:DN45 DN51:DN58"/>
    </sheetView>
  </sheetViews>
  <sheetFormatPr baseColWidth="10" defaultColWidth="10.6640625" defaultRowHeight="16" x14ac:dyDescent="0.2"/>
  <cols>
    <col min="1" max="1" width="14.1640625" style="8" customWidth="1"/>
    <col min="2" max="2" width="20.1640625" style="8" bestFit="1" customWidth="1"/>
    <col min="3" max="3" width="11.1640625" style="8" bestFit="1" customWidth="1"/>
    <col min="4" max="4" width="13.6640625" style="8" customWidth="1"/>
    <col min="5" max="5" width="17.1640625" style="8" bestFit="1" customWidth="1"/>
    <col min="6" max="6" width="13.83203125" style="8" bestFit="1" customWidth="1"/>
    <col min="7" max="7" width="17.1640625" style="8" bestFit="1" customWidth="1"/>
    <col min="8" max="8" width="12.6640625" style="8" bestFit="1" customWidth="1"/>
    <col min="9" max="9" width="16.1640625" style="8" bestFit="1" customWidth="1"/>
    <col min="10" max="10" width="12.6640625" style="8" bestFit="1" customWidth="1"/>
    <col min="11" max="11" width="16.1640625" style="8" bestFit="1" customWidth="1"/>
    <col min="12" max="12" width="12.6640625" style="8" bestFit="1" customWidth="1"/>
    <col min="13" max="13" width="16.1640625" style="8" bestFit="1" customWidth="1"/>
    <col min="14" max="14" width="9.33203125" style="8" bestFit="1" customWidth="1"/>
    <col min="15" max="15" width="10.83203125" style="8" bestFit="1" customWidth="1"/>
    <col min="16" max="16" width="14.1640625" style="8" bestFit="1" customWidth="1"/>
    <col min="17" max="17" width="10.83203125" style="8" bestFit="1" customWidth="1"/>
    <col min="18" max="18" width="14.1640625" style="8" bestFit="1" customWidth="1"/>
    <col min="19" max="19" width="9.83203125" style="8" bestFit="1" customWidth="1"/>
    <col min="20" max="20" width="13.1640625" style="8" bestFit="1" customWidth="1"/>
    <col min="21" max="21" width="9.83203125" style="8" bestFit="1" customWidth="1"/>
    <col min="22" max="22" width="13.1640625" style="8" bestFit="1" customWidth="1"/>
    <col min="23" max="23" width="9.83203125" style="8" bestFit="1" customWidth="1"/>
    <col min="24" max="24" width="13.1640625" style="8" bestFit="1" customWidth="1"/>
    <col min="25" max="25" width="9" style="8" bestFit="1" customWidth="1"/>
    <col min="26" max="26" width="10.6640625" style="8" bestFit="1" customWidth="1"/>
    <col min="27" max="27" width="9" style="8" bestFit="1" customWidth="1"/>
    <col min="28" max="28" width="10.6640625" style="8" bestFit="1" customWidth="1"/>
    <col min="29" max="29" width="9" style="8" bestFit="1" customWidth="1"/>
    <col min="30" max="30" width="10.6640625" style="8" bestFit="1" customWidth="1"/>
    <col min="31" max="31" width="7.1640625" style="8" bestFit="1" customWidth="1"/>
    <col min="32" max="32" width="7.1640625" style="8" customWidth="1"/>
    <col min="33" max="33" width="10.6640625" style="8" bestFit="1" customWidth="1"/>
    <col min="34" max="34" width="8.1640625" style="8" bestFit="1" customWidth="1"/>
    <col min="35" max="35" width="10.6640625" style="8" bestFit="1" customWidth="1"/>
    <col min="36" max="36" width="8.1640625" style="8" bestFit="1" customWidth="1"/>
    <col min="37" max="37" width="10.5" style="8" bestFit="1" customWidth="1"/>
    <col min="38" max="38" width="10.6640625" style="8" bestFit="1" customWidth="1"/>
    <col min="39" max="39" width="11.6640625" style="8" bestFit="1" customWidth="1"/>
    <col min="40" max="40" width="9.83203125" style="8" bestFit="1" customWidth="1"/>
    <col min="41" max="41" width="10.6640625" style="8" bestFit="1" customWidth="1"/>
    <col min="42" max="42" width="11.6640625" style="8" bestFit="1" customWidth="1"/>
    <col min="43" max="43" width="10.6640625" style="8" bestFit="1" customWidth="1"/>
    <col min="44" max="44" width="11.6640625" style="8" bestFit="1" customWidth="1"/>
    <col min="45" max="45" width="10.6640625" style="8" bestFit="1" customWidth="1"/>
    <col min="46" max="46" width="11.6640625" style="8" bestFit="1" customWidth="1"/>
    <col min="47" max="47" width="11.33203125" style="8" bestFit="1" customWidth="1"/>
    <col min="48" max="48" width="11.6640625" style="8" bestFit="1" customWidth="1"/>
    <col min="49" max="49" width="10.6640625" style="8" bestFit="1" customWidth="1"/>
    <col min="50" max="50" width="11.6640625" style="8" bestFit="1" customWidth="1"/>
    <col min="51" max="52" width="9.33203125" style="8" bestFit="1" customWidth="1"/>
    <col min="53" max="53" width="10.6640625" style="8" bestFit="1" customWidth="1"/>
    <col min="54" max="54" width="11.6640625" style="8" bestFit="1" customWidth="1"/>
    <col min="55" max="55" width="10.6640625" style="8" bestFit="1" customWidth="1"/>
    <col min="56" max="56" width="11.6640625" style="8" bestFit="1" customWidth="1"/>
    <col min="57" max="57" width="10.6640625" style="8" bestFit="1" customWidth="1"/>
    <col min="58" max="58" width="11.6640625" style="8" bestFit="1" customWidth="1"/>
    <col min="59" max="59" width="11.33203125" style="8" bestFit="1" customWidth="1"/>
    <col min="60" max="60" width="11.6640625" style="8" bestFit="1" customWidth="1"/>
    <col min="61" max="61" width="10.6640625" style="8" bestFit="1" customWidth="1"/>
    <col min="62" max="62" width="11.6640625" style="8" bestFit="1" customWidth="1"/>
    <col min="63" max="65" width="11.33203125" style="8" customWidth="1"/>
    <col min="66" max="66" width="13.1640625" style="139" customWidth="1"/>
    <col min="67" max="67" width="13.1640625" style="8" bestFit="1" customWidth="1"/>
    <col min="68" max="69" width="11.33203125" style="8" customWidth="1"/>
    <col min="70" max="70" width="14.33203125" style="8" customWidth="1"/>
    <col min="71" max="71" width="14.6640625" style="8" customWidth="1"/>
    <col min="72" max="72" width="13.83203125" style="8" customWidth="1"/>
    <col min="73" max="73" width="13.1640625" style="8" customWidth="1"/>
    <col min="74" max="92" width="11.33203125" style="8" customWidth="1"/>
    <col min="93" max="93" width="11.33203125" style="139" bestFit="1" customWidth="1"/>
    <col min="94" max="94" width="11" style="8" bestFit="1" customWidth="1"/>
    <col min="95" max="95" width="10.6640625" style="8"/>
    <col min="96" max="96" width="11" style="8" bestFit="1" customWidth="1"/>
    <col min="97" max="97" width="13" style="8" customWidth="1"/>
    <col min="98" max="98" width="15.6640625" style="8" customWidth="1"/>
    <col min="99" max="99" width="11.5" style="29" bestFit="1" customWidth="1"/>
    <col min="100" max="102" width="11" style="8" bestFit="1" customWidth="1"/>
    <col min="103" max="103" width="11.6640625" style="29" bestFit="1" customWidth="1"/>
    <col min="104" max="104" width="11.6640625" style="8" bestFit="1" customWidth="1"/>
    <col min="105" max="106" width="11.6640625" style="8" customWidth="1"/>
    <col min="107" max="110" width="10.6640625" style="139"/>
    <col min="111" max="115" width="10.6640625" style="8"/>
    <col min="116" max="116" width="11" style="8" bestFit="1" customWidth="1"/>
    <col min="117" max="117" width="11.1640625" style="8" bestFit="1" customWidth="1"/>
    <col min="118" max="118" width="11" style="8" bestFit="1" customWidth="1"/>
    <col min="119" max="119" width="11.1640625" style="8" bestFit="1" customWidth="1"/>
    <col min="120" max="120" width="10.6640625" style="8"/>
    <col min="121" max="130" width="10.6640625" style="9"/>
    <col min="131" max="134" width="11.6640625" style="9" customWidth="1"/>
    <col min="135" max="135" width="10.6640625" style="8"/>
    <col min="136" max="138" width="10.6640625" style="27"/>
    <col min="139" max="140" width="10.6640625" style="15"/>
    <col min="141" max="141" width="10.6640625" style="160"/>
    <col min="142" max="142" width="10.6640625" style="15"/>
    <col min="143" max="143" width="10.6640625" style="8"/>
    <col min="144" max="146" width="10.6640625" style="15"/>
    <col min="147" max="147" width="10.6640625" style="8"/>
    <col min="148" max="148" width="10.6640625" style="18"/>
    <col min="149" max="16384" width="10.6640625" style="8"/>
  </cols>
  <sheetData>
    <row r="1" spans="1:99" x14ac:dyDescent="0.2">
      <c r="A1" s="14" t="s">
        <v>17</v>
      </c>
      <c r="B1" s="14"/>
      <c r="C1" s="14"/>
      <c r="D1" s="14"/>
      <c r="E1" s="2"/>
      <c r="F1" s="2"/>
      <c r="G1" s="32" t="s">
        <v>59</v>
      </c>
      <c r="H1" s="33" t="s">
        <v>68</v>
      </c>
      <c r="I1" s="31"/>
      <c r="J1" s="31"/>
      <c r="K1" s="31"/>
      <c r="CO1" s="147"/>
      <c r="CP1" s="1"/>
    </row>
    <row r="2" spans="1:99" x14ac:dyDescent="0.2">
      <c r="A2" s="34"/>
      <c r="B2" s="34"/>
      <c r="C2" s="14"/>
      <c r="D2" s="14"/>
      <c r="E2" s="2"/>
      <c r="F2" s="2"/>
      <c r="G2" s="31"/>
      <c r="H2" s="32" t="s">
        <v>62</v>
      </c>
      <c r="I2" s="31"/>
      <c r="J2" s="31"/>
      <c r="K2" s="31"/>
      <c r="CO2" s="147"/>
      <c r="CP2" s="1"/>
    </row>
    <row r="3" spans="1:99" x14ac:dyDescent="0.2">
      <c r="A3" s="14" t="s">
        <v>159</v>
      </c>
      <c r="B3" s="34" t="s">
        <v>72</v>
      </c>
      <c r="C3" s="34"/>
      <c r="D3" s="34"/>
      <c r="G3" s="31"/>
      <c r="H3" s="32" t="s">
        <v>63</v>
      </c>
      <c r="I3" s="31"/>
      <c r="J3" s="31"/>
      <c r="K3" s="31"/>
      <c r="CO3" s="147"/>
      <c r="CP3" s="1"/>
    </row>
    <row r="4" spans="1:99" x14ac:dyDescent="0.2">
      <c r="A4" s="14" t="s">
        <v>160</v>
      </c>
      <c r="B4" s="40" t="s">
        <v>75</v>
      </c>
      <c r="C4" s="34"/>
      <c r="D4" s="34"/>
      <c r="G4" s="31"/>
      <c r="H4" s="32" t="s">
        <v>64</v>
      </c>
      <c r="I4" s="31"/>
      <c r="J4" s="31"/>
      <c r="K4" s="31"/>
      <c r="CO4" s="147"/>
      <c r="CP4" s="1"/>
    </row>
    <row r="5" spans="1:99" x14ac:dyDescent="0.2">
      <c r="A5" s="14" t="s">
        <v>161</v>
      </c>
      <c r="B5" s="51" t="s">
        <v>76</v>
      </c>
      <c r="C5" s="34"/>
      <c r="D5" s="34"/>
      <c r="G5" s="31"/>
      <c r="H5" s="31"/>
      <c r="I5" s="31"/>
      <c r="J5" s="31"/>
      <c r="K5" s="31"/>
      <c r="CO5" s="147"/>
      <c r="CP5" s="1"/>
      <c r="CU5" s="30"/>
    </row>
    <row r="6" spans="1:99" x14ac:dyDescent="0.2">
      <c r="A6" s="14" t="s">
        <v>162</v>
      </c>
      <c r="B6" s="35">
        <v>10</v>
      </c>
      <c r="C6" s="34"/>
      <c r="D6" s="34"/>
      <c r="G6" s="32" t="s">
        <v>60</v>
      </c>
      <c r="H6" s="32" t="s">
        <v>61</v>
      </c>
      <c r="I6" s="31"/>
      <c r="J6" s="31"/>
      <c r="K6" s="31"/>
      <c r="CO6" s="147"/>
      <c r="CP6" s="1"/>
      <c r="CU6" s="30"/>
    </row>
    <row r="7" spans="1:99" x14ac:dyDescent="0.2">
      <c r="A7" s="14" t="s">
        <v>163</v>
      </c>
      <c r="B7" s="36">
        <v>1176</v>
      </c>
      <c r="C7" s="35"/>
      <c r="D7" s="34"/>
      <c r="G7" s="31"/>
      <c r="H7" s="32" t="s">
        <v>62</v>
      </c>
      <c r="I7" s="31"/>
      <c r="J7" s="31"/>
      <c r="K7" s="31"/>
      <c r="CO7" s="147"/>
      <c r="CP7" s="1"/>
      <c r="CU7" s="30"/>
    </row>
    <row r="8" spans="1:99" x14ac:dyDescent="0.2">
      <c r="A8" s="14" t="s">
        <v>177</v>
      </c>
      <c r="B8" s="12" t="s">
        <v>178</v>
      </c>
      <c r="C8" s="12" t="s">
        <v>179</v>
      </c>
      <c r="D8" s="14" t="s">
        <v>180</v>
      </c>
      <c r="G8" s="31"/>
      <c r="H8" s="32" t="s">
        <v>63</v>
      </c>
      <c r="I8" s="31"/>
      <c r="J8" s="31"/>
      <c r="K8" s="31"/>
      <c r="CO8" s="147"/>
      <c r="CP8" s="1"/>
      <c r="CU8" s="30"/>
    </row>
    <row r="9" spans="1:99" x14ac:dyDescent="0.2">
      <c r="A9" s="14" t="s">
        <v>181</v>
      </c>
      <c r="B9" s="37">
        <v>2.7556E-4</v>
      </c>
      <c r="C9" s="37">
        <v>2.1791E-6</v>
      </c>
      <c r="D9" s="35" t="s">
        <v>70</v>
      </c>
      <c r="G9" s="31"/>
      <c r="H9" s="32" t="s">
        <v>64</v>
      </c>
      <c r="I9" s="31"/>
      <c r="J9" s="31"/>
      <c r="K9" s="31"/>
      <c r="CO9" s="147"/>
      <c r="CP9" s="1"/>
      <c r="CU9" s="30"/>
    </row>
    <row r="10" spans="1:99" x14ac:dyDescent="0.2">
      <c r="A10" s="14" t="s">
        <v>182</v>
      </c>
      <c r="B10" s="37">
        <v>2.1993000000000001E-5</v>
      </c>
      <c r="C10" s="37">
        <v>1.7021E-6</v>
      </c>
      <c r="D10" s="35" t="s">
        <v>70</v>
      </c>
      <c r="F10" s="98" t="s">
        <v>20</v>
      </c>
      <c r="H10" s="11"/>
      <c r="I10" s="11"/>
      <c r="K10" s="4"/>
      <c r="CO10" s="147"/>
      <c r="CP10" s="1"/>
      <c r="CU10" s="30"/>
    </row>
    <row r="11" spans="1:99" x14ac:dyDescent="0.2">
      <c r="A11" s="14" t="s">
        <v>183</v>
      </c>
      <c r="B11" s="37">
        <v>6.6527000000000003E-4</v>
      </c>
      <c r="C11" s="37">
        <v>2.6791000000000001E-5</v>
      </c>
      <c r="D11" s="35" t="s">
        <v>70</v>
      </c>
      <c r="F11" s="99"/>
      <c r="G11" s="98" t="s">
        <v>18</v>
      </c>
      <c r="I11" s="11"/>
      <c r="CO11" s="147"/>
      <c r="CP11" s="1"/>
      <c r="CU11" s="30"/>
    </row>
    <row r="12" spans="1:99" x14ac:dyDescent="0.2">
      <c r="A12" s="14" t="s">
        <v>184</v>
      </c>
      <c r="B12" s="37">
        <v>4.7052999999999998E-5</v>
      </c>
      <c r="C12" s="37">
        <v>1.7377E-5</v>
      </c>
      <c r="D12" s="35" t="s">
        <v>69</v>
      </c>
      <c r="F12" s="100"/>
      <c r="G12" s="98" t="s">
        <v>19</v>
      </c>
      <c r="H12" s="9"/>
      <c r="I12" s="9"/>
      <c r="J12" s="10"/>
      <c r="CO12" s="147"/>
      <c r="CP12" s="1"/>
      <c r="CU12" s="30"/>
    </row>
    <row r="13" spans="1:99" x14ac:dyDescent="0.2">
      <c r="A13" s="14" t="s">
        <v>185</v>
      </c>
      <c r="B13" s="37">
        <v>1.1846000000000001E-2</v>
      </c>
      <c r="C13" s="37">
        <v>5.4864999999999997E-5</v>
      </c>
      <c r="D13" s="35" t="s">
        <v>69</v>
      </c>
      <c r="CO13" s="147"/>
      <c r="CP13" s="1"/>
      <c r="CU13" s="30"/>
    </row>
    <row r="14" spans="1:99" x14ac:dyDescent="0.2">
      <c r="A14" s="14" t="s">
        <v>186</v>
      </c>
      <c r="B14" s="37">
        <v>9.8937999999999999E-4</v>
      </c>
      <c r="C14" s="37">
        <v>8.1820000000000005E-4</v>
      </c>
      <c r="D14" s="35" t="s">
        <v>69</v>
      </c>
      <c r="CO14" s="147"/>
      <c r="CP14" s="5"/>
      <c r="CU14" s="30"/>
    </row>
    <row r="15" spans="1:99" x14ac:dyDescent="0.2">
      <c r="A15" s="14" t="s">
        <v>223</v>
      </c>
      <c r="B15" s="64">
        <v>1.54</v>
      </c>
      <c r="C15" s="66">
        <v>1.4999999999999999E-2</v>
      </c>
      <c r="D15" s="34" t="s">
        <v>37</v>
      </c>
      <c r="CO15" s="147"/>
      <c r="CP15" s="5"/>
      <c r="CU15" s="30"/>
    </row>
    <row r="16" spans="1:99" x14ac:dyDescent="0.2">
      <c r="A16" s="14" t="s">
        <v>224</v>
      </c>
      <c r="B16" s="66">
        <v>0.187</v>
      </c>
      <c r="C16" s="96">
        <f>B16/100</f>
        <v>1.8699999999999999E-3</v>
      </c>
      <c r="D16" s="98" t="s">
        <v>21</v>
      </c>
      <c r="CO16" s="147"/>
      <c r="CP16" s="5"/>
      <c r="CU16" s="30"/>
    </row>
    <row r="17" spans="1:148" x14ac:dyDescent="0.2">
      <c r="A17" s="14" t="s">
        <v>187</v>
      </c>
      <c r="B17" s="37">
        <v>2.6786000000000001E-2</v>
      </c>
      <c r="C17" s="37">
        <v>5.4487100000000002E-5</v>
      </c>
      <c r="D17" s="35"/>
      <c r="AN17" s="6"/>
      <c r="CO17" s="147"/>
      <c r="CP17" s="1"/>
      <c r="CU17" s="30"/>
    </row>
    <row r="18" spans="1:148" x14ac:dyDescent="0.2">
      <c r="A18" s="14" t="s">
        <v>188</v>
      </c>
      <c r="B18" s="35">
        <v>5.5430000000000004E-10</v>
      </c>
      <c r="C18" s="35" t="s">
        <v>189</v>
      </c>
      <c r="D18" s="38" t="s">
        <v>190</v>
      </c>
      <c r="CO18" s="148"/>
      <c r="CP18" s="1"/>
      <c r="DB18" s="8">
        <v>480</v>
      </c>
      <c r="DI18" s="8">
        <v>0</v>
      </c>
      <c r="DL18" s="8">
        <v>0</v>
      </c>
      <c r="DN18" s="8">
        <f>1/298.5</f>
        <v>3.3500837520938024E-3</v>
      </c>
    </row>
    <row r="19" spans="1:148" x14ac:dyDescent="0.2">
      <c r="AO19" s="8">
        <v>0</v>
      </c>
      <c r="AP19" s="8">
        <v>0</v>
      </c>
      <c r="AQ19" s="8">
        <v>1</v>
      </c>
      <c r="AR19" s="8">
        <v>1</v>
      </c>
      <c r="AS19" s="8">
        <v>2</v>
      </c>
      <c r="AT19" s="8">
        <v>2</v>
      </c>
      <c r="AU19" s="8">
        <v>3</v>
      </c>
      <c r="AV19" s="8">
        <v>3</v>
      </c>
      <c r="AW19" s="8">
        <v>4</v>
      </c>
      <c r="AX19" s="8">
        <v>4</v>
      </c>
      <c r="DB19" s="8">
        <v>480</v>
      </c>
      <c r="DI19" s="8">
        <v>150</v>
      </c>
    </row>
    <row r="20" spans="1:148" s="13" customFormat="1" ht="23" customHeight="1" x14ac:dyDescent="0.15">
      <c r="D20" s="168" t="s">
        <v>226</v>
      </c>
      <c r="E20" s="168"/>
      <c r="F20" s="168"/>
      <c r="G20" s="168"/>
      <c r="H20" s="168"/>
      <c r="I20" s="168"/>
      <c r="J20" s="168"/>
      <c r="K20" s="168"/>
      <c r="L20" s="168"/>
      <c r="M20" s="168"/>
      <c r="N20" s="169" t="s">
        <v>227</v>
      </c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1" t="s">
        <v>228</v>
      </c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2" t="s">
        <v>229</v>
      </c>
      <c r="AK20" s="172"/>
      <c r="AL20" s="173"/>
      <c r="AM20" s="173"/>
      <c r="AN20" s="174" t="s">
        <v>230</v>
      </c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8" t="s">
        <v>231</v>
      </c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9"/>
      <c r="BL20" s="181" t="s">
        <v>58</v>
      </c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9"/>
      <c r="BY20" s="179" t="s">
        <v>39</v>
      </c>
      <c r="BZ20" s="180"/>
      <c r="CA20" s="180"/>
      <c r="CB20" s="180"/>
      <c r="CC20" s="180"/>
      <c r="CD20" s="180"/>
      <c r="CE20" s="180"/>
      <c r="CF20" s="180"/>
      <c r="CG20" s="180"/>
      <c r="CH20" s="180"/>
      <c r="CI20" s="65"/>
      <c r="CJ20" s="65"/>
      <c r="CK20" s="39"/>
      <c r="CL20" s="183" t="s">
        <v>73</v>
      </c>
      <c r="CM20" s="183"/>
      <c r="CN20" s="183"/>
      <c r="CO20" s="183"/>
      <c r="CP20" s="183"/>
      <c r="CQ20" s="20"/>
      <c r="CR20" s="182" t="s">
        <v>134</v>
      </c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59" t="s">
        <v>232</v>
      </c>
      <c r="DD20" s="159" t="s">
        <v>233</v>
      </c>
      <c r="DE20" s="159" t="s">
        <v>234</v>
      </c>
      <c r="DF20" s="159" t="s">
        <v>233</v>
      </c>
      <c r="DG20" s="97"/>
      <c r="DH20" s="97"/>
      <c r="DI20" s="97"/>
      <c r="DJ20" s="97"/>
      <c r="DK20" s="17"/>
      <c r="DL20" s="175" t="s">
        <v>38</v>
      </c>
      <c r="DM20" s="175"/>
      <c r="DN20" s="175"/>
      <c r="DO20" s="177"/>
      <c r="DQ20" s="176" t="s">
        <v>40</v>
      </c>
      <c r="DR20" s="176"/>
      <c r="DS20" s="176"/>
      <c r="DT20" s="176"/>
      <c r="DU20" s="176"/>
      <c r="DV20" s="176"/>
      <c r="DW20" s="176"/>
      <c r="DX20" s="176"/>
      <c r="DY20" s="176"/>
      <c r="DZ20" s="22"/>
      <c r="EA20" s="175" t="s">
        <v>45</v>
      </c>
      <c r="EB20" s="175"/>
      <c r="EC20" s="175"/>
      <c r="ED20" s="175"/>
      <c r="EE20" s="175"/>
      <c r="EF20" s="175"/>
      <c r="EG20" s="175"/>
      <c r="EH20" s="175"/>
      <c r="EI20" s="175"/>
      <c r="EJ20" s="23"/>
      <c r="EK20" s="161"/>
      <c r="EL20" s="23"/>
      <c r="EN20" s="23"/>
      <c r="EO20" s="23"/>
      <c r="EP20" s="23"/>
      <c r="ER20" s="25"/>
    </row>
    <row r="21" spans="1:148" s="14" customFormat="1" ht="46" customHeight="1" x14ac:dyDescent="0.25">
      <c r="A21" s="12" t="s">
        <v>23</v>
      </c>
      <c r="B21" s="12" t="s">
        <v>24</v>
      </c>
      <c r="C21" s="12" t="s">
        <v>25</v>
      </c>
      <c r="D21" s="7" t="s">
        <v>164</v>
      </c>
      <c r="E21" s="7" t="s">
        <v>165</v>
      </c>
      <c r="F21" s="7" t="s">
        <v>166</v>
      </c>
      <c r="G21" s="7" t="s">
        <v>167</v>
      </c>
      <c r="H21" s="7" t="s">
        <v>168</v>
      </c>
      <c r="I21" s="7" t="s">
        <v>169</v>
      </c>
      <c r="J21" s="7" t="s">
        <v>170</v>
      </c>
      <c r="K21" s="7" t="s">
        <v>171</v>
      </c>
      <c r="L21" s="7" t="s">
        <v>172</v>
      </c>
      <c r="M21" s="7" t="s">
        <v>173</v>
      </c>
      <c r="N21" s="7" t="s">
        <v>26</v>
      </c>
      <c r="O21" s="7" t="s">
        <v>174</v>
      </c>
      <c r="P21" s="7" t="s">
        <v>175</v>
      </c>
      <c r="Q21" s="7" t="s">
        <v>176</v>
      </c>
      <c r="R21" s="7" t="s">
        <v>195</v>
      </c>
      <c r="S21" s="7" t="s">
        <v>196</v>
      </c>
      <c r="T21" s="7" t="s">
        <v>197</v>
      </c>
      <c r="U21" s="7" t="s">
        <v>198</v>
      </c>
      <c r="V21" s="7" t="s">
        <v>199</v>
      </c>
      <c r="W21" s="7" t="s">
        <v>200</v>
      </c>
      <c r="X21" s="7" t="s">
        <v>201</v>
      </c>
      <c r="Y21" s="3" t="s">
        <v>202</v>
      </c>
      <c r="Z21" s="3" t="s">
        <v>203</v>
      </c>
      <c r="AA21" s="3" t="s">
        <v>204</v>
      </c>
      <c r="AB21" s="3" t="s">
        <v>205</v>
      </c>
      <c r="AC21" s="3" t="s">
        <v>206</v>
      </c>
      <c r="AD21" s="3" t="s">
        <v>207</v>
      </c>
      <c r="AE21" s="3" t="s">
        <v>27</v>
      </c>
      <c r="AF21" s="3"/>
      <c r="AG21" s="3" t="s">
        <v>28</v>
      </c>
      <c r="AH21" s="3" t="s">
        <v>29</v>
      </c>
      <c r="AI21" s="3" t="s">
        <v>30</v>
      </c>
      <c r="AJ21" s="3" t="s">
        <v>31</v>
      </c>
      <c r="AK21" s="3" t="s">
        <v>32</v>
      </c>
      <c r="AL21" s="3" t="s">
        <v>33</v>
      </c>
      <c r="AM21" s="3" t="s">
        <v>34</v>
      </c>
      <c r="AN21" s="3" t="s">
        <v>35</v>
      </c>
      <c r="AO21" s="3" t="s">
        <v>36</v>
      </c>
      <c r="AP21" s="3" t="s">
        <v>129</v>
      </c>
      <c r="AQ21" s="3" t="s">
        <v>130</v>
      </c>
      <c r="AR21" s="3" t="s">
        <v>131</v>
      </c>
      <c r="AS21" s="3" t="s">
        <v>132</v>
      </c>
      <c r="AT21" s="3" t="s">
        <v>133</v>
      </c>
      <c r="AU21" s="3" t="s">
        <v>136</v>
      </c>
      <c r="AV21" s="3" t="s">
        <v>137</v>
      </c>
      <c r="AW21" s="3" t="s">
        <v>138</v>
      </c>
      <c r="AX21" s="3" t="s">
        <v>139</v>
      </c>
      <c r="AY21" s="3" t="s">
        <v>140</v>
      </c>
      <c r="AZ21" s="3" t="s">
        <v>141</v>
      </c>
      <c r="BA21" s="3" t="s">
        <v>142</v>
      </c>
      <c r="BB21" s="3" t="s">
        <v>143</v>
      </c>
      <c r="BC21" s="3" t="s">
        <v>144</v>
      </c>
      <c r="BD21" s="3" t="s">
        <v>145</v>
      </c>
      <c r="BE21" s="3" t="s">
        <v>146</v>
      </c>
      <c r="BF21" s="3" t="s">
        <v>147</v>
      </c>
      <c r="BG21" s="3" t="s">
        <v>148</v>
      </c>
      <c r="BH21" s="3" t="s">
        <v>149</v>
      </c>
      <c r="BI21" s="3" t="s">
        <v>150</v>
      </c>
      <c r="BJ21" s="3" t="s">
        <v>151</v>
      </c>
      <c r="BK21" s="3"/>
      <c r="BL21" s="3" t="s">
        <v>48</v>
      </c>
      <c r="BM21" s="7" t="s">
        <v>49</v>
      </c>
      <c r="BN21" s="140" t="s">
        <v>50</v>
      </c>
      <c r="BO21" s="7" t="s">
        <v>51</v>
      </c>
      <c r="BP21" s="3" t="s">
        <v>52</v>
      </c>
      <c r="BQ21" s="7" t="s">
        <v>53</v>
      </c>
      <c r="BR21" s="7" t="s">
        <v>54</v>
      </c>
      <c r="BS21" s="7" t="s">
        <v>55</v>
      </c>
      <c r="BT21" s="7" t="s">
        <v>56</v>
      </c>
      <c r="BU21" s="7" t="s">
        <v>57</v>
      </c>
      <c r="BV21" s="7" t="s">
        <v>211</v>
      </c>
      <c r="BW21" s="7" t="s">
        <v>212</v>
      </c>
      <c r="BX21" s="3"/>
      <c r="BY21" s="7" t="s">
        <v>213</v>
      </c>
      <c r="BZ21" s="7" t="s">
        <v>214</v>
      </c>
      <c r="CA21" s="7" t="s">
        <v>215</v>
      </c>
      <c r="CB21" s="7" t="s">
        <v>216</v>
      </c>
      <c r="CC21" s="7" t="s">
        <v>217</v>
      </c>
      <c r="CD21" s="7" t="s">
        <v>218</v>
      </c>
      <c r="CE21" s="7" t="s">
        <v>219</v>
      </c>
      <c r="CF21" s="7" t="s">
        <v>220</v>
      </c>
      <c r="CG21" s="7" t="s">
        <v>221</v>
      </c>
      <c r="CH21" s="7" t="s">
        <v>222</v>
      </c>
      <c r="CI21" s="7" t="s">
        <v>13</v>
      </c>
      <c r="CJ21" s="7" t="s">
        <v>179</v>
      </c>
      <c r="CK21" s="7"/>
      <c r="CL21" s="7" t="s">
        <v>22</v>
      </c>
      <c r="CM21" s="3" t="s">
        <v>74</v>
      </c>
      <c r="CN21" s="3" t="s">
        <v>179</v>
      </c>
      <c r="CO21" s="149" t="s">
        <v>152</v>
      </c>
      <c r="CP21" s="3" t="s">
        <v>153</v>
      </c>
      <c r="CQ21" s="3" t="s">
        <v>94</v>
      </c>
      <c r="CR21" s="12" t="s">
        <v>135</v>
      </c>
      <c r="CS21" s="7" t="s">
        <v>154</v>
      </c>
      <c r="CT21" s="7" t="s">
        <v>208</v>
      </c>
      <c r="CU21" s="16" t="s">
        <v>155</v>
      </c>
      <c r="CV21" s="7" t="s">
        <v>156</v>
      </c>
      <c r="CW21" s="7" t="s">
        <v>157</v>
      </c>
      <c r="CX21" s="7" t="s">
        <v>158</v>
      </c>
      <c r="CY21" s="7" t="s">
        <v>209</v>
      </c>
      <c r="CZ21" s="7" t="s">
        <v>210</v>
      </c>
      <c r="DA21" s="12" t="s">
        <v>44</v>
      </c>
      <c r="DB21" s="12" t="s">
        <v>179</v>
      </c>
      <c r="DC21" s="149"/>
      <c r="DD21" s="149"/>
      <c r="DE21" s="149"/>
      <c r="DF21" s="149"/>
      <c r="DG21" s="3"/>
      <c r="DH21" s="3"/>
      <c r="DI21" s="3"/>
      <c r="DJ21" s="3"/>
      <c r="DL21" s="12" t="s">
        <v>191</v>
      </c>
      <c r="DM21" s="12" t="s">
        <v>192</v>
      </c>
      <c r="DN21" s="12" t="s">
        <v>193</v>
      </c>
      <c r="DO21" s="12" t="s">
        <v>194</v>
      </c>
      <c r="DP21" s="14" t="s">
        <v>235</v>
      </c>
      <c r="DQ21" s="21" t="s">
        <v>41</v>
      </c>
      <c r="DR21" s="21" t="s">
        <v>179</v>
      </c>
      <c r="DS21" s="21" t="s">
        <v>42</v>
      </c>
      <c r="DT21" s="21" t="s">
        <v>179</v>
      </c>
      <c r="DU21" s="21" t="s">
        <v>43</v>
      </c>
      <c r="DV21" s="28" t="s">
        <v>65</v>
      </c>
      <c r="DW21" s="28"/>
      <c r="DX21" s="28" t="s">
        <v>66</v>
      </c>
      <c r="DY21" s="28" t="s">
        <v>67</v>
      </c>
      <c r="DZ21" s="12"/>
      <c r="EA21" s="12" t="s">
        <v>46</v>
      </c>
      <c r="EB21" s="12" t="s">
        <v>179</v>
      </c>
      <c r="EC21" s="12" t="s">
        <v>47</v>
      </c>
      <c r="ED21" s="12" t="s">
        <v>179</v>
      </c>
      <c r="EE21" s="21" t="s">
        <v>43</v>
      </c>
      <c r="EF21" s="28" t="s">
        <v>65</v>
      </c>
      <c r="EG21" s="28"/>
      <c r="EH21" s="28" t="s">
        <v>66</v>
      </c>
      <c r="EI21" s="28" t="s">
        <v>67</v>
      </c>
      <c r="EJ21" s="24"/>
      <c r="EK21" s="162" t="s">
        <v>16</v>
      </c>
      <c r="EL21" s="24"/>
      <c r="EN21" s="24"/>
      <c r="EO21" s="24"/>
      <c r="EP21" s="24"/>
      <c r="ER21" s="26"/>
    </row>
    <row r="22" spans="1:148" s="42" customFormat="1" x14ac:dyDescent="0.2">
      <c r="A22" s="42" t="s">
        <v>95</v>
      </c>
      <c r="B22" s="42" t="s">
        <v>96</v>
      </c>
      <c r="C22" s="42" t="s">
        <v>71</v>
      </c>
      <c r="D22" s="41">
        <v>16179.9</v>
      </c>
      <c r="E22" s="41">
        <v>21</v>
      </c>
      <c r="F22" s="41">
        <v>1145.05</v>
      </c>
      <c r="G22" s="41">
        <v>5.3</v>
      </c>
      <c r="H22" s="41">
        <v>67.989999999999995</v>
      </c>
      <c r="I22" s="41">
        <v>1.4</v>
      </c>
      <c r="J22" s="41">
        <v>140.10900000000001</v>
      </c>
      <c r="K22" s="41">
        <v>0.79</v>
      </c>
      <c r="L22" s="41">
        <v>49.414000000000001</v>
      </c>
      <c r="M22" s="41">
        <v>0.57999999999999996</v>
      </c>
      <c r="N22" s="42" t="s">
        <v>225</v>
      </c>
      <c r="O22" s="42">
        <v>1673.9490000000001</v>
      </c>
      <c r="P22" s="42">
        <v>5.0936579999999996</v>
      </c>
      <c r="Q22" s="42">
        <v>72.094800000000006</v>
      </c>
      <c r="R22" s="42">
        <v>0.42103600000000002</v>
      </c>
      <c r="S22" s="42">
        <v>2.4774080000000001</v>
      </c>
      <c r="T22" s="42">
        <v>0.14217299999999999</v>
      </c>
      <c r="U22" s="42">
        <v>85.733289999999997</v>
      </c>
      <c r="V22" s="42">
        <v>0.46695700000000001</v>
      </c>
      <c r="W22" s="42">
        <v>8.2583549999999999</v>
      </c>
      <c r="X22" s="42">
        <v>0.52617199999999997</v>
      </c>
      <c r="Y22" s="42">
        <f>(D22)-(O22)</f>
        <v>14505.950999999999</v>
      </c>
      <c r="Z22" s="42">
        <f>SQRT(P22^2+E22^2)</f>
        <v>21.608918339911508</v>
      </c>
      <c r="AA22" s="42">
        <f>(F22)-(Q22)</f>
        <v>1072.9551999999999</v>
      </c>
      <c r="AB22" s="42">
        <f>SQRT(R22^2+G22^2)</f>
        <v>5.3166974065951882</v>
      </c>
      <c r="AC22" s="42">
        <f>(H22)-(S22)</f>
        <v>65.512591999999998</v>
      </c>
      <c r="AD22" s="42">
        <f>SQRT(T22^2+I22^2)</f>
        <v>1.4072004697018119</v>
      </c>
      <c r="AE22" s="42">
        <f>(J22)-(U22)</f>
        <v>54.375710000000012</v>
      </c>
      <c r="AG22" s="42">
        <f>SQRT(V22^2+K22^2)</f>
        <v>0.91768667847419472</v>
      </c>
      <c r="AH22" s="42">
        <f>(L22)-(W22)</f>
        <v>41.155645</v>
      </c>
      <c r="AI22" s="42">
        <f>SQRT(X22^2+M22^2)</f>
        <v>0.78310725547909454</v>
      </c>
      <c r="AJ22" s="42">
        <v>1</v>
      </c>
      <c r="AK22" s="42">
        <v>0</v>
      </c>
      <c r="AL22" s="42">
        <f>Y22*AJ22</f>
        <v>14505.950999999999</v>
      </c>
      <c r="AM22" s="42">
        <f>AL22*SQRT(SUMSQ(AK22/AJ22,Z22/Y22))</f>
        <v>21.608918339911508</v>
      </c>
      <c r="AN22" s="43">
        <v>0.999857</v>
      </c>
      <c r="AO22" s="42">
        <f>AL22</f>
        <v>14505.950999999999</v>
      </c>
      <c r="AP22" s="42">
        <f>AM22</f>
        <v>21.608918339911508</v>
      </c>
      <c r="AQ22" s="42">
        <f>AA22*($AQ$19/AN22-$AQ$19+1)</f>
        <v>1073.1086545375988</v>
      </c>
      <c r="AR22" s="42">
        <f>AB22</f>
        <v>5.3166974065951882</v>
      </c>
      <c r="AS22" s="42">
        <f>AC22*($AS$19/AN22-$AS$19+1)</f>
        <v>65.531331281029182</v>
      </c>
      <c r="AT22" s="42">
        <f>AD22</f>
        <v>1.4072004697018119</v>
      </c>
      <c r="AU22" s="42">
        <f t="shared" ref="AU22:AU63" si="0">AE22*($AU$19/AN22-$AU$19+1)</f>
        <v>54.399040515853777</v>
      </c>
      <c r="AV22" s="42">
        <f>AG22</f>
        <v>0.91768667847419472</v>
      </c>
      <c r="AW22" s="42">
        <f>AH22*($AW$19/AN22-$AW$19+1)</f>
        <v>41.17918939578859</v>
      </c>
      <c r="AX22" s="42">
        <f>AI22</f>
        <v>0.78310725547909454</v>
      </c>
      <c r="AY22" s="44">
        <v>105.9191</v>
      </c>
      <c r="AZ22" s="44">
        <v>1.001671</v>
      </c>
      <c r="BA22" s="42">
        <f>AO22</f>
        <v>14505.950999999999</v>
      </c>
      <c r="BB22" s="42">
        <f>AP22</f>
        <v>21.608918339911508</v>
      </c>
      <c r="BC22" s="42">
        <f>AQ22*AZ22</f>
        <v>1074.9018190993311</v>
      </c>
      <c r="BD22" s="42">
        <f>AR22*AZ22</f>
        <v>5.3255816079616087</v>
      </c>
      <c r="BE22" s="42">
        <f>AS22</f>
        <v>65.531331281029182</v>
      </c>
      <c r="BF22" s="42">
        <f>AT22</f>
        <v>1.4072004697018119</v>
      </c>
      <c r="BG22" s="42">
        <f>AU22*AY22</f>
        <v>5761.8974123027674</v>
      </c>
      <c r="BH22" s="42">
        <f>AV22*AY22</f>
        <v>97.200547065976082</v>
      </c>
      <c r="BI22" s="42">
        <f>AW22</f>
        <v>41.17918939578859</v>
      </c>
      <c r="BJ22" s="42">
        <f>AX22</f>
        <v>0.78310725547909454</v>
      </c>
      <c r="BL22" s="138">
        <f>BA22-$B$12*BN22</f>
        <v>14505.900603009088</v>
      </c>
      <c r="BM22" s="45">
        <f>SQRT(SUMSQ(BB22,$B$12*BN22*SQRT(SUMSQ(BO22/BN22,$C$12/$B$12))))</f>
        <v>21.608926356689722</v>
      </c>
      <c r="BN22" s="141">
        <f>BC22-(BP22*$B$11)</f>
        <v>1071.0686016078484</v>
      </c>
      <c r="BO22" s="45">
        <f>SQRT(SUMSQ(BD22,$B$11*BP22*SQRT(SUMSQ(BQ22/BP22,$C$11/$B$11))))</f>
        <v>5.3282107825502365</v>
      </c>
      <c r="BP22" s="45">
        <f>BG22</f>
        <v>5761.8974123027674</v>
      </c>
      <c r="BQ22" s="45">
        <f>BH22</f>
        <v>97.200547065976082</v>
      </c>
      <c r="BR22" s="45">
        <f>BE22-($B$10*BP22)-($B$13*BN22)</f>
        <v>52.716731216593836</v>
      </c>
      <c r="BS22" s="45">
        <f>SQRT(BF22^2+($B$10*BP22*SQRT(SUMSQ($C$10/$B$10,BQ22/BP22)))^2+($B$13*BN22*SQRT(SUMSQ($C$13/$B$13,BO22/BN22)))^2)</f>
        <v>1.4098762442837103</v>
      </c>
      <c r="BT22" s="45">
        <f>BI22-$B$9*BP22</f>
        <v>39.59144094485444</v>
      </c>
      <c r="BU22" s="45">
        <f>SQRT(SUMSQ(BJ22,$B$9*BP22*SQRT(SUMSQ(BQ22/BP22,$C$9/$B$9))))</f>
        <v>0.78366576697689083</v>
      </c>
      <c r="BV22" s="41">
        <f>BR22/BT22</f>
        <v>1.3315183776721125</v>
      </c>
      <c r="BW22" s="46">
        <f>SQRT(SUMSQ(BU22/BT22,BS22/BR22))</f>
        <v>3.3272466616248629E-2</v>
      </c>
      <c r="BY22" s="41">
        <f>($B$15-BV22)/($B$15-$B$16)</f>
        <v>0.1540884126591926</v>
      </c>
      <c r="BZ22" s="42">
        <v>0</v>
      </c>
      <c r="CA22" s="42">
        <f t="shared" ref="CA22" si="1">BR22*BY22</f>
        <v>8.1230374337462514</v>
      </c>
      <c r="CB22" s="42">
        <f t="shared" ref="CB22" si="2">CA22*SQRT(SUMSQ(BS22/BR22,BZ22/BY22))</f>
        <v>0.21724559252758099</v>
      </c>
      <c r="CC22" s="42">
        <f t="shared" ref="CC22" si="3">BT22*BY22</f>
        <v>6.1005822900827855</v>
      </c>
      <c r="CD22" s="42">
        <f t="shared" ref="CD22" si="4">CC22*SQRT(SUMSQ(BU22/BT22,BZ22/BY22))</f>
        <v>0.12075381408881783</v>
      </c>
      <c r="CE22" s="42">
        <f t="shared" ref="CE22" si="5">IF(CA22&gt;0,BR22-CA22,BR22)</f>
        <v>44.593693782847581</v>
      </c>
      <c r="CF22" s="42">
        <f t="shared" ref="CF22" si="6">IF(CA22&gt;0,SQRT(SUMSQ(BS22,CB22)),BS22)</f>
        <v>1.42651557007563</v>
      </c>
      <c r="CG22" s="42">
        <f t="shared" ref="CG22" si="7">BT22-CC22</f>
        <v>33.490858654771657</v>
      </c>
      <c r="CH22" s="42">
        <f t="shared" ref="CH22" si="8">SQRT(SUMSQ(BU22,CD22))</f>
        <v>0.7929145716585585</v>
      </c>
      <c r="CI22" s="44">
        <f>CA22/CC22</f>
        <v>1.3315183776721125</v>
      </c>
      <c r="CJ22" s="44">
        <f>(CI22)*(SQRT(SUMSQ(CD22/CC22,CB22/CA22)))</f>
        <v>4.4302900770016897E-2</v>
      </c>
      <c r="CL22" s="47">
        <f>BL22/CC22</f>
        <v>2377.7895147140521</v>
      </c>
      <c r="CM22" s="42">
        <v>1</v>
      </c>
      <c r="CN22" s="42">
        <v>1</v>
      </c>
      <c r="CO22" s="150">
        <f>BL22-(CM22*CC22)</f>
        <v>14499.800020719005</v>
      </c>
      <c r="CP22" s="45">
        <f>SQRT(((CC22*CM22)^2)*((CD22/CC22)^2)+((CN22/CM22)^2)+((BM22)^2))</f>
        <v>21.63238959922035</v>
      </c>
      <c r="CQ22" s="42">
        <v>2</v>
      </c>
      <c r="CR22" s="41">
        <f>((BL22-(CC22*CM22))*100)/BL22</f>
        <v>99.957944132825389</v>
      </c>
      <c r="CS22" s="41">
        <f>CO22/BN22</f>
        <v>13.537694970193733</v>
      </c>
      <c r="CT22" s="42">
        <f>CS22*SQRT((CP22/CO22)^2+(BO22/BN22)^2)</f>
        <v>7.0308897581061555E-2</v>
      </c>
      <c r="CU22" s="41">
        <f>1/$B$18*LN(1+$B$17*CS22)/10^6</f>
        <v>558.19922232018723</v>
      </c>
      <c r="CV22" s="41">
        <f>SQRT((CS22/($B$18*10^6*(1+$B$17*CS22))*$C$17)^2+($B$17/($B$18*10^6*(1+$B$17*CS22))*CT22)^2)</f>
        <v>2.6778686771320896</v>
      </c>
      <c r="CW22" s="41">
        <f>CV22*2</f>
        <v>5.3557373542641793</v>
      </c>
      <c r="CX22" s="41">
        <f>CW22/CU22*100</f>
        <v>0.95946700391353978</v>
      </c>
      <c r="CY22" s="41">
        <f>ABS($B$17/$B$18*CT22/($B$17*CS22+1))/10^6</f>
        <v>2.4934363873540337</v>
      </c>
      <c r="CZ22" s="41">
        <f>CY22*2</f>
        <v>4.9868727747080674</v>
      </c>
      <c r="DA22" s="41">
        <f>BP22/BN22*1.86</f>
        <v>10.006015647172358</v>
      </c>
      <c r="DB22" s="41">
        <f>((DA22)*(SQRT(BO22/BN22)^2+(BQ22/BP22)^2))</f>
        <v>5.2624131682799086E-2</v>
      </c>
      <c r="DC22" s="151"/>
      <c r="DD22" s="151"/>
      <c r="DE22" s="151">
        <f>CU22</f>
        <v>558.19922232018723</v>
      </c>
      <c r="DF22" s="151">
        <f>CW22</f>
        <v>5.3557373542641793</v>
      </c>
      <c r="DG22" s="47"/>
      <c r="DH22" s="47"/>
      <c r="DI22" s="41">
        <f>DA22</f>
        <v>10.006015647172358</v>
      </c>
      <c r="DJ22" s="41">
        <f>DB22</f>
        <v>5.2624131682799086E-2</v>
      </c>
      <c r="DK22" s="42" t="str">
        <f>A22</f>
        <v>1176-01</v>
      </c>
      <c r="DL22" s="48">
        <f>(BN22)/(BL22)</f>
        <v>7.3836753120014295E-2</v>
      </c>
      <c r="DM22" s="48">
        <f>DL22*SQRT((BM22/BL22)^2+(BO22/BN22)^2)</f>
        <v>3.8342838708734401E-4</v>
      </c>
      <c r="DN22" s="48">
        <f>(CC22)/(BL22)</f>
        <v>4.2055867174612294E-4</v>
      </c>
      <c r="DO22" s="48">
        <f>DN22*SQRT((BM22/BL22)^2+(CD22/CC22)^2)</f>
        <v>8.3480030022397298E-6</v>
      </c>
      <c r="DP22" s="48">
        <v>7.3836753120014295E-2</v>
      </c>
      <c r="DQ22" s="48">
        <f>BN22/CC22</f>
        <v>175.56825736930006</v>
      </c>
      <c r="DR22" s="48">
        <f>DQ22*SQRT((CD22/CC22)^2+(BO22/BN22)^2)</f>
        <v>3.5832382142593175</v>
      </c>
      <c r="DS22" s="48">
        <f>BL22/CC22</f>
        <v>2377.7895147140521</v>
      </c>
      <c r="DT22" s="48">
        <f>DS22*SQRT((CD22/CC22)^2+(BM22/BL22)^2)</f>
        <v>47.198632060331654</v>
      </c>
      <c r="DU22" s="48">
        <f>(DV22)/(DX22*DY22)</f>
        <v>0.96710459806970461</v>
      </c>
      <c r="DV22" s="48">
        <f>(CD22/CC22)^2</f>
        <v>3.9179522157472559E-4</v>
      </c>
      <c r="DW22" s="48"/>
      <c r="DX22" s="48">
        <f>DR22/DQ22</f>
        <v>2.0409373926416178E-2</v>
      </c>
      <c r="DY22" s="45">
        <f>DT22/DS22</f>
        <v>1.9849794007527056E-2</v>
      </c>
      <c r="EA22" s="48">
        <f>BP22/BT22</f>
        <v>145.53391528053541</v>
      </c>
      <c r="EB22" s="48">
        <f>EA22*SQRT((BU22/BT22)^2+(BQ22/BP22)^2)</f>
        <v>3.7849354623750893</v>
      </c>
      <c r="EC22" s="48">
        <f>BR22/BT22</f>
        <v>1.3315183776721125</v>
      </c>
      <c r="ED22" s="48">
        <f>EC22*SQRT((BU22/BT22)^2+(BS22/BR22)^2)</f>
        <v>4.4302900770016897E-2</v>
      </c>
      <c r="EE22" s="48">
        <f>(EF22)/(EH22*EI22)</f>
        <v>0.45277232305566101</v>
      </c>
      <c r="EF22" s="48">
        <f>(BU22/BT22)^2</f>
        <v>3.9179522157472559E-4</v>
      </c>
      <c r="EH22" s="48">
        <f>EB22/EA22</f>
        <v>2.6007239996801691E-2</v>
      </c>
      <c r="EI22" s="48">
        <f>ED22/EC22</f>
        <v>3.3272466616248629E-2</v>
      </c>
      <c r="EJ22" s="48"/>
      <c r="EK22" s="163">
        <v>0</v>
      </c>
      <c r="EL22" s="48"/>
      <c r="EN22" s="48"/>
      <c r="EO22" s="48"/>
      <c r="EP22" s="48"/>
      <c r="ER22" s="41"/>
    </row>
    <row r="23" spans="1:148" s="67" customFormat="1" x14ac:dyDescent="0.2">
      <c r="A23" s="67" t="s">
        <v>97</v>
      </c>
      <c r="B23" s="67" t="s">
        <v>96</v>
      </c>
      <c r="C23" s="67" t="s">
        <v>71</v>
      </c>
      <c r="D23" s="69">
        <v>11822.7</v>
      </c>
      <c r="E23" s="69">
        <v>15</v>
      </c>
      <c r="F23" s="69">
        <v>928.72</v>
      </c>
      <c r="G23" s="69">
        <v>4.2</v>
      </c>
      <c r="H23" s="69">
        <v>70.489999999999995</v>
      </c>
      <c r="I23" s="69">
        <v>1.4</v>
      </c>
      <c r="J23" s="69">
        <v>170.21</v>
      </c>
      <c r="K23" s="69">
        <v>2</v>
      </c>
      <c r="L23" s="69">
        <v>46.731000000000002</v>
      </c>
      <c r="M23" s="69">
        <v>0.6</v>
      </c>
      <c r="N23" s="67" t="s">
        <v>225</v>
      </c>
      <c r="O23" s="67">
        <v>1679.6590000000001</v>
      </c>
      <c r="P23" s="67">
        <v>5.2768069999999998</v>
      </c>
      <c r="Q23" s="67">
        <v>72.222200000000001</v>
      </c>
      <c r="R23" s="67">
        <v>0.45471400000000001</v>
      </c>
      <c r="S23" s="67">
        <v>2.485938</v>
      </c>
      <c r="T23" s="67">
        <v>0.134932</v>
      </c>
      <c r="U23" s="67">
        <v>85.315190000000001</v>
      </c>
      <c r="V23" s="67">
        <v>0.48298799999999997</v>
      </c>
      <c r="W23" s="67">
        <v>8.2532370000000004</v>
      </c>
      <c r="X23" s="67">
        <v>0.51315599999999995</v>
      </c>
      <c r="Y23" s="67">
        <f t="shared" ref="Y23:Y28" si="9">(D23)-(O23)</f>
        <v>10143.041000000001</v>
      </c>
      <c r="Z23" s="67">
        <f t="shared" ref="Z23:Z28" si="10">SQRT(P23^2+E23^2)</f>
        <v>15.901090909596391</v>
      </c>
      <c r="AA23" s="67">
        <f t="shared" ref="AA23:AA28" si="11">(F23)-(Q23)</f>
        <v>856.49779999999998</v>
      </c>
      <c r="AB23" s="67">
        <f t="shared" ref="AB23:AB28" si="12">SQRT(R23^2+G23^2)</f>
        <v>4.2245431494773493</v>
      </c>
      <c r="AC23" s="67">
        <f t="shared" ref="AC23:AC28" si="13">(H23)-(S23)</f>
        <v>68.00406199999999</v>
      </c>
      <c r="AD23" s="67">
        <f t="shared" ref="AD23:AD28" si="14">SQRT(T23^2+I23^2)</f>
        <v>1.4064873425040125</v>
      </c>
      <c r="AE23" s="67">
        <f t="shared" ref="AE23:AE28" si="15">(J23)-(U23)</f>
        <v>84.894810000000007</v>
      </c>
      <c r="AG23" s="67">
        <f t="shared" ref="AG23:AG28" si="16">SQRT(V23^2+K23^2)</f>
        <v>2.0574929910315611</v>
      </c>
      <c r="AH23" s="67">
        <f t="shared" ref="AH23:AH28" si="17">(L23)-(W23)</f>
        <v>38.477763000000003</v>
      </c>
      <c r="AI23" s="67">
        <f t="shared" ref="AI23:AI28" si="18">SQRT(X23^2+M23^2)</f>
        <v>0.78951192539188408</v>
      </c>
      <c r="AJ23" s="67">
        <v>1</v>
      </c>
      <c r="AK23" s="67">
        <v>0</v>
      </c>
      <c r="AL23" s="67">
        <f t="shared" ref="AL23:AL28" si="19">Y23*AJ23</f>
        <v>10143.041000000001</v>
      </c>
      <c r="AM23" s="67">
        <f t="shared" ref="AM23:AM28" si="20">AL23*SQRT(SUMSQ(AK23/AJ23,Z23/Y23))</f>
        <v>15.901090909596391</v>
      </c>
      <c r="AN23" s="73">
        <v>0.999857</v>
      </c>
      <c r="AO23" s="67">
        <f t="shared" ref="AO23:AO62" si="21">AL23</f>
        <v>10143.041000000001</v>
      </c>
      <c r="AP23" s="67">
        <f t="shared" ref="AP23:AP62" si="22">AM23</f>
        <v>15.901090909596391</v>
      </c>
      <c r="AQ23" s="67">
        <f t="shared" ref="AQ23:AQ62" si="23">AA23*($AQ$19/AN23-$AQ$19+1)</f>
        <v>856.62029670242839</v>
      </c>
      <c r="AR23" s="67">
        <f t="shared" ref="AR23:AR62" si="24">AB23</f>
        <v>4.2245431494773493</v>
      </c>
      <c r="AS23" s="67">
        <f t="shared" ref="AS23:AS62" si="25">AC23*($AS$19/AN23-$AS$19+1)</f>
        <v>68.023513943359887</v>
      </c>
      <c r="AT23" s="67">
        <f t="shared" ref="AT23:AT62" si="26">AD23</f>
        <v>1.4064873425040125</v>
      </c>
      <c r="AU23" s="67">
        <f t="shared" si="0"/>
        <v>84.931235082276771</v>
      </c>
      <c r="AV23" s="67">
        <f t="shared" ref="AV23:AV62" si="27">AG23</f>
        <v>2.0574929910315611</v>
      </c>
      <c r="AW23" s="67">
        <f t="shared" ref="AW23:AW62" si="28">AH23*($AW$19/AN23-$AW$19+1)</f>
        <v>38.499775428213233</v>
      </c>
      <c r="AX23" s="67">
        <f t="shared" ref="AX23:AX62" si="29">AI23</f>
        <v>0.78951192539188408</v>
      </c>
      <c r="AY23" s="74">
        <v>105.9589</v>
      </c>
      <c r="AZ23" s="74">
        <v>1.001671</v>
      </c>
      <c r="BA23" s="67">
        <f t="shared" ref="BA23:BA29" si="30">AO23</f>
        <v>10143.041000000001</v>
      </c>
      <c r="BB23" s="67">
        <f t="shared" ref="BB23:BB29" si="31">AP23</f>
        <v>15.901090909596391</v>
      </c>
      <c r="BC23" s="67">
        <f t="shared" ref="BC23:BC29" si="32">AQ23*AZ23</f>
        <v>858.05170921821809</v>
      </c>
      <c r="BD23" s="67">
        <f t="shared" ref="BD23:BD29" si="33">AR23*AZ23</f>
        <v>4.2316023610801254</v>
      </c>
      <c r="BE23" s="67">
        <f t="shared" ref="BE23:BE29" si="34">AS23</f>
        <v>68.023513943359887</v>
      </c>
      <c r="BF23" s="67">
        <f t="shared" ref="BF23:BF29" si="35">AT23</f>
        <v>1.4064873425040125</v>
      </c>
      <c r="BG23" s="67">
        <f t="shared" ref="BG23:BG29" si="36">AU23*AY23</f>
        <v>8999.220244959457</v>
      </c>
      <c r="BH23" s="67">
        <f t="shared" ref="BH23:BH29" si="37">AV23*AY23</f>
        <v>218.00969408741409</v>
      </c>
      <c r="BI23" s="67">
        <f t="shared" ref="BI23:BI29" si="38">AW23</f>
        <v>38.499775428213233</v>
      </c>
      <c r="BJ23" s="67">
        <f t="shared" ref="BJ23:BJ29" si="39">AX23</f>
        <v>0.78951192539188408</v>
      </c>
      <c r="BL23" s="68">
        <f t="shared" ref="BL23:BL64" si="40">BA23-$B$12*BN23</f>
        <v>10143.000907795062</v>
      </c>
      <c r="BM23" s="68">
        <f t="shared" ref="BM23:BM64" si="41">SQRT(SUMSQ(BB23,$B$12*BN23*SQRT(SUMSQ(BO23/BN23,$C$12/$B$12))))</f>
        <v>15.901097804317688</v>
      </c>
      <c r="BN23" s="142">
        <f t="shared" ref="BN23:BN64" si="42">BC23-(BP23*$B$11)</f>
        <v>852.06479796585393</v>
      </c>
      <c r="BO23" s="68">
        <f t="shared" ref="BO23:BO64" si="43">SQRT(SUMSQ(BD23,$B$11*BP23*SQRT(SUMSQ(BQ23/BP23,$C$11/$B$11))))</f>
        <v>4.2409458946859706</v>
      </c>
      <c r="BP23" s="68">
        <f t="shared" ref="BP23:BP64" si="44">BG23</f>
        <v>8999.220244959457</v>
      </c>
      <c r="BQ23" s="68">
        <f t="shared" ref="BQ23:BQ64" si="45">BH23</f>
        <v>218.00969408741409</v>
      </c>
      <c r="BR23" s="68">
        <f t="shared" ref="BR23:BR64" si="46">BE23-($B$10*BP23)-($B$13*BN23)</f>
        <v>57.732034495808982</v>
      </c>
      <c r="BS23" s="68">
        <f t="shared" ref="BS23:BS64" si="47">SQRT(BF23^2+($B$10*BP23*SQRT(SUMSQ($C$10/$B$10,BQ23/BP23)))^2+($B$13*BN23*SQRT(SUMSQ($C$13/$B$13,BO23/BN23)))^2)</f>
        <v>1.4082519549038566</v>
      </c>
      <c r="BT23" s="68">
        <f t="shared" ref="BT23:BT64" si="48">BI23-$B$9*BP23</f>
        <v>36.019950297512203</v>
      </c>
      <c r="BU23" s="68">
        <f t="shared" ref="BU23:BU64" si="49">SQRT(SUMSQ(BJ23,$B$9*BP23*SQRT(SUMSQ(BQ23/BP23,$C$9/$B$9))))</f>
        <v>0.79203700422196477</v>
      </c>
      <c r="BV23" s="69">
        <f t="shared" ref="BV23:BV64" si="50">BR23/BT23</f>
        <v>1.6027794047177342</v>
      </c>
      <c r="BW23" s="70">
        <f t="shared" ref="BW23:BW64" si="51">SQRT(SUMSQ(BU23/BT23,BS23/BR23))</f>
        <v>3.2840872872551552E-2</v>
      </c>
      <c r="BY23" s="69">
        <f>($B$15-BV23)/($B$15-$B$16)</f>
        <v>-4.6400151306529296E-2</v>
      </c>
      <c r="BZ23" s="67">
        <v>0</v>
      </c>
      <c r="CA23" s="67">
        <f t="shared" ref="CA23:CA64" si="52">BR23*BY23</f>
        <v>-2.6787751358393055</v>
      </c>
      <c r="CB23" s="67">
        <f t="shared" ref="CB23:CB64" si="53">CA23*SQRT(SUMSQ(BS23/BR23,BZ23/BY23))</f>
        <v>-6.5343103785254611E-2</v>
      </c>
      <c r="CC23" s="67">
        <f t="shared" ref="CC23:CC64" si="54">BT23*BY23</f>
        <v>-1.6713311438582312</v>
      </c>
      <c r="CD23" s="67">
        <f t="shared" ref="CD23:CD64" si="55">CC23*SQRT(SUMSQ(BU23/BT23,BZ23/BY23))</f>
        <v>-3.6750636836269349E-2</v>
      </c>
      <c r="CE23" s="67">
        <f t="shared" ref="CE23:CE64" si="56">IF(CA23&gt;0,BR23-CA23,BR23)</f>
        <v>57.732034495808982</v>
      </c>
      <c r="CF23" s="67">
        <f t="shared" ref="CF23:CF64" si="57">IF(CA23&gt;0,SQRT(SUMSQ(BS23,CB23)),BS23)</f>
        <v>1.4082519549038566</v>
      </c>
      <c r="CG23" s="67">
        <f t="shared" ref="CG23:CG64" si="58">BT23-CC23</f>
        <v>37.691281441370435</v>
      </c>
      <c r="CH23" s="67">
        <f t="shared" ref="CH23:CH64" si="59">SQRT(SUMSQ(BU23,CD23))</f>
        <v>0.79288916335435933</v>
      </c>
      <c r="CI23" s="74">
        <f t="shared" ref="CI23:CI64" si="60">CA23/CC23</f>
        <v>1.6027794047177342</v>
      </c>
      <c r="CJ23" s="74">
        <f t="shared" ref="CJ23:CJ64" si="61">(CI23)*(SQRT(SUMSQ(CD23/CC23,CB23/CA23)))</f>
        <v>5.2636674673078962E-2</v>
      </c>
      <c r="CL23" s="71">
        <f t="shared" ref="CL23:CL64" si="62">BL23/CC23</f>
        <v>-6068.8158328577347</v>
      </c>
      <c r="CM23" s="67">
        <v>1</v>
      </c>
      <c r="CN23" s="67">
        <v>1</v>
      </c>
      <c r="CO23" s="142">
        <f t="shared" ref="CO23:CO64" si="63">BL23-(CM23*CC23)</f>
        <v>10144.67223893892</v>
      </c>
      <c r="CP23" s="68">
        <f t="shared" ref="CP23:CP64" si="64">SQRT(((CC23*CM23)^2)*((CD23/CC23)^2)+((CN23/CM23)^2)+((BM23)^2))</f>
        <v>15.932553530171637</v>
      </c>
      <c r="CQ23" s="67">
        <v>2</v>
      </c>
      <c r="CR23" s="69">
        <f t="shared" ref="CR23:CR64" si="65">((BL23-(CC23*CM23))*100)/BL23</f>
        <v>100.01647767913117</v>
      </c>
      <c r="CS23" s="69">
        <f t="shared" ref="CS23:CS64" si="66">CO23/BN23</f>
        <v>11.905986801892809</v>
      </c>
      <c r="CT23" s="67">
        <f t="shared" ref="CT23:CT64" si="67">CS23*SQRT((CP23/CO23)^2+(BO23/BN23)^2)</f>
        <v>6.2139293754197779E-2</v>
      </c>
      <c r="CU23" s="69">
        <f t="shared" ref="CU23:CU64" si="68">1/$B$18*LN(1+$B$17*CS23)/10^6</f>
        <v>499.38389068869066</v>
      </c>
      <c r="CV23" s="69">
        <f t="shared" ref="CV23:CV64" si="69">SQRT((CS23/($B$18*10^6*(1+$B$17*CS23))*$C$17)^2+($B$17/($B$18*10^6*(1+$B$17*CS23))*CT23)^2)</f>
        <v>2.4435491710344399</v>
      </c>
      <c r="CW23" s="69">
        <f t="shared" ref="CW23:CW64" si="70">CV23*2</f>
        <v>4.8870983420688798</v>
      </c>
      <c r="CX23" s="69">
        <f t="shared" ref="CX23:CX64" si="71">CW23/CU23*100</f>
        <v>0.97862554903987331</v>
      </c>
      <c r="CY23" s="69">
        <f t="shared" ref="CY23:CY64" si="72">ABS($B$17/$B$18*CT23/($B$17*CS23+1))/10^6</f>
        <v>2.2767371750292149</v>
      </c>
      <c r="CZ23" s="69">
        <f t="shared" ref="CZ23:CZ64" si="73">CY23*2</f>
        <v>4.5534743500584298</v>
      </c>
      <c r="DA23" s="69">
        <f t="shared" ref="DA23:DA64" si="74">BP23/BN23*1.86</f>
        <v>19.64469098545646</v>
      </c>
      <c r="DB23" s="69">
        <f t="shared" ref="DB23:DB64" si="75">((DA23)*(SQRT(BO23/BN23)^2+(BQ23/BP23)^2))</f>
        <v>0.10930556348205278</v>
      </c>
      <c r="DC23" s="152"/>
      <c r="DD23" s="152"/>
      <c r="DE23" s="151">
        <f t="shared" ref="DE23:DE24" si="76">CU23</f>
        <v>499.38389068869066</v>
      </c>
      <c r="DF23" s="151">
        <f t="shared" ref="DF23:DF24" si="77">CW23</f>
        <v>4.8870983420688798</v>
      </c>
      <c r="DG23" s="47"/>
      <c r="DH23" s="47"/>
      <c r="DI23" s="41">
        <f t="shared" ref="DI23:DI64" si="78">DA23</f>
        <v>19.64469098545646</v>
      </c>
      <c r="DJ23" s="41">
        <f t="shared" ref="DJ23:DJ64" si="79">DB23</f>
        <v>0.10930556348205278</v>
      </c>
      <c r="DK23" s="67" t="str">
        <f t="shared" ref="DK23:DK64" si="80">A23</f>
        <v>1176-02</v>
      </c>
      <c r="DL23" s="72">
        <f t="shared" ref="DL23:DL64" si="81">(BN23)/(BL23)</f>
        <v>8.4005197841501539E-2</v>
      </c>
      <c r="DM23" s="72">
        <f t="shared" ref="DM23:DM64" si="82">DL23*SQRT((BM23/BL23)^2+(BO23/BN23)^2)</f>
        <v>4.3836508291786558E-4</v>
      </c>
      <c r="DN23" s="72">
        <f t="shared" ref="DN23:DN64" si="83">(CC23)/(BL23)</f>
        <v>-1.6477679131170992E-4</v>
      </c>
      <c r="DO23" s="72">
        <f t="shared" ref="DO23:DO64" si="84">DN23*SQRT((BM23/BL23)^2+(CD23/CC23)^2)</f>
        <v>-3.6324476123200294E-6</v>
      </c>
      <c r="DP23" s="72">
        <v>8.4005197841501539E-2</v>
      </c>
      <c r="DQ23" s="72">
        <f t="shared" ref="DQ23:DQ64" si="85">BN23/CC23</f>
        <v>-509.81207470285096</v>
      </c>
      <c r="DR23" s="72">
        <f t="shared" ref="DR23:DR64" si="86">DQ23*SQRT((CD23/CC23)^2+(BO23/BN23)^2)</f>
        <v>-11.493772579987803</v>
      </c>
      <c r="DS23" s="72">
        <f t="shared" ref="DS23:DS64" si="87">BL23/CC23</f>
        <v>-6068.8158328577347</v>
      </c>
      <c r="DT23" s="72">
        <f t="shared" ref="DT23:DT64" si="88">DS23*SQRT((CD23/CC23)^2+(BM23/BL23)^2)</f>
        <v>-133.78495482395923</v>
      </c>
      <c r="DU23" s="72">
        <f t="shared" ref="DU23:DU64" si="89">(DV23)/(DX23*DY23)</f>
        <v>0.97285681621359654</v>
      </c>
      <c r="DV23" s="72">
        <f t="shared" ref="DV23:DV64" si="90">(CD23/CC23)^2</f>
        <v>4.8350918261281243E-4</v>
      </c>
      <c r="DW23" s="72"/>
      <c r="DX23" s="68">
        <f t="shared" ref="DX23:DX64" si="91">DR23/DQ23</f>
        <v>2.2545116426846232E-2</v>
      </c>
      <c r="DY23" s="68">
        <f t="shared" ref="DY23:DY64" si="92">DT23/DS23</f>
        <v>2.204465558167407E-2</v>
      </c>
      <c r="EA23" s="72">
        <f t="shared" ref="EA23:EA64" si="93">BP23/BT23</f>
        <v>249.83988513668237</v>
      </c>
      <c r="EB23" s="72">
        <f t="shared" ref="EB23:EB64" si="94">EA23*SQRT((BU23/BT23)^2+(BQ23/BP23)^2)</f>
        <v>8.1739237505308786</v>
      </c>
      <c r="EC23" s="72">
        <f t="shared" ref="EC23:EC64" si="95">BR23/BT23</f>
        <v>1.6027794047177342</v>
      </c>
      <c r="ED23" s="72">
        <f t="shared" ref="ED23:ED64" si="96">EC23*SQRT((BU23/BT23)^2+(BS23/BR23)^2)</f>
        <v>5.2636674673078962E-2</v>
      </c>
      <c r="EE23" s="72">
        <f t="shared" ref="EE23:EE64" si="97">(EF23)/(EH23*EI23)</f>
        <v>0.45000902553616745</v>
      </c>
      <c r="EF23" s="72">
        <f t="shared" ref="EF23:EF64" si="98">(BU23/BT23)^2</f>
        <v>4.8350918261281243E-4</v>
      </c>
      <c r="EH23" s="72">
        <f t="shared" ref="EH23:EH64" si="99">EB23/EA23</f>
        <v>3.2716648689055751E-2</v>
      </c>
      <c r="EI23" s="72">
        <f t="shared" ref="EI23:EI64" si="100">ED23/EC23</f>
        <v>3.2840872872551552E-2</v>
      </c>
      <c r="EJ23" s="72"/>
      <c r="EK23" s="164">
        <v>0.23899999999999999</v>
      </c>
      <c r="EL23" s="72"/>
      <c r="EN23" s="72"/>
      <c r="EO23" s="72"/>
      <c r="EP23" s="72"/>
      <c r="ER23" s="69"/>
    </row>
    <row r="24" spans="1:148" s="42" customFormat="1" x14ac:dyDescent="0.2">
      <c r="A24" s="42" t="s">
        <v>98</v>
      </c>
      <c r="B24" s="42" t="s">
        <v>96</v>
      </c>
      <c r="C24" s="42" t="s">
        <v>71</v>
      </c>
      <c r="D24" s="41">
        <v>11298</v>
      </c>
      <c r="E24" s="41">
        <v>15</v>
      </c>
      <c r="F24" s="41">
        <v>890.19</v>
      </c>
      <c r="G24" s="41">
        <v>4.2</v>
      </c>
      <c r="H24" s="41">
        <v>51.63</v>
      </c>
      <c r="I24" s="41">
        <v>1.3</v>
      </c>
      <c r="J24" s="41">
        <v>134.71</v>
      </c>
      <c r="K24" s="41">
        <v>1.9</v>
      </c>
      <c r="L24" s="41">
        <v>36.706000000000003</v>
      </c>
      <c r="M24" s="41">
        <v>0.48</v>
      </c>
      <c r="N24" s="42" t="s">
        <v>225</v>
      </c>
      <c r="O24" s="42">
        <v>1685.37</v>
      </c>
      <c r="P24" s="42">
        <v>5.9606690000000002</v>
      </c>
      <c r="Q24" s="42">
        <v>72.349599999999995</v>
      </c>
      <c r="R24" s="42">
        <v>0.52517400000000003</v>
      </c>
      <c r="S24" s="42">
        <v>2.494469</v>
      </c>
      <c r="T24" s="42">
        <v>0.15748699999999999</v>
      </c>
      <c r="U24" s="42">
        <v>84.897099999999995</v>
      </c>
      <c r="V24" s="42">
        <v>0.54509399999999997</v>
      </c>
      <c r="W24" s="42">
        <v>8.2481179999999998</v>
      </c>
      <c r="X24" s="42">
        <v>0.61142700000000005</v>
      </c>
      <c r="Y24" s="42">
        <f t="shared" si="9"/>
        <v>9612.630000000001</v>
      </c>
      <c r="Z24" s="42">
        <f t="shared" si="10"/>
        <v>16.140928564601264</v>
      </c>
      <c r="AA24" s="42">
        <f t="shared" si="11"/>
        <v>817.84040000000005</v>
      </c>
      <c r="AB24" s="42">
        <f t="shared" si="12"/>
        <v>4.2327069034219695</v>
      </c>
      <c r="AC24" s="42">
        <f t="shared" si="13"/>
        <v>49.135531</v>
      </c>
      <c r="AD24" s="42">
        <f t="shared" si="14"/>
        <v>1.3095045456847412</v>
      </c>
      <c r="AE24" s="42">
        <f t="shared" si="15"/>
        <v>49.812900000000013</v>
      </c>
      <c r="AG24" s="42">
        <f t="shared" si="16"/>
        <v>1.976645509148264</v>
      </c>
      <c r="AH24" s="42">
        <f t="shared" si="17"/>
        <v>28.457882000000005</v>
      </c>
      <c r="AI24" s="42">
        <f t="shared" si="18"/>
        <v>0.77733067373480125</v>
      </c>
      <c r="AJ24" s="42">
        <v>1</v>
      </c>
      <c r="AK24" s="42">
        <v>0</v>
      </c>
      <c r="AL24" s="42">
        <f t="shared" si="19"/>
        <v>9612.630000000001</v>
      </c>
      <c r="AM24" s="42">
        <f t="shared" si="20"/>
        <v>16.140928564601264</v>
      </c>
      <c r="AN24" s="43">
        <v>0.999857</v>
      </c>
      <c r="AO24" s="42">
        <f t="shared" si="21"/>
        <v>9612.630000000001</v>
      </c>
      <c r="AP24" s="42">
        <f t="shared" si="22"/>
        <v>16.140928564601264</v>
      </c>
      <c r="AQ24" s="42">
        <f t="shared" si="23"/>
        <v>817.95736790361025</v>
      </c>
      <c r="AR24" s="42">
        <f t="shared" si="24"/>
        <v>4.2327069034219695</v>
      </c>
      <c r="AS24" s="42">
        <f t="shared" si="25"/>
        <v>49.149585771698348</v>
      </c>
      <c r="AT24" s="42">
        <f t="shared" si="26"/>
        <v>1.3095045456847412</v>
      </c>
      <c r="AU24" s="42">
        <f t="shared" si="0"/>
        <v>49.834272790409038</v>
      </c>
      <c r="AV24" s="42">
        <f t="shared" si="27"/>
        <v>1.976645509148264</v>
      </c>
      <c r="AW24" s="42">
        <f t="shared" si="28"/>
        <v>28.474162236577833</v>
      </c>
      <c r="AX24" s="42">
        <f t="shared" si="29"/>
        <v>0.77733067373480125</v>
      </c>
      <c r="AY24" s="44">
        <v>105.9987</v>
      </c>
      <c r="AZ24" s="44">
        <v>1.001671</v>
      </c>
      <c r="BA24" s="42">
        <f t="shared" si="30"/>
        <v>9612.630000000001</v>
      </c>
      <c r="BB24" s="42">
        <f t="shared" si="31"/>
        <v>16.140928564601264</v>
      </c>
      <c r="BC24" s="42">
        <f t="shared" si="32"/>
        <v>819.3241746653772</v>
      </c>
      <c r="BD24" s="42">
        <f t="shared" si="33"/>
        <v>4.2397797566575877</v>
      </c>
      <c r="BE24" s="42">
        <f t="shared" si="34"/>
        <v>49.149585771698348</v>
      </c>
      <c r="BF24" s="42">
        <f t="shared" si="35"/>
        <v>1.3095045456847412</v>
      </c>
      <c r="BG24" s="42">
        <f t="shared" si="36"/>
        <v>5282.3681312287308</v>
      </c>
      <c r="BH24" s="42">
        <f t="shared" si="37"/>
        <v>209.52185433055408</v>
      </c>
      <c r="BI24" s="42">
        <f t="shared" si="38"/>
        <v>28.474162236577833</v>
      </c>
      <c r="BJ24" s="42">
        <f t="shared" si="39"/>
        <v>0.77733067373480125</v>
      </c>
      <c r="BL24" s="45">
        <f t="shared" si="40"/>
        <v>9612.591613693312</v>
      </c>
      <c r="BM24" s="45">
        <f t="shared" si="41"/>
        <v>16.140934791262126</v>
      </c>
      <c r="BN24" s="141">
        <f t="shared" si="42"/>
        <v>815.80997361871471</v>
      </c>
      <c r="BO24" s="45">
        <f t="shared" si="43"/>
        <v>4.2444304043012524</v>
      </c>
      <c r="BP24" s="45">
        <f t="shared" si="44"/>
        <v>5282.3681312287308</v>
      </c>
      <c r="BQ24" s="45">
        <f t="shared" si="45"/>
        <v>209.52185433055408</v>
      </c>
      <c r="BR24" s="45">
        <f t="shared" si="46"/>
        <v>39.369325701900941</v>
      </c>
      <c r="BS24" s="45">
        <f t="shared" si="47"/>
        <v>1.3112725364050388</v>
      </c>
      <c r="BT24" s="45">
        <f t="shared" si="48"/>
        <v>27.018552874336443</v>
      </c>
      <c r="BU24" s="45">
        <f t="shared" si="49"/>
        <v>0.77955686291062642</v>
      </c>
      <c r="BV24" s="41">
        <f t="shared" si="50"/>
        <v>1.457121922295693</v>
      </c>
      <c r="BW24" s="46">
        <f t="shared" si="51"/>
        <v>4.4066188751875977E-2</v>
      </c>
      <c r="BY24" s="41">
        <f t="shared" ref="BY24:BY64" si="101">($B$15-BV24)/($B$15-$B$16)</f>
        <v>6.1255046344646708E-2</v>
      </c>
      <c r="BZ24" s="42">
        <v>0</v>
      </c>
      <c r="CA24" s="42">
        <f t="shared" si="52"/>
        <v>2.4115698704274329</v>
      </c>
      <c r="CB24" s="42">
        <f t="shared" si="53"/>
        <v>8.0322059987953096E-2</v>
      </c>
      <c r="CC24" s="42">
        <f t="shared" si="54"/>
        <v>1.6550227084827662</v>
      </c>
      <c r="CD24" s="42">
        <f t="shared" si="55"/>
        <v>4.7751791765877814E-2</v>
      </c>
      <c r="CE24" s="42">
        <f t="shared" si="56"/>
        <v>36.957755831473506</v>
      </c>
      <c r="CF24" s="42">
        <f t="shared" si="57"/>
        <v>1.3137302988249955</v>
      </c>
      <c r="CG24" s="42">
        <f t="shared" si="58"/>
        <v>25.363530165853678</v>
      </c>
      <c r="CH24" s="42">
        <f t="shared" si="59"/>
        <v>0.78101801267826654</v>
      </c>
      <c r="CI24" s="44">
        <f t="shared" si="60"/>
        <v>1.457121922295693</v>
      </c>
      <c r="CJ24" s="44">
        <f t="shared" si="61"/>
        <v>6.4209809662378367E-2</v>
      </c>
      <c r="CL24" s="47">
        <f t="shared" si="62"/>
        <v>5808.1327612148643</v>
      </c>
      <c r="CM24" s="42">
        <v>1</v>
      </c>
      <c r="CN24" s="42">
        <v>1</v>
      </c>
      <c r="CO24" s="141">
        <f t="shared" si="63"/>
        <v>9610.9365909848293</v>
      </c>
      <c r="CP24" s="45">
        <f t="shared" si="64"/>
        <v>16.17195276302132</v>
      </c>
      <c r="CQ24" s="42">
        <v>2</v>
      </c>
      <c r="CR24" s="41">
        <f t="shared" si="65"/>
        <v>99.982782762703394</v>
      </c>
      <c r="CS24" s="41">
        <f t="shared" si="66"/>
        <v>11.780852038806644</v>
      </c>
      <c r="CT24" s="42">
        <f t="shared" si="67"/>
        <v>6.4418361625952644E-2</v>
      </c>
      <c r="CU24" s="41">
        <f t="shared" si="68"/>
        <v>494.79321090424628</v>
      </c>
      <c r="CV24" s="41">
        <f t="shared" si="69"/>
        <v>2.5246836623320017</v>
      </c>
      <c r="CW24" s="41">
        <f t="shared" si="70"/>
        <v>5.0493673246640034</v>
      </c>
      <c r="CX24" s="41">
        <f t="shared" si="71"/>
        <v>1.0205005269648233</v>
      </c>
      <c r="CY24" s="41">
        <f t="shared" si="72"/>
        <v>2.3662540630457962</v>
      </c>
      <c r="CZ24" s="41">
        <f t="shared" si="73"/>
        <v>4.7325081260915924</v>
      </c>
      <c r="DA24" s="41">
        <f t="shared" si="74"/>
        <v>12.043496698751378</v>
      </c>
      <c r="DB24" s="41">
        <f t="shared" si="75"/>
        <v>8.1606522110464486E-2</v>
      </c>
      <c r="DC24" s="151"/>
      <c r="DD24" s="151"/>
      <c r="DE24" s="151">
        <f t="shared" si="76"/>
        <v>494.79321090424628</v>
      </c>
      <c r="DF24" s="151">
        <f t="shared" si="77"/>
        <v>5.0493673246640034</v>
      </c>
      <c r="DG24" s="47"/>
      <c r="DH24" s="47"/>
      <c r="DI24" s="41">
        <f t="shared" si="78"/>
        <v>12.043496698751378</v>
      </c>
      <c r="DJ24" s="41">
        <f t="shared" si="79"/>
        <v>8.1606522110464486E-2</v>
      </c>
      <c r="DK24" s="42" t="str">
        <f t="shared" si="80"/>
        <v>1176-03</v>
      </c>
      <c r="DL24" s="48">
        <f t="shared" si="81"/>
        <v>8.4868889307289253E-2</v>
      </c>
      <c r="DM24" s="48">
        <f t="shared" si="82"/>
        <v>4.6397610905994641E-4</v>
      </c>
      <c r="DN24" s="48">
        <f t="shared" si="83"/>
        <v>1.7217237296601222E-4</v>
      </c>
      <c r="DO24" s="48">
        <f t="shared" si="84"/>
        <v>4.9760346724613897E-6</v>
      </c>
      <c r="DP24" s="48">
        <v>8.4868889307289253E-2</v>
      </c>
      <c r="DQ24" s="48">
        <f t="shared" si="85"/>
        <v>492.92977639358458</v>
      </c>
      <c r="DR24" s="48">
        <f t="shared" si="86"/>
        <v>14.4517034653507</v>
      </c>
      <c r="DS24" s="48">
        <f t="shared" si="87"/>
        <v>5808.1327612148643</v>
      </c>
      <c r="DT24" s="48">
        <f t="shared" si="88"/>
        <v>167.86357476625699</v>
      </c>
      <c r="DU24" s="48">
        <f t="shared" si="89"/>
        <v>0.9824659528513866</v>
      </c>
      <c r="DV24" s="48">
        <f t="shared" si="90"/>
        <v>8.3247544047282873E-4</v>
      </c>
      <c r="DW24" s="48"/>
      <c r="DX24" s="45">
        <f t="shared" si="91"/>
        <v>2.9317976225910924E-2</v>
      </c>
      <c r="DY24" s="45">
        <f t="shared" si="92"/>
        <v>2.8901470002064077E-2</v>
      </c>
      <c r="EA24" s="48">
        <f t="shared" si="93"/>
        <v>195.50892143621004</v>
      </c>
      <c r="EB24" s="48">
        <f t="shared" si="94"/>
        <v>9.5893856332249072</v>
      </c>
      <c r="EC24" s="48">
        <f t="shared" si="95"/>
        <v>1.457121922295693</v>
      </c>
      <c r="ED24" s="48">
        <f t="shared" si="96"/>
        <v>6.4209809662378367E-2</v>
      </c>
      <c r="EE24" s="48">
        <f t="shared" si="97"/>
        <v>0.38516049433322036</v>
      </c>
      <c r="EF24" s="48">
        <f t="shared" si="98"/>
        <v>8.3247544047282873E-4</v>
      </c>
      <c r="EH24" s="48">
        <f t="shared" si="99"/>
        <v>4.9048327630172611E-2</v>
      </c>
      <c r="EI24" s="48">
        <f t="shared" si="100"/>
        <v>4.4066188751875977E-2</v>
      </c>
      <c r="EJ24" s="48"/>
      <c r="EK24" s="163">
        <v>0.45900000000000002</v>
      </c>
      <c r="EL24" s="48"/>
      <c r="EN24" s="48"/>
      <c r="EO24" s="48"/>
      <c r="EP24" s="48"/>
      <c r="ER24" s="41"/>
    </row>
    <row r="25" spans="1:148" s="49" customFormat="1" x14ac:dyDescent="0.2">
      <c r="A25" s="49" t="s">
        <v>99</v>
      </c>
      <c r="B25" s="49" t="s">
        <v>96</v>
      </c>
      <c r="C25" s="49" t="s">
        <v>71</v>
      </c>
      <c r="D25" s="55">
        <v>25148.799999999999</v>
      </c>
      <c r="E25" s="55">
        <v>29</v>
      </c>
      <c r="F25" s="55">
        <v>237.89</v>
      </c>
      <c r="G25" s="55">
        <v>2.4</v>
      </c>
      <c r="H25" s="55">
        <v>24.62</v>
      </c>
      <c r="I25" s="55">
        <v>1</v>
      </c>
      <c r="J25" s="55">
        <v>105.27</v>
      </c>
      <c r="K25" s="55">
        <v>0.74</v>
      </c>
      <c r="L25" s="55">
        <v>33.317</v>
      </c>
      <c r="M25" s="55">
        <v>0.44</v>
      </c>
      <c r="N25" s="49" t="s">
        <v>225</v>
      </c>
      <c r="O25" s="49">
        <v>1699.9829999999999</v>
      </c>
      <c r="P25" s="49">
        <v>6.1372600000000004</v>
      </c>
      <c r="Q25" s="49">
        <v>72.420270000000002</v>
      </c>
      <c r="R25" s="49">
        <v>0.47339199999999998</v>
      </c>
      <c r="S25" s="49">
        <v>2.4982139999999999</v>
      </c>
      <c r="T25" s="49">
        <v>0.17943899999999999</v>
      </c>
      <c r="U25" s="49">
        <v>84.421989999999994</v>
      </c>
      <c r="V25" s="49">
        <v>0.560334</v>
      </c>
      <c r="W25" s="49">
        <v>8.4300499999999996</v>
      </c>
      <c r="X25" s="49">
        <v>0.59340800000000005</v>
      </c>
      <c r="Y25" s="49">
        <f t="shared" si="9"/>
        <v>23448.816999999999</v>
      </c>
      <c r="Z25" s="49">
        <f t="shared" si="10"/>
        <v>29.642300185842529</v>
      </c>
      <c r="AA25" s="49">
        <f t="shared" si="11"/>
        <v>165.46972999999997</v>
      </c>
      <c r="AB25" s="49">
        <f t="shared" si="12"/>
        <v>2.4462420128973337</v>
      </c>
      <c r="AC25" s="49">
        <f t="shared" si="13"/>
        <v>22.121786</v>
      </c>
      <c r="AD25" s="49">
        <f t="shared" si="14"/>
        <v>1.0159716308642679</v>
      </c>
      <c r="AE25" s="49">
        <f t="shared" si="15"/>
        <v>20.848010000000002</v>
      </c>
      <c r="AG25" s="49">
        <f t="shared" si="16"/>
        <v>0.92821020871136728</v>
      </c>
      <c r="AH25" s="49">
        <f t="shared" si="17"/>
        <v>24.886949999999999</v>
      </c>
      <c r="AI25" s="49">
        <f t="shared" si="18"/>
        <v>0.73873747330428552</v>
      </c>
      <c r="AJ25" s="49">
        <v>1</v>
      </c>
      <c r="AK25" s="49">
        <v>0</v>
      </c>
      <c r="AL25" s="49">
        <f t="shared" si="19"/>
        <v>23448.816999999999</v>
      </c>
      <c r="AM25" s="49">
        <f t="shared" si="20"/>
        <v>29.642300185842529</v>
      </c>
      <c r="AN25" s="56">
        <v>0.999857</v>
      </c>
      <c r="AO25" s="49">
        <f t="shared" si="21"/>
        <v>23448.816999999999</v>
      </c>
      <c r="AP25" s="49">
        <f t="shared" si="22"/>
        <v>29.642300185842529</v>
      </c>
      <c r="AQ25" s="49">
        <f t="shared" si="23"/>
        <v>165.4933955555644</v>
      </c>
      <c r="AR25" s="49">
        <f t="shared" si="24"/>
        <v>2.4462420128973337</v>
      </c>
      <c r="AS25" s="49">
        <f t="shared" si="25"/>
        <v>22.1281137356622</v>
      </c>
      <c r="AT25" s="49">
        <f t="shared" si="26"/>
        <v>1.0159716308642679</v>
      </c>
      <c r="AU25" s="49">
        <f t="shared" si="0"/>
        <v>20.856955075435788</v>
      </c>
      <c r="AV25" s="49">
        <f t="shared" si="27"/>
        <v>0.92821020871136728</v>
      </c>
      <c r="AW25" s="49">
        <f t="shared" si="28"/>
        <v>24.901187371344097</v>
      </c>
      <c r="AX25" s="49">
        <f t="shared" si="29"/>
        <v>0.73873747330428552</v>
      </c>
      <c r="AY25" s="57">
        <v>106.0822</v>
      </c>
      <c r="AZ25" s="57">
        <v>1.001671</v>
      </c>
      <c r="BA25" s="49">
        <f t="shared" si="30"/>
        <v>23448.816999999999</v>
      </c>
      <c r="BB25" s="49">
        <f t="shared" si="31"/>
        <v>29.642300185842529</v>
      </c>
      <c r="BC25" s="49">
        <f t="shared" si="32"/>
        <v>165.76993501953774</v>
      </c>
      <c r="BD25" s="49">
        <f t="shared" si="33"/>
        <v>2.4503296833008852</v>
      </c>
      <c r="BE25" s="49">
        <f t="shared" si="34"/>
        <v>22.1281137356622</v>
      </c>
      <c r="BF25" s="49">
        <f t="shared" si="35"/>
        <v>1.0159716308642679</v>
      </c>
      <c r="BG25" s="49">
        <f t="shared" si="36"/>
        <v>2212.5516797033943</v>
      </c>
      <c r="BH25" s="49">
        <f t="shared" si="37"/>
        <v>98.466581002561</v>
      </c>
      <c r="BI25" s="49">
        <f t="shared" si="38"/>
        <v>24.901187371344097</v>
      </c>
      <c r="BJ25" s="49">
        <f t="shared" si="39"/>
        <v>0.73873747330428552</v>
      </c>
      <c r="BL25" s="58">
        <f t="shared" si="40"/>
        <v>23448.809269286641</v>
      </c>
      <c r="BM25" s="58">
        <f t="shared" si="41"/>
        <v>29.642300323557389</v>
      </c>
      <c r="BN25" s="141">
        <f t="shared" si="42"/>
        <v>164.29799076358145</v>
      </c>
      <c r="BO25" s="58">
        <f t="shared" si="43"/>
        <v>2.4519217781198326</v>
      </c>
      <c r="BP25" s="58">
        <f t="shared" si="44"/>
        <v>2212.5516797033943</v>
      </c>
      <c r="BQ25" s="58">
        <f t="shared" si="45"/>
        <v>98.466581002561</v>
      </c>
      <c r="BR25" s="58">
        <f t="shared" si="46"/>
        <v>20.133179087985098</v>
      </c>
      <c r="BS25" s="58">
        <f t="shared" si="47"/>
        <v>1.0164359901653461</v>
      </c>
      <c r="BT25" s="58">
        <f t="shared" si="48"/>
        <v>24.291496630485028</v>
      </c>
      <c r="BU25" s="58">
        <f t="shared" si="49"/>
        <v>0.73925132685192041</v>
      </c>
      <c r="BV25" s="55">
        <f t="shared" si="50"/>
        <v>0.82881591835385815</v>
      </c>
      <c r="BW25" s="59">
        <f t="shared" si="51"/>
        <v>5.8948584208968098E-2</v>
      </c>
      <c r="BY25" s="55">
        <f t="shared" si="101"/>
        <v>0.52563494578428815</v>
      </c>
      <c r="BZ25" s="49">
        <v>0</v>
      </c>
      <c r="CA25" s="49">
        <f t="shared" si="52"/>
        <v>10.582702498378412</v>
      </c>
      <c r="CB25" s="49">
        <f t="shared" si="53"/>
        <v>0.53427427658376103</v>
      </c>
      <c r="CC25" s="49">
        <f t="shared" si="54"/>
        <v>12.768459514384217</v>
      </c>
      <c r="CD25" s="49">
        <f t="shared" si="55"/>
        <v>0.38857633111077228</v>
      </c>
      <c r="CE25" s="49">
        <f t="shared" si="56"/>
        <v>9.5504765896066868</v>
      </c>
      <c r="CF25" s="49">
        <f t="shared" si="57"/>
        <v>1.1482992313515274</v>
      </c>
      <c r="CG25" s="49">
        <f t="shared" si="58"/>
        <v>11.523037116100811</v>
      </c>
      <c r="CH25" s="49">
        <f t="shared" si="59"/>
        <v>0.83515512891428345</v>
      </c>
      <c r="CI25" s="57">
        <f t="shared" si="60"/>
        <v>0.82881591835385804</v>
      </c>
      <c r="CJ25" s="57">
        <f t="shared" si="61"/>
        <v>4.8857524956815626E-2</v>
      </c>
      <c r="CL25" s="60">
        <f t="shared" si="62"/>
        <v>1836.4634545671349</v>
      </c>
      <c r="CM25" s="49">
        <v>1</v>
      </c>
      <c r="CN25" s="49">
        <v>1</v>
      </c>
      <c r="CO25" s="141">
        <f t="shared" si="63"/>
        <v>23436.040809772257</v>
      </c>
      <c r="CP25" s="58">
        <f t="shared" si="64"/>
        <v>29.661708649993006</v>
      </c>
      <c r="CQ25" s="49">
        <v>2</v>
      </c>
      <c r="CR25" s="55">
        <f t="shared" si="65"/>
        <v>99.945547514299122</v>
      </c>
      <c r="CS25" s="55">
        <f t="shared" si="66"/>
        <v>142.64350221723544</v>
      </c>
      <c r="CT25" s="49">
        <f t="shared" si="67"/>
        <v>2.1364000355517692</v>
      </c>
      <c r="CU25" s="55">
        <f t="shared" si="68"/>
        <v>2837.723295321226</v>
      </c>
      <c r="CV25" s="55">
        <f t="shared" si="69"/>
        <v>21.611809252263331</v>
      </c>
      <c r="CW25" s="55">
        <f t="shared" si="70"/>
        <v>43.223618504526662</v>
      </c>
      <c r="CX25" s="55">
        <f t="shared" si="71"/>
        <v>1.5231794648827384</v>
      </c>
      <c r="CY25" s="55">
        <f t="shared" si="72"/>
        <v>21.415195690775789</v>
      </c>
      <c r="CZ25" s="55">
        <f t="shared" si="73"/>
        <v>42.830391381551578</v>
      </c>
      <c r="DA25" s="55">
        <f t="shared" si="74"/>
        <v>25.048061179093416</v>
      </c>
      <c r="DB25" s="55">
        <f t="shared" si="75"/>
        <v>0.4234174142497299</v>
      </c>
      <c r="DC25" s="153">
        <f>CU25</f>
        <v>2837.723295321226</v>
      </c>
      <c r="DD25" s="153">
        <f>CW25</f>
        <v>43.223618504526662</v>
      </c>
      <c r="DE25" s="151"/>
      <c r="DF25" s="151"/>
      <c r="DG25" s="60"/>
      <c r="DH25" s="60"/>
      <c r="DI25" s="41">
        <f t="shared" si="78"/>
        <v>25.048061179093416</v>
      </c>
      <c r="DJ25" s="41">
        <f t="shared" si="79"/>
        <v>0.4234174142497299</v>
      </c>
      <c r="DK25" s="49" t="str">
        <f t="shared" si="80"/>
        <v>1176-04</v>
      </c>
      <c r="DL25" s="50">
        <f t="shared" si="81"/>
        <v>7.0066666872837646E-3</v>
      </c>
      <c r="DM25" s="50">
        <f t="shared" si="82"/>
        <v>1.0493933961834523E-4</v>
      </c>
      <c r="DN25" s="50">
        <f t="shared" si="83"/>
        <v>5.4452485700876951E-4</v>
      </c>
      <c r="DO25" s="50">
        <f t="shared" si="84"/>
        <v>1.6585551099203782E-5</v>
      </c>
      <c r="DP25" s="50">
        <v>7.0066666872837646E-3</v>
      </c>
      <c r="DQ25" s="50">
        <f t="shared" si="85"/>
        <v>12.867487309529604</v>
      </c>
      <c r="DR25" s="50">
        <f t="shared" si="86"/>
        <v>0.43613997788691039</v>
      </c>
      <c r="DS25" s="50">
        <f t="shared" si="87"/>
        <v>1836.4634545671349</v>
      </c>
      <c r="DT25" s="50">
        <f t="shared" si="88"/>
        <v>55.936396797130939</v>
      </c>
      <c r="DU25" s="50">
        <f t="shared" si="89"/>
        <v>0.89708032885438616</v>
      </c>
      <c r="DV25" s="50">
        <f t="shared" si="90"/>
        <v>9.261379473568458E-4</v>
      </c>
      <c r="DW25" s="50"/>
      <c r="DX25" s="58">
        <f t="shared" si="91"/>
        <v>3.3894727649267396E-2</v>
      </c>
      <c r="DY25" s="58">
        <f t="shared" si="92"/>
        <v>3.0458758467543517E-2</v>
      </c>
      <c r="EA25" s="50">
        <f t="shared" si="93"/>
        <v>91.083382525171984</v>
      </c>
      <c r="EB25" s="50">
        <f t="shared" si="94"/>
        <v>4.9106624086378705</v>
      </c>
      <c r="EC25" s="50">
        <f t="shared" si="95"/>
        <v>0.82881591835385815</v>
      </c>
      <c r="ED25" s="50">
        <f t="shared" si="96"/>
        <v>4.8857524956815633E-2</v>
      </c>
      <c r="EE25" s="50">
        <f t="shared" si="97"/>
        <v>0.29140793399203047</v>
      </c>
      <c r="EF25" s="50">
        <f t="shared" si="98"/>
        <v>9.2613794735684602E-4</v>
      </c>
      <c r="EH25" s="50">
        <f t="shared" si="99"/>
        <v>5.391392230389281E-2</v>
      </c>
      <c r="EI25" s="50">
        <f t="shared" si="100"/>
        <v>5.8948584208968098E-2</v>
      </c>
      <c r="EJ25" s="50"/>
      <c r="EK25" s="163">
        <v>0.751</v>
      </c>
      <c r="EL25" s="50"/>
      <c r="EN25" s="50"/>
      <c r="EO25" s="50"/>
      <c r="EP25" s="50"/>
      <c r="ER25" s="55"/>
    </row>
    <row r="26" spans="1:148" s="49" customFormat="1" x14ac:dyDescent="0.2">
      <c r="A26" s="49" t="s">
        <v>100</v>
      </c>
      <c r="B26" s="49" t="s">
        <v>96</v>
      </c>
      <c r="C26" s="49" t="s">
        <v>71</v>
      </c>
      <c r="D26" s="55">
        <v>33529.300000000003</v>
      </c>
      <c r="E26" s="55">
        <v>33</v>
      </c>
      <c r="F26" s="55">
        <v>199.91</v>
      </c>
      <c r="G26" s="55">
        <v>2.1</v>
      </c>
      <c r="H26" s="55">
        <v>65.38</v>
      </c>
      <c r="I26" s="55">
        <v>1.5</v>
      </c>
      <c r="J26" s="55">
        <v>151.66</v>
      </c>
      <c r="K26" s="55">
        <v>2.2000000000000002</v>
      </c>
      <c r="L26" s="55">
        <v>117.56</v>
      </c>
      <c r="M26" s="55">
        <v>2.2000000000000002</v>
      </c>
      <c r="N26" s="49" t="s">
        <v>225</v>
      </c>
      <c r="O26" s="49">
        <v>1708.105</v>
      </c>
      <c r="P26" s="49">
        <v>5.5164720000000003</v>
      </c>
      <c r="Q26" s="49">
        <v>72.368510000000001</v>
      </c>
      <c r="R26" s="49">
        <v>0.396372</v>
      </c>
      <c r="S26" s="49">
        <v>2.4938470000000001</v>
      </c>
      <c r="T26" s="49">
        <v>0.16325300000000001</v>
      </c>
      <c r="U26" s="49">
        <v>84.369979999999998</v>
      </c>
      <c r="V26" s="49">
        <v>0.50115299999999996</v>
      </c>
      <c r="W26" s="49">
        <v>8.6006999999999998</v>
      </c>
      <c r="X26" s="49">
        <v>0.489203</v>
      </c>
      <c r="Y26" s="49">
        <f t="shared" si="9"/>
        <v>31821.195000000003</v>
      </c>
      <c r="Z26" s="49">
        <f t="shared" si="10"/>
        <v>33.457905841919995</v>
      </c>
      <c r="AA26" s="49">
        <f t="shared" si="11"/>
        <v>127.54149</v>
      </c>
      <c r="AB26" s="49">
        <f t="shared" si="12"/>
        <v>2.1370799616261436</v>
      </c>
      <c r="AC26" s="49">
        <f t="shared" si="13"/>
        <v>62.886152999999993</v>
      </c>
      <c r="AD26" s="49">
        <f t="shared" si="14"/>
        <v>1.5088576944195236</v>
      </c>
      <c r="AE26" s="49">
        <f t="shared" si="15"/>
        <v>67.290019999999998</v>
      </c>
      <c r="AG26" s="49">
        <f t="shared" si="16"/>
        <v>2.2563586437906986</v>
      </c>
      <c r="AH26" s="49">
        <f t="shared" si="17"/>
        <v>108.9593</v>
      </c>
      <c r="AI26" s="49">
        <f t="shared" si="18"/>
        <v>2.2537345840202656</v>
      </c>
      <c r="AJ26" s="49">
        <v>1</v>
      </c>
      <c r="AK26" s="49">
        <v>0</v>
      </c>
      <c r="AL26" s="49">
        <f t="shared" si="19"/>
        <v>31821.195000000003</v>
      </c>
      <c r="AM26" s="49">
        <f t="shared" si="20"/>
        <v>33.457905841919995</v>
      </c>
      <c r="AN26" s="56">
        <v>0.999857</v>
      </c>
      <c r="AO26" s="49">
        <f t="shared" si="21"/>
        <v>31821.195000000003</v>
      </c>
      <c r="AP26" s="49">
        <f t="shared" si="22"/>
        <v>33.457905841919995</v>
      </c>
      <c r="AQ26" s="49">
        <f t="shared" si="23"/>
        <v>127.55973104153894</v>
      </c>
      <c r="AR26" s="49">
        <f t="shared" si="24"/>
        <v>2.1370799616261436</v>
      </c>
      <c r="AS26" s="49">
        <f t="shared" si="25"/>
        <v>62.904141012043709</v>
      </c>
      <c r="AT26" s="49">
        <f t="shared" si="26"/>
        <v>1.5088576944195236</v>
      </c>
      <c r="AU26" s="49">
        <f t="shared" si="0"/>
        <v>67.318891547211251</v>
      </c>
      <c r="AV26" s="49">
        <f t="shared" si="27"/>
        <v>2.2563586437906986</v>
      </c>
      <c r="AW26" s="49">
        <f t="shared" si="28"/>
        <v>109.02163363330955</v>
      </c>
      <c r="AX26" s="49">
        <f t="shared" si="29"/>
        <v>2.2537345840202656</v>
      </c>
      <c r="AY26" s="57">
        <v>106.1221</v>
      </c>
      <c r="AZ26" s="57">
        <v>1.0016719999999999</v>
      </c>
      <c r="BA26" s="49">
        <f t="shared" si="30"/>
        <v>31821.195000000003</v>
      </c>
      <c r="BB26" s="49">
        <f t="shared" si="31"/>
        <v>33.457905841919995</v>
      </c>
      <c r="BC26" s="49">
        <f t="shared" si="32"/>
        <v>127.77301091184037</v>
      </c>
      <c r="BD26" s="49">
        <f t="shared" si="33"/>
        <v>2.1406531593219822</v>
      </c>
      <c r="BE26" s="49">
        <f t="shared" si="34"/>
        <v>62.904141012043709</v>
      </c>
      <c r="BF26" s="49">
        <f t="shared" si="35"/>
        <v>1.5088576944195236</v>
      </c>
      <c r="BG26" s="49">
        <f t="shared" si="36"/>
        <v>7144.0221406623077</v>
      </c>
      <c r="BH26" s="49">
        <f t="shared" si="37"/>
        <v>239.4495176322209</v>
      </c>
      <c r="BI26" s="49">
        <f t="shared" si="38"/>
        <v>109.02163363330955</v>
      </c>
      <c r="BJ26" s="49">
        <f t="shared" si="39"/>
        <v>2.2537345840202656</v>
      </c>
      <c r="BL26" s="58">
        <f t="shared" si="40"/>
        <v>31821.189211525485</v>
      </c>
      <c r="BM26" s="58">
        <f t="shared" si="41"/>
        <v>33.457905910366385</v>
      </c>
      <c r="BN26" s="141">
        <f t="shared" si="42"/>
        <v>123.02030730232195</v>
      </c>
      <c r="BO26" s="58">
        <f t="shared" si="43"/>
        <v>2.1550879848934152</v>
      </c>
      <c r="BP26" s="58">
        <f t="shared" si="44"/>
        <v>7144.0221406623077</v>
      </c>
      <c r="BQ26" s="58">
        <f t="shared" si="45"/>
        <v>239.4495176322209</v>
      </c>
      <c r="BR26" s="58">
        <f t="shared" si="46"/>
        <v>61.289723972800815</v>
      </c>
      <c r="BS26" s="58">
        <f t="shared" si="47"/>
        <v>1.5091469216853792</v>
      </c>
      <c r="BT26" s="58">
        <f t="shared" si="48"/>
        <v>107.05302689222864</v>
      </c>
      <c r="BU26" s="58">
        <f t="shared" si="49"/>
        <v>2.2547540090586122</v>
      </c>
      <c r="BV26" s="55">
        <f t="shared" si="50"/>
        <v>0.57251743133336896</v>
      </c>
      <c r="BW26" s="59">
        <f t="shared" si="51"/>
        <v>3.2402303759061377E-2</v>
      </c>
      <c r="BY26" s="55">
        <f t="shared" si="101"/>
        <v>0.7150647218526468</v>
      </c>
      <c r="BZ26" s="49">
        <v>0</v>
      </c>
      <c r="CA26" s="49">
        <f t="shared" si="52"/>
        <v>43.82611942503631</v>
      </c>
      <c r="CB26" s="49">
        <f t="shared" si="53"/>
        <v>1.0791377237897337</v>
      </c>
      <c r="CC26" s="49">
        <f t="shared" si="54"/>
        <v>76.549842898175399</v>
      </c>
      <c r="CD26" s="49">
        <f t="shared" si="55"/>
        <v>1.6122950483336369</v>
      </c>
      <c r="CE26" s="49">
        <f t="shared" si="56"/>
        <v>17.463604547764504</v>
      </c>
      <c r="CF26" s="49">
        <f t="shared" si="57"/>
        <v>1.8552796711381665</v>
      </c>
      <c r="CG26" s="49">
        <f t="shared" si="58"/>
        <v>30.503183994053245</v>
      </c>
      <c r="CH26" s="49">
        <f t="shared" si="59"/>
        <v>2.7718966366455748</v>
      </c>
      <c r="CI26" s="57">
        <f t="shared" si="60"/>
        <v>0.57251743133336885</v>
      </c>
      <c r="CJ26" s="57">
        <f t="shared" si="61"/>
        <v>1.855088371742138E-2</v>
      </c>
      <c r="CL26" s="60">
        <f t="shared" si="62"/>
        <v>415.69241695052466</v>
      </c>
      <c r="CM26" s="49">
        <v>1</v>
      </c>
      <c r="CN26" s="49">
        <v>1</v>
      </c>
      <c r="CO26" s="141">
        <f t="shared" si="63"/>
        <v>31744.639368627311</v>
      </c>
      <c r="CP26" s="58">
        <f t="shared" si="64"/>
        <v>33.511654140460017</v>
      </c>
      <c r="CQ26" s="49">
        <v>2</v>
      </c>
      <c r="CR26" s="55">
        <f t="shared" si="65"/>
        <v>99.759437516966074</v>
      </c>
      <c r="CS26" s="55">
        <f t="shared" si="66"/>
        <v>258.04389587984832</v>
      </c>
      <c r="CT26" s="49">
        <f t="shared" si="67"/>
        <v>4.5286515848699533</v>
      </c>
      <c r="CU26" s="55">
        <f t="shared" si="68"/>
        <v>3731.5100457408075</v>
      </c>
      <c r="CV26" s="55">
        <f t="shared" si="69"/>
        <v>27.844885923077079</v>
      </c>
      <c r="CW26" s="55">
        <f t="shared" si="70"/>
        <v>55.689771846154159</v>
      </c>
      <c r="CX26" s="55">
        <f t="shared" si="71"/>
        <v>1.4924191858928308</v>
      </c>
      <c r="CY26" s="55">
        <f t="shared" si="72"/>
        <v>27.659708817268125</v>
      </c>
      <c r="CZ26" s="55">
        <f t="shared" si="73"/>
        <v>55.319417634536251</v>
      </c>
      <c r="DA26" s="55">
        <f t="shared" si="74"/>
        <v>108.01372125479229</v>
      </c>
      <c r="DB26" s="55">
        <f t="shared" si="75"/>
        <v>2.013545215391519</v>
      </c>
      <c r="DC26" s="153">
        <f t="shared" ref="DC26:DC29" si="102">CU26</f>
        <v>3731.5100457408075</v>
      </c>
      <c r="DD26" s="153">
        <f t="shared" ref="DD26:DD29" si="103">CW26</f>
        <v>55.689771846154159</v>
      </c>
      <c r="DE26" s="151"/>
      <c r="DF26" s="151"/>
      <c r="DG26" s="60"/>
      <c r="DH26" s="60"/>
      <c r="DI26" s="41">
        <f t="shared" si="78"/>
        <v>108.01372125479229</v>
      </c>
      <c r="DJ26" s="41">
        <f t="shared" si="79"/>
        <v>2.013545215391519</v>
      </c>
      <c r="DK26" s="49" t="str">
        <f t="shared" si="80"/>
        <v>1176-05</v>
      </c>
      <c r="DL26" s="50">
        <f t="shared" si="81"/>
        <v>3.8659871095504052E-3</v>
      </c>
      <c r="DM26" s="50">
        <f t="shared" si="82"/>
        <v>6.784681090983181E-5</v>
      </c>
      <c r="DN26" s="50">
        <f t="shared" si="83"/>
        <v>2.4056248303394459E-3</v>
      </c>
      <c r="DO26" s="50">
        <f t="shared" si="84"/>
        <v>5.0730435692033338E-5</v>
      </c>
      <c r="DP26" s="50">
        <v>3.8659871095504052E-3</v>
      </c>
      <c r="DQ26" s="50">
        <f t="shared" si="85"/>
        <v>1.6070615254685807</v>
      </c>
      <c r="DR26" s="50">
        <f t="shared" si="86"/>
        <v>4.4025702160736688E-2</v>
      </c>
      <c r="DS26" s="50">
        <f t="shared" si="87"/>
        <v>415.69241695052466</v>
      </c>
      <c r="DT26" s="50">
        <f t="shared" si="88"/>
        <v>8.7662286985950502</v>
      </c>
      <c r="DU26" s="50">
        <f t="shared" si="89"/>
        <v>0.7678669070255425</v>
      </c>
      <c r="DV26" s="50">
        <f t="shared" si="90"/>
        <v>4.4360908610413085E-4</v>
      </c>
      <c r="DW26" s="50"/>
      <c r="DX26" s="58">
        <f t="shared" si="91"/>
        <v>2.7395156602918389E-2</v>
      </c>
      <c r="DY26" s="58">
        <f t="shared" si="92"/>
        <v>2.1088257425774498E-2</v>
      </c>
      <c r="EA26" s="50">
        <f t="shared" si="93"/>
        <v>66.733490383735401</v>
      </c>
      <c r="EB26" s="50">
        <f t="shared" si="94"/>
        <v>2.6416935772544416</v>
      </c>
      <c r="EC26" s="50">
        <f t="shared" si="95"/>
        <v>0.57251743133336896</v>
      </c>
      <c r="ED26" s="50">
        <f t="shared" si="96"/>
        <v>1.8550883717421383E-2</v>
      </c>
      <c r="EE26" s="50">
        <f t="shared" si="97"/>
        <v>0.34584853792987402</v>
      </c>
      <c r="EF26" s="50">
        <f t="shared" si="98"/>
        <v>4.4360908610413085E-4</v>
      </c>
      <c r="EH26" s="50">
        <f t="shared" si="99"/>
        <v>3.9585724679827142E-2</v>
      </c>
      <c r="EI26" s="50">
        <f t="shared" si="100"/>
        <v>3.2402303759061377E-2</v>
      </c>
      <c r="EJ26" s="50"/>
      <c r="EK26" s="163">
        <v>1.006</v>
      </c>
      <c r="EL26" s="50"/>
      <c r="EN26" s="50"/>
      <c r="EO26" s="50"/>
      <c r="EP26" s="50"/>
      <c r="ER26" s="55"/>
    </row>
    <row r="27" spans="1:148" s="49" customFormat="1" x14ac:dyDescent="0.2">
      <c r="A27" s="49" t="s">
        <v>101</v>
      </c>
      <c r="B27" s="49" t="s">
        <v>96</v>
      </c>
      <c r="C27" s="49" t="s">
        <v>71</v>
      </c>
      <c r="D27" s="55">
        <v>23677.8</v>
      </c>
      <c r="E27" s="55">
        <v>26</v>
      </c>
      <c r="F27" s="55">
        <v>106.57299999999999</v>
      </c>
      <c r="G27" s="55">
        <v>0.8</v>
      </c>
      <c r="H27" s="55">
        <v>16.512</v>
      </c>
      <c r="I27" s="55">
        <v>0.34</v>
      </c>
      <c r="J27" s="55">
        <v>101.045</v>
      </c>
      <c r="K27" s="55">
        <v>0.72</v>
      </c>
      <c r="L27" s="55">
        <v>28.753</v>
      </c>
      <c r="M27" s="55">
        <v>0.52</v>
      </c>
      <c r="N27" s="49" t="s">
        <v>225</v>
      </c>
      <c r="O27" s="49">
        <v>1716.2280000000001</v>
      </c>
      <c r="P27" s="49">
        <v>5.114719</v>
      </c>
      <c r="Q27" s="49">
        <v>72.316760000000002</v>
      </c>
      <c r="R27" s="49">
        <v>0.40711700000000001</v>
      </c>
      <c r="S27" s="49">
        <v>2.4894810000000001</v>
      </c>
      <c r="T27" s="49">
        <v>0.15034600000000001</v>
      </c>
      <c r="U27" s="49">
        <v>84.317980000000006</v>
      </c>
      <c r="V27" s="49">
        <v>0.46004099999999998</v>
      </c>
      <c r="W27" s="49">
        <v>8.77135</v>
      </c>
      <c r="X27" s="49">
        <v>0.49187599999999998</v>
      </c>
      <c r="Y27" s="49">
        <f t="shared" si="9"/>
        <v>21961.572</v>
      </c>
      <c r="Z27" s="49">
        <f t="shared" si="10"/>
        <v>26.498308445049112</v>
      </c>
      <c r="AA27" s="49">
        <f t="shared" si="11"/>
        <v>34.256239999999991</v>
      </c>
      <c r="AB27" s="49">
        <f t="shared" si="12"/>
        <v>0.89763258167749238</v>
      </c>
      <c r="AC27" s="49">
        <f t="shared" si="13"/>
        <v>14.022519000000001</v>
      </c>
      <c r="AD27" s="49">
        <f t="shared" si="14"/>
        <v>0.37175787781296582</v>
      </c>
      <c r="AE27" s="49">
        <f t="shared" si="15"/>
        <v>16.727019999999996</v>
      </c>
      <c r="AG27" s="49">
        <f t="shared" si="16"/>
        <v>0.85442244919067989</v>
      </c>
      <c r="AH27" s="49">
        <f t="shared" si="17"/>
        <v>19.981650000000002</v>
      </c>
      <c r="AI27" s="49">
        <f t="shared" si="18"/>
        <v>0.71578069223470953</v>
      </c>
      <c r="AJ27" s="49">
        <v>1</v>
      </c>
      <c r="AK27" s="49">
        <v>0</v>
      </c>
      <c r="AL27" s="49">
        <f t="shared" si="19"/>
        <v>21961.572</v>
      </c>
      <c r="AM27" s="49">
        <f t="shared" si="20"/>
        <v>26.498308445049112</v>
      </c>
      <c r="AN27" s="56">
        <v>0.999857</v>
      </c>
      <c r="AO27" s="49">
        <f t="shared" si="21"/>
        <v>21961.572</v>
      </c>
      <c r="AP27" s="49">
        <f t="shared" si="22"/>
        <v>26.498308445049112</v>
      </c>
      <c r="AQ27" s="49">
        <f t="shared" si="23"/>
        <v>34.261139342926029</v>
      </c>
      <c r="AR27" s="49">
        <f t="shared" si="24"/>
        <v>0.89763258167749238</v>
      </c>
      <c r="AS27" s="49">
        <f t="shared" si="25"/>
        <v>14.026530014009003</v>
      </c>
      <c r="AT27" s="49">
        <f t="shared" si="26"/>
        <v>0.37175787781296582</v>
      </c>
      <c r="AU27" s="49">
        <f t="shared" si="0"/>
        <v>16.734196917879252</v>
      </c>
      <c r="AV27" s="49">
        <f t="shared" si="27"/>
        <v>0.85442244919067989</v>
      </c>
      <c r="AW27" s="49">
        <f t="shared" si="28"/>
        <v>19.993081138452798</v>
      </c>
      <c r="AX27" s="49">
        <f t="shared" si="29"/>
        <v>0.71578069223470953</v>
      </c>
      <c r="AY27" s="57">
        <v>106.16200000000001</v>
      </c>
      <c r="AZ27" s="57">
        <v>1.0016719999999999</v>
      </c>
      <c r="BA27" s="49">
        <f t="shared" si="30"/>
        <v>21961.572</v>
      </c>
      <c r="BB27" s="49">
        <f t="shared" si="31"/>
        <v>26.498308445049112</v>
      </c>
      <c r="BC27" s="49">
        <f t="shared" si="32"/>
        <v>34.3184239679074</v>
      </c>
      <c r="BD27" s="49">
        <f t="shared" si="33"/>
        <v>0.8991334233540571</v>
      </c>
      <c r="BE27" s="49">
        <f t="shared" si="34"/>
        <v>14.026530014009003</v>
      </c>
      <c r="BF27" s="49">
        <f t="shared" si="35"/>
        <v>0.37175787781296582</v>
      </c>
      <c r="BG27" s="49">
        <f t="shared" si="36"/>
        <v>1776.5358131958974</v>
      </c>
      <c r="BH27" s="49">
        <f t="shared" si="37"/>
        <v>90.707196050980968</v>
      </c>
      <c r="BI27" s="49">
        <f t="shared" si="38"/>
        <v>19.993081138452798</v>
      </c>
      <c r="BJ27" s="49">
        <f t="shared" si="39"/>
        <v>0.71578069223470953</v>
      </c>
      <c r="BL27" s="58">
        <f t="shared" si="40"/>
        <v>21961.570440826006</v>
      </c>
      <c r="BM27" s="58">
        <f t="shared" si="41"/>
        <v>26.498308451339412</v>
      </c>
      <c r="BN27" s="141">
        <f t="shared" si="42"/>
        <v>33.136547987462563</v>
      </c>
      <c r="BO27" s="58">
        <f t="shared" si="43"/>
        <v>0.90241215933790764</v>
      </c>
      <c r="BP27" s="58">
        <f t="shared" si="44"/>
        <v>1776.5358131958974</v>
      </c>
      <c r="BQ27" s="58">
        <f t="shared" si="45"/>
        <v>90.707196050980968</v>
      </c>
      <c r="BR27" s="58">
        <f t="shared" si="46"/>
        <v>13.594923114409905</v>
      </c>
      <c r="BS27" s="58">
        <f t="shared" si="47"/>
        <v>0.37193362830520021</v>
      </c>
      <c r="BT27" s="58">
        <f t="shared" si="48"/>
        <v>19.503538929768535</v>
      </c>
      <c r="BU27" s="58">
        <f t="shared" si="49"/>
        <v>0.71622744272738659</v>
      </c>
      <c r="BV27" s="55">
        <f t="shared" si="50"/>
        <v>0.697049041374731</v>
      </c>
      <c r="BW27" s="59">
        <f t="shared" si="51"/>
        <v>4.579355894493136E-2</v>
      </c>
      <c r="BY27" s="55">
        <f t="shared" si="101"/>
        <v>0.623023620565609</v>
      </c>
      <c r="BZ27" s="49">
        <v>0</v>
      </c>
      <c r="CA27" s="49">
        <f t="shared" si="52"/>
        <v>8.4699582200507439</v>
      </c>
      <c r="CB27" s="49">
        <f t="shared" si="53"/>
        <v>0.23172343571680931</v>
      </c>
      <c r="CC27" s="49">
        <f t="shared" si="54"/>
        <v>12.151165437866696</v>
      </c>
      <c r="CD27" s="49">
        <f t="shared" si="55"/>
        <v>0.44622661451646378</v>
      </c>
      <c r="CE27" s="49">
        <f t="shared" si="56"/>
        <v>5.1249648943591612</v>
      </c>
      <c r="CF27" s="49">
        <f t="shared" si="57"/>
        <v>0.43821270465913365</v>
      </c>
      <c r="CG27" s="49">
        <f t="shared" si="58"/>
        <v>7.3523734919018384</v>
      </c>
      <c r="CH27" s="49">
        <f t="shared" si="59"/>
        <v>0.84386014316273794</v>
      </c>
      <c r="CI27" s="57">
        <f t="shared" si="60"/>
        <v>0.697049041374731</v>
      </c>
      <c r="CJ27" s="57">
        <f t="shared" si="61"/>
        <v>3.1920356363701642E-2</v>
      </c>
      <c r="CL27" s="60">
        <f t="shared" si="62"/>
        <v>1807.3632980411187</v>
      </c>
      <c r="CM27" s="49">
        <v>1</v>
      </c>
      <c r="CN27" s="49">
        <v>1</v>
      </c>
      <c r="CO27" s="141">
        <f t="shared" si="63"/>
        <v>21949.41927538814</v>
      </c>
      <c r="CP27" s="58">
        <f t="shared" si="64"/>
        <v>26.520925115346724</v>
      </c>
      <c r="CQ27" s="49">
        <v>2</v>
      </c>
      <c r="CR27" s="55">
        <f t="shared" si="65"/>
        <v>99.944670780850544</v>
      </c>
      <c r="CS27" s="55">
        <f t="shared" si="66"/>
        <v>662.39305565844847</v>
      </c>
      <c r="CT27" s="49">
        <f t="shared" si="67"/>
        <v>18.056787215782016</v>
      </c>
      <c r="CU27" s="55">
        <f t="shared" si="68"/>
        <v>5287.4127740234044</v>
      </c>
      <c r="CV27" s="55">
        <f t="shared" si="69"/>
        <v>46.684572030462178</v>
      </c>
      <c r="CW27" s="55">
        <f t="shared" si="70"/>
        <v>93.369144060924356</v>
      </c>
      <c r="CX27" s="55">
        <f t="shared" si="71"/>
        <v>1.7658758272030279</v>
      </c>
      <c r="CY27" s="55">
        <f t="shared" si="72"/>
        <v>46.555135599763638</v>
      </c>
      <c r="CZ27" s="55">
        <f t="shared" si="73"/>
        <v>93.110271199527276</v>
      </c>
      <c r="DA27" s="55">
        <f t="shared" si="74"/>
        <v>99.71939786228171</v>
      </c>
      <c r="DB27" s="55">
        <f t="shared" si="75"/>
        <v>2.9756372381159095</v>
      </c>
      <c r="DC27" s="153">
        <f t="shared" si="102"/>
        <v>5287.4127740234044</v>
      </c>
      <c r="DD27" s="153">
        <f t="shared" si="103"/>
        <v>93.369144060924356</v>
      </c>
      <c r="DE27" s="151"/>
      <c r="DF27" s="151"/>
      <c r="DG27" s="60"/>
      <c r="DH27" s="60"/>
      <c r="DI27" s="41">
        <f t="shared" si="78"/>
        <v>99.71939786228171</v>
      </c>
      <c r="DJ27" s="41">
        <f t="shared" si="79"/>
        <v>2.9756372381159095</v>
      </c>
      <c r="DK27" s="49" t="str">
        <f t="shared" si="80"/>
        <v>1176-06</v>
      </c>
      <c r="DL27" s="50">
        <f t="shared" si="81"/>
        <v>1.5088423697543303E-3</v>
      </c>
      <c r="DM27" s="50">
        <f t="shared" si="82"/>
        <v>4.1130821339589339E-5</v>
      </c>
      <c r="DN27" s="50">
        <f t="shared" si="83"/>
        <v>5.5329219149455658E-4</v>
      </c>
      <c r="DO27" s="50">
        <f t="shared" si="84"/>
        <v>2.0329484547109513E-5</v>
      </c>
      <c r="DP27" s="50">
        <v>1.5088423697543303E-3</v>
      </c>
      <c r="DQ27" s="50">
        <f t="shared" si="85"/>
        <v>2.7270263216233634</v>
      </c>
      <c r="DR27" s="50">
        <f t="shared" si="86"/>
        <v>0.12467666889710562</v>
      </c>
      <c r="DS27" s="50">
        <f t="shared" si="87"/>
        <v>1807.3632980411187</v>
      </c>
      <c r="DT27" s="50">
        <f t="shared" si="88"/>
        <v>66.40752355331459</v>
      </c>
      <c r="DU27" s="50">
        <f t="shared" si="89"/>
        <v>0.80280003896037833</v>
      </c>
      <c r="DV27" s="50">
        <f t="shared" si="90"/>
        <v>1.3485748977358327E-3</v>
      </c>
      <c r="DW27" s="50"/>
      <c r="DX27" s="58">
        <f t="shared" si="91"/>
        <v>4.5718909241362661E-2</v>
      </c>
      <c r="DY27" s="58">
        <f t="shared" si="92"/>
        <v>3.674276423853981E-2</v>
      </c>
      <c r="EA27" s="50">
        <f t="shared" si="93"/>
        <v>91.087869724214258</v>
      </c>
      <c r="EB27" s="50">
        <f t="shared" si="94"/>
        <v>5.7287984789810027</v>
      </c>
      <c r="EC27" s="50">
        <f t="shared" si="95"/>
        <v>0.697049041374731</v>
      </c>
      <c r="ED27" s="50">
        <f t="shared" si="96"/>
        <v>3.1920356363701642E-2</v>
      </c>
      <c r="EE27" s="50">
        <f t="shared" si="97"/>
        <v>0.46823909794289109</v>
      </c>
      <c r="EF27" s="50">
        <f t="shared" si="98"/>
        <v>1.3485748977358327E-3</v>
      </c>
      <c r="EH27" s="50">
        <f t="shared" si="99"/>
        <v>6.2893099776359054E-2</v>
      </c>
      <c r="EI27" s="50">
        <f t="shared" si="100"/>
        <v>4.579355894493136E-2</v>
      </c>
      <c r="EJ27" s="50"/>
      <c r="EK27" s="163">
        <v>1.236</v>
      </c>
      <c r="EL27" s="50"/>
      <c r="EN27" s="50"/>
      <c r="EO27" s="50"/>
      <c r="EP27" s="50"/>
      <c r="ER27" s="55"/>
    </row>
    <row r="28" spans="1:148" s="49" customFormat="1" x14ac:dyDescent="0.2">
      <c r="A28" s="49" t="s">
        <v>102</v>
      </c>
      <c r="B28" s="49" t="s">
        <v>96</v>
      </c>
      <c r="C28" s="49" t="s">
        <v>71</v>
      </c>
      <c r="D28" s="55">
        <v>19683.7</v>
      </c>
      <c r="E28" s="55">
        <v>22</v>
      </c>
      <c r="F28" s="55">
        <v>92.424000000000007</v>
      </c>
      <c r="G28" s="55">
        <v>0.71</v>
      </c>
      <c r="H28" s="55">
        <v>14.923999999999999</v>
      </c>
      <c r="I28" s="55">
        <v>0.3</v>
      </c>
      <c r="J28" s="55">
        <v>98.269000000000005</v>
      </c>
      <c r="K28" s="55">
        <v>0.65</v>
      </c>
      <c r="L28" s="55">
        <v>23.428000000000001</v>
      </c>
      <c r="M28" s="55">
        <v>0.46</v>
      </c>
      <c r="N28" s="49" t="s">
        <v>225</v>
      </c>
      <c r="O28" s="49">
        <v>1733.248</v>
      </c>
      <c r="P28" s="49">
        <v>5.1789339999999999</v>
      </c>
      <c r="Q28" s="49">
        <v>72.231020000000001</v>
      </c>
      <c r="R28" s="49">
        <v>0.407746</v>
      </c>
      <c r="S28" s="49">
        <v>2.4803310000000001</v>
      </c>
      <c r="T28" s="49">
        <v>0.13778000000000001</v>
      </c>
      <c r="U28" s="49">
        <v>84.20899</v>
      </c>
      <c r="V28" s="49">
        <v>0.45211200000000001</v>
      </c>
      <c r="W28" s="49">
        <v>8.8341860000000008</v>
      </c>
      <c r="X28" s="49">
        <v>0.49239300000000003</v>
      </c>
      <c r="Y28" s="49">
        <f t="shared" si="9"/>
        <v>17950.452000000001</v>
      </c>
      <c r="Z28" s="49">
        <f t="shared" si="10"/>
        <v>22.601357423313228</v>
      </c>
      <c r="AA28" s="49">
        <f t="shared" si="11"/>
        <v>20.192980000000006</v>
      </c>
      <c r="AB28" s="49">
        <f t="shared" si="12"/>
        <v>0.81875319878214825</v>
      </c>
      <c r="AC28" s="49">
        <f t="shared" si="13"/>
        <v>12.443669</v>
      </c>
      <c r="AD28" s="49">
        <f t="shared" si="14"/>
        <v>0.33012623100868554</v>
      </c>
      <c r="AE28" s="49">
        <f t="shared" si="15"/>
        <v>14.060010000000005</v>
      </c>
      <c r="AG28" s="49">
        <f t="shared" si="16"/>
        <v>0.79177349068025771</v>
      </c>
      <c r="AH28" s="49">
        <f t="shared" si="17"/>
        <v>14.593814</v>
      </c>
      <c r="AI28" s="49">
        <f t="shared" si="18"/>
        <v>0.67383296628244604</v>
      </c>
      <c r="AJ28" s="49">
        <v>1</v>
      </c>
      <c r="AK28" s="49">
        <v>0</v>
      </c>
      <c r="AL28" s="49">
        <f t="shared" si="19"/>
        <v>17950.452000000001</v>
      </c>
      <c r="AM28" s="49">
        <f t="shared" si="20"/>
        <v>22.601357423313228</v>
      </c>
      <c r="AN28" s="56">
        <v>0.999857</v>
      </c>
      <c r="AO28" s="49">
        <f t="shared" si="21"/>
        <v>17950.452000000001</v>
      </c>
      <c r="AP28" s="49">
        <f t="shared" si="22"/>
        <v>22.601357423313228</v>
      </c>
      <c r="AQ28" s="49">
        <f t="shared" si="23"/>
        <v>20.195868009125309</v>
      </c>
      <c r="AR28" s="49">
        <f t="shared" si="24"/>
        <v>0.81875319878214825</v>
      </c>
      <c r="AS28" s="49">
        <f t="shared" si="25"/>
        <v>12.44722839832796</v>
      </c>
      <c r="AT28" s="49">
        <f t="shared" si="26"/>
        <v>0.33012623100868554</v>
      </c>
      <c r="AU28" s="49">
        <f t="shared" si="0"/>
        <v>14.066042606952799</v>
      </c>
      <c r="AV28" s="49">
        <f t="shared" si="27"/>
        <v>0.79177349068025771</v>
      </c>
      <c r="AW28" s="49">
        <f t="shared" si="28"/>
        <v>14.602162855494335</v>
      </c>
      <c r="AX28" s="49">
        <f t="shared" si="29"/>
        <v>0.67383296628244604</v>
      </c>
      <c r="AY28" s="57">
        <v>106.2456</v>
      </c>
      <c r="AZ28" s="57">
        <v>1.0016719999999999</v>
      </c>
      <c r="BA28" s="49">
        <f t="shared" si="30"/>
        <v>17950.452000000001</v>
      </c>
      <c r="BB28" s="49">
        <f t="shared" si="31"/>
        <v>22.601357423313228</v>
      </c>
      <c r="BC28" s="49">
        <f t="shared" si="32"/>
        <v>20.229635500436565</v>
      </c>
      <c r="BD28" s="49">
        <f t="shared" si="33"/>
        <v>0.82012215413051193</v>
      </c>
      <c r="BE28" s="49">
        <f t="shared" si="34"/>
        <v>12.44722839832796</v>
      </c>
      <c r="BF28" s="49">
        <f t="shared" si="35"/>
        <v>0.33012623100868554</v>
      </c>
      <c r="BG28" s="49">
        <f t="shared" si="36"/>
        <v>1494.4551364012641</v>
      </c>
      <c r="BH28" s="49">
        <f t="shared" si="37"/>
        <v>84.12244958141838</v>
      </c>
      <c r="BI28" s="49">
        <f t="shared" si="38"/>
        <v>14.602162855494335</v>
      </c>
      <c r="BJ28" s="49">
        <f t="shared" si="39"/>
        <v>0.67383296628244604</v>
      </c>
      <c r="BL28" s="58">
        <f t="shared" si="40"/>
        <v>17950.451094915814</v>
      </c>
      <c r="BM28" s="58">
        <f t="shared" si="41"/>
        <v>22.601357425818062</v>
      </c>
      <c r="BN28" s="141">
        <f t="shared" si="42"/>
        <v>19.235419331842895</v>
      </c>
      <c r="BO28" s="58">
        <f t="shared" si="43"/>
        <v>0.82300387006011555</v>
      </c>
      <c r="BP28" s="58">
        <f t="shared" si="44"/>
        <v>1494.4551364012641</v>
      </c>
      <c r="BQ28" s="58">
        <f t="shared" si="45"/>
        <v>84.12244958141838</v>
      </c>
      <c r="BR28" s="58">
        <f t="shared" si="46"/>
        <v>12.186498069108076</v>
      </c>
      <c r="BS28" s="58">
        <f t="shared" si="47"/>
        <v>0.33028682149247951</v>
      </c>
      <c r="BT28" s="58">
        <f t="shared" si="48"/>
        <v>14.190350798107602</v>
      </c>
      <c r="BU28" s="58">
        <f t="shared" si="49"/>
        <v>0.6742394384360505</v>
      </c>
      <c r="BV28" s="55">
        <f t="shared" si="50"/>
        <v>0.85878765384244371</v>
      </c>
      <c r="BW28" s="59">
        <f t="shared" si="51"/>
        <v>5.4700363691345663E-2</v>
      </c>
      <c r="BY28" s="55">
        <f t="shared" si="101"/>
        <v>0.50348288703440969</v>
      </c>
      <c r="BZ28" s="49">
        <v>0</v>
      </c>
      <c r="CA28" s="49">
        <f t="shared" si="52"/>
        <v>6.1356932306737928</v>
      </c>
      <c r="CB28" s="49">
        <f t="shared" si="53"/>
        <v>0.16629376243445229</v>
      </c>
      <c r="CC28" s="49">
        <f t="shared" si="54"/>
        <v>7.1445987878622548</v>
      </c>
      <c r="CD28" s="49">
        <f t="shared" si="55"/>
        <v>0.3394680190162418</v>
      </c>
      <c r="CE28" s="49">
        <f t="shared" si="56"/>
        <v>6.0508048384342832</v>
      </c>
      <c r="CF28" s="49">
        <f t="shared" si="57"/>
        <v>0.36978777680746977</v>
      </c>
      <c r="CG28" s="49">
        <f t="shared" si="58"/>
        <v>7.045752010245347</v>
      </c>
      <c r="CH28" s="49">
        <f t="shared" si="59"/>
        <v>0.75487572240559719</v>
      </c>
      <c r="CI28" s="57">
        <f t="shared" si="60"/>
        <v>0.85878765384244371</v>
      </c>
      <c r="CJ28" s="57">
        <f t="shared" si="61"/>
        <v>4.6975996998819138E-2</v>
      </c>
      <c r="CL28" s="60">
        <f t="shared" si="62"/>
        <v>2512.450541717094</v>
      </c>
      <c r="CM28" s="49">
        <v>1</v>
      </c>
      <c r="CN28" s="49">
        <v>1</v>
      </c>
      <c r="CO28" s="141">
        <f t="shared" si="63"/>
        <v>17943.306496127952</v>
      </c>
      <c r="CP28" s="58">
        <f t="shared" si="64"/>
        <v>22.626015911457237</v>
      </c>
      <c r="CQ28" s="49">
        <v>2</v>
      </c>
      <c r="CR28" s="55">
        <f t="shared" si="65"/>
        <v>99.960198221481548</v>
      </c>
      <c r="CS28" s="55">
        <f t="shared" si="66"/>
        <v>932.82637547828551</v>
      </c>
      <c r="CT28" s="49">
        <f t="shared" si="67"/>
        <v>39.92910397373381</v>
      </c>
      <c r="CU28" s="55">
        <f t="shared" si="68"/>
        <v>5876.9337537797028</v>
      </c>
      <c r="CV28" s="55">
        <f t="shared" si="69"/>
        <v>74.334679770874047</v>
      </c>
      <c r="CW28" s="55">
        <f t="shared" si="70"/>
        <v>148.66935954174809</v>
      </c>
      <c r="CX28" s="55">
        <f t="shared" si="71"/>
        <v>2.529709637208903</v>
      </c>
      <c r="CY28" s="55">
        <f t="shared" si="72"/>
        <v>74.250884249646418</v>
      </c>
      <c r="CZ28" s="55">
        <f t="shared" si="73"/>
        <v>148.50176849929284</v>
      </c>
      <c r="DA28" s="55">
        <f t="shared" si="74"/>
        <v>144.50875781557693</v>
      </c>
      <c r="DB28" s="55">
        <f t="shared" si="75"/>
        <v>6.6408113963312534</v>
      </c>
      <c r="DC28" s="153">
        <f t="shared" si="102"/>
        <v>5876.9337537797028</v>
      </c>
      <c r="DD28" s="153">
        <f t="shared" si="103"/>
        <v>148.66935954174809</v>
      </c>
      <c r="DE28" s="151"/>
      <c r="DF28" s="151"/>
      <c r="DG28" s="60"/>
      <c r="DH28" s="60"/>
      <c r="DI28" s="41">
        <f t="shared" si="78"/>
        <v>144.50875781557693</v>
      </c>
      <c r="DJ28" s="41">
        <f t="shared" si="79"/>
        <v>6.6408113963312534</v>
      </c>
      <c r="DK28" s="49" t="str">
        <f t="shared" si="80"/>
        <v>1176-07</v>
      </c>
      <c r="DL28" s="50">
        <f t="shared" si="81"/>
        <v>1.0715841752462158E-3</v>
      </c>
      <c r="DM28" s="50">
        <f t="shared" si="82"/>
        <v>4.5868493735869777E-5</v>
      </c>
      <c r="DN28" s="50">
        <f t="shared" si="83"/>
        <v>3.9801778518456572E-4</v>
      </c>
      <c r="DO28" s="50">
        <f t="shared" si="84"/>
        <v>1.891803096000082E-5</v>
      </c>
      <c r="DP28" s="50">
        <v>1.0715841752462158E-3</v>
      </c>
      <c r="DQ28" s="50">
        <f t="shared" si="85"/>
        <v>2.6923022415928202</v>
      </c>
      <c r="DR28" s="50">
        <f t="shared" si="86"/>
        <v>0.17214328021795192</v>
      </c>
      <c r="DS28" s="50">
        <f t="shared" si="87"/>
        <v>2512.450541717094</v>
      </c>
      <c r="DT28" s="50">
        <f t="shared" si="88"/>
        <v>119.41832476564907</v>
      </c>
      <c r="DU28" s="50">
        <f t="shared" si="89"/>
        <v>0.74285205019940925</v>
      </c>
      <c r="DV28" s="50">
        <f t="shared" si="90"/>
        <v>2.2575742400905586E-3</v>
      </c>
      <c r="DW28" s="50"/>
      <c r="DX28" s="58">
        <f t="shared" si="91"/>
        <v>6.393906210028949E-2</v>
      </c>
      <c r="DY28" s="58">
        <f t="shared" si="92"/>
        <v>4.7530617133674812E-2</v>
      </c>
      <c r="EA28" s="50">
        <f t="shared" si="93"/>
        <v>105.31488316698709</v>
      </c>
      <c r="EB28" s="50">
        <f t="shared" si="94"/>
        <v>7.7577161470084333</v>
      </c>
      <c r="EC28" s="50">
        <f t="shared" si="95"/>
        <v>0.85878765384244371</v>
      </c>
      <c r="ED28" s="50">
        <f t="shared" si="96"/>
        <v>4.6975996998819138E-2</v>
      </c>
      <c r="EE28" s="50">
        <f t="shared" si="97"/>
        <v>0.56028331886097504</v>
      </c>
      <c r="EF28" s="50">
        <f t="shared" si="98"/>
        <v>2.2575742400905595E-3</v>
      </c>
      <c r="EH28" s="50">
        <f t="shared" si="99"/>
        <v>7.3662106567671096E-2</v>
      </c>
      <c r="EI28" s="50">
        <f t="shared" si="100"/>
        <v>5.4700363691345663E-2</v>
      </c>
      <c r="EJ28" s="50"/>
      <c r="EK28" s="163">
        <v>1.482</v>
      </c>
      <c r="EL28" s="50"/>
      <c r="EN28" s="50"/>
      <c r="EO28" s="50"/>
      <c r="EP28" s="50"/>
      <c r="ER28" s="55"/>
    </row>
    <row r="29" spans="1:148" s="49" customFormat="1" x14ac:dyDescent="0.2">
      <c r="A29" s="49" t="s">
        <v>103</v>
      </c>
      <c r="B29" s="49" t="s">
        <v>96</v>
      </c>
      <c r="C29" s="49" t="s">
        <v>71</v>
      </c>
      <c r="D29" s="55">
        <v>13655.9</v>
      </c>
      <c r="E29" s="55">
        <v>18</v>
      </c>
      <c r="F29" s="55">
        <v>175.42</v>
      </c>
      <c r="G29" s="55">
        <v>2</v>
      </c>
      <c r="H29" s="55">
        <v>19.286000000000001</v>
      </c>
      <c r="I29" s="55">
        <v>0.42</v>
      </c>
      <c r="J29" s="55">
        <v>105.11799999999999</v>
      </c>
      <c r="K29" s="55">
        <v>0.79</v>
      </c>
      <c r="L29" s="55">
        <v>24.132999999999999</v>
      </c>
      <c r="M29" s="55">
        <v>0.41</v>
      </c>
      <c r="N29" s="49" t="s">
        <v>225</v>
      </c>
      <c r="O29" s="49">
        <v>1741.37</v>
      </c>
      <c r="P29" s="49">
        <v>5.6323489999999996</v>
      </c>
      <c r="Q29" s="49">
        <v>72.200010000000006</v>
      </c>
      <c r="R29" s="49">
        <v>0.42089799999999999</v>
      </c>
      <c r="S29" s="49">
        <v>2.4759639999999998</v>
      </c>
      <c r="T29" s="49">
        <v>0.13991200000000001</v>
      </c>
      <c r="U29" s="49">
        <v>84.156980000000004</v>
      </c>
      <c r="V29" s="49">
        <v>0.48684699999999997</v>
      </c>
      <c r="W29" s="49">
        <v>8.7357709999999997</v>
      </c>
      <c r="X29" s="49">
        <v>0.51597400000000004</v>
      </c>
      <c r="Y29" s="49">
        <f t="shared" ref="Y29:Y64" si="104">(D29)-(O29)</f>
        <v>11914.529999999999</v>
      </c>
      <c r="Z29" s="49">
        <f t="shared" ref="Z29:Z64" si="105">SQRT(P29^2+E29^2)</f>
        <v>18.860629768324308</v>
      </c>
      <c r="AA29" s="49">
        <f t="shared" ref="AA29:AA64" si="106">(F29)-(Q29)</f>
        <v>103.21998999999998</v>
      </c>
      <c r="AB29" s="49">
        <f t="shared" ref="AB29:AB64" si="107">SQRT(R29^2+G29^2)</f>
        <v>2.0438089750277544</v>
      </c>
      <c r="AC29" s="49">
        <f t="shared" ref="AC29:AC64" si="108">(H29)-(S29)</f>
        <v>16.810036</v>
      </c>
      <c r="AD29" s="49">
        <f t="shared" ref="AD29:AD64" si="109">SQRT(T29^2+I29^2)</f>
        <v>0.44269105225201921</v>
      </c>
      <c r="AE29" s="49">
        <f t="shared" ref="AE29:AE64" si="110">(J29)-(U29)</f>
        <v>20.961019999999991</v>
      </c>
      <c r="AG29" s="49">
        <f t="shared" ref="AG29:AG64" si="111">SQRT(V29^2+K29^2)</f>
        <v>0.92796551735988564</v>
      </c>
      <c r="AH29" s="49">
        <f t="shared" ref="AH29:AH64" si="112">(L29)-(W29)</f>
        <v>15.397228999999999</v>
      </c>
      <c r="AI29" s="49">
        <f t="shared" ref="AI29:AI64" si="113">SQRT(X29^2+M29^2)</f>
        <v>0.65903654578179505</v>
      </c>
      <c r="AJ29" s="49">
        <v>1</v>
      </c>
      <c r="AK29" s="49">
        <v>0</v>
      </c>
      <c r="AL29" s="49">
        <f t="shared" ref="AL29:AL64" si="114">Y29*AJ29</f>
        <v>11914.529999999999</v>
      </c>
      <c r="AM29" s="49">
        <f t="shared" ref="AM29:AM64" si="115">AL29*SQRT(SUMSQ(AK29/AJ29,Z29/Y29))</f>
        <v>18.860629768324308</v>
      </c>
      <c r="AN29" s="56">
        <v>0.999857</v>
      </c>
      <c r="AO29" s="49">
        <f t="shared" si="21"/>
        <v>11914.529999999999</v>
      </c>
      <c r="AP29" s="49">
        <f t="shared" si="22"/>
        <v>18.860629768324308</v>
      </c>
      <c r="AQ29" s="49">
        <f t="shared" si="23"/>
        <v>103.23475256961744</v>
      </c>
      <c r="AR29" s="49">
        <f t="shared" si="24"/>
        <v>2.0438089750277544</v>
      </c>
      <c r="AS29" s="49">
        <f t="shared" si="25"/>
        <v>16.814844357891179</v>
      </c>
      <c r="AT29" s="49">
        <f t="shared" si="26"/>
        <v>0.44269105225201921</v>
      </c>
      <c r="AU29" s="49">
        <f t="shared" si="0"/>
        <v>20.970013563659592</v>
      </c>
      <c r="AV29" s="49">
        <f t="shared" si="27"/>
        <v>0.92796551735988564</v>
      </c>
      <c r="AW29" s="49">
        <f t="shared" si="28"/>
        <v>15.406037474599866</v>
      </c>
      <c r="AX29" s="49">
        <f t="shared" si="29"/>
        <v>0.65903654578179505</v>
      </c>
      <c r="AY29" s="57">
        <v>106.2856</v>
      </c>
      <c r="AZ29" s="57">
        <v>1.0016719999999999</v>
      </c>
      <c r="BA29" s="49">
        <f t="shared" si="30"/>
        <v>11914.529999999999</v>
      </c>
      <c r="BB29" s="49">
        <f t="shared" si="31"/>
        <v>18.860629768324308</v>
      </c>
      <c r="BC29" s="49">
        <f t="shared" si="32"/>
        <v>103.40736107591383</v>
      </c>
      <c r="BD29" s="49">
        <f t="shared" si="33"/>
        <v>2.0472262236340004</v>
      </c>
      <c r="BE29" s="49">
        <f t="shared" si="34"/>
        <v>16.814844357891179</v>
      </c>
      <c r="BF29" s="49">
        <f t="shared" si="35"/>
        <v>0.44269105225201921</v>
      </c>
      <c r="BG29" s="49">
        <f t="shared" si="36"/>
        <v>2228.8104736216978</v>
      </c>
      <c r="BH29" s="49">
        <f t="shared" si="37"/>
        <v>98.629371791905868</v>
      </c>
      <c r="BI29" s="49">
        <f t="shared" si="38"/>
        <v>15.406037474599866</v>
      </c>
      <c r="BJ29" s="49">
        <f t="shared" si="39"/>
        <v>0.65903654578179505</v>
      </c>
      <c r="BL29" s="58">
        <f t="shared" si="40"/>
        <v>11914.525204141779</v>
      </c>
      <c r="BM29" s="58">
        <f t="shared" si="41"/>
        <v>18.860629851732096</v>
      </c>
      <c r="BN29" s="141">
        <f t="shared" si="42"/>
        <v>101.92460033212753</v>
      </c>
      <c r="BO29" s="58">
        <f t="shared" si="43"/>
        <v>2.0491476497602807</v>
      </c>
      <c r="BP29" s="58">
        <f t="shared" si="44"/>
        <v>2228.8104736216978</v>
      </c>
      <c r="BQ29" s="58">
        <f t="shared" si="45"/>
        <v>98.629371791905868</v>
      </c>
      <c r="BR29" s="58">
        <f t="shared" si="46"/>
        <v>15.558427313610434</v>
      </c>
      <c r="BS29" s="58">
        <f t="shared" si="47"/>
        <v>0.44341286998079055</v>
      </c>
      <c r="BT29" s="58">
        <f t="shared" si="48"/>
        <v>14.791866460488672</v>
      </c>
      <c r="BU29" s="58">
        <f t="shared" si="49"/>
        <v>0.65961459785898524</v>
      </c>
      <c r="BV29" s="55">
        <f t="shared" si="50"/>
        <v>1.0518231323389353</v>
      </c>
      <c r="BW29" s="59">
        <f t="shared" si="51"/>
        <v>5.2922420568411198E-2</v>
      </c>
      <c r="BY29" s="55">
        <f t="shared" si="101"/>
        <v>0.360810693023699</v>
      </c>
      <c r="BZ29" s="49">
        <v>0</v>
      </c>
      <c r="CA29" s="49">
        <f t="shared" si="52"/>
        <v>5.613646941382628</v>
      </c>
      <c r="CB29" s="49">
        <f t="shared" si="53"/>
        <v>0.15998810491339638</v>
      </c>
      <c r="CC29" s="49">
        <f t="shared" si="54"/>
        <v>5.337063588722927</v>
      </c>
      <c r="CD29" s="49">
        <f t="shared" si="55"/>
        <v>0.23799600018204897</v>
      </c>
      <c r="CE29" s="49">
        <f t="shared" si="56"/>
        <v>9.9447803722278056</v>
      </c>
      <c r="CF29" s="49">
        <f t="shared" si="57"/>
        <v>0.47139279478836055</v>
      </c>
      <c r="CG29" s="49">
        <f t="shared" si="58"/>
        <v>9.4548028717657449</v>
      </c>
      <c r="CH29" s="49">
        <f t="shared" si="59"/>
        <v>0.70123713094168416</v>
      </c>
      <c r="CI29" s="57">
        <f t="shared" si="60"/>
        <v>1.0518231323389353</v>
      </c>
      <c r="CJ29" s="57">
        <f t="shared" si="61"/>
        <v>5.5665026173224767E-2</v>
      </c>
      <c r="CL29" s="60">
        <f t="shared" si="62"/>
        <v>2232.412075680877</v>
      </c>
      <c r="CM29" s="49">
        <v>1</v>
      </c>
      <c r="CN29" s="49">
        <v>1</v>
      </c>
      <c r="CO29" s="141">
        <f t="shared" si="63"/>
        <v>11909.188140553057</v>
      </c>
      <c r="CP29" s="58">
        <f t="shared" si="64"/>
        <v>18.888620926371267</v>
      </c>
      <c r="CQ29" s="49">
        <v>2</v>
      </c>
      <c r="CR29" s="55">
        <f t="shared" si="65"/>
        <v>99.955205402672135</v>
      </c>
      <c r="CS29" s="55">
        <f t="shared" si="66"/>
        <v>116.84311836147741</v>
      </c>
      <c r="CT29" s="49">
        <f t="shared" si="67"/>
        <v>2.356376280576209</v>
      </c>
      <c r="CU29" s="55">
        <f t="shared" si="68"/>
        <v>2558.577012143091</v>
      </c>
      <c r="CV29" s="55">
        <f t="shared" si="69"/>
        <v>27.712832504786189</v>
      </c>
      <c r="CW29" s="55">
        <f t="shared" si="70"/>
        <v>55.425665009572377</v>
      </c>
      <c r="CX29" s="55">
        <f t="shared" si="71"/>
        <v>2.1662691701879733</v>
      </c>
      <c r="CY29" s="55">
        <f t="shared" si="72"/>
        <v>27.572924982320668</v>
      </c>
      <c r="CZ29" s="55">
        <f t="shared" si="73"/>
        <v>55.145849964641336</v>
      </c>
      <c r="DA29" s="55">
        <f t="shared" si="74"/>
        <v>40.673080565709448</v>
      </c>
      <c r="DB29" s="55">
        <f t="shared" si="75"/>
        <v>0.89736146791286986</v>
      </c>
      <c r="DC29" s="153">
        <f t="shared" si="102"/>
        <v>2558.577012143091</v>
      </c>
      <c r="DD29" s="153">
        <f t="shared" si="103"/>
        <v>55.425665009572377</v>
      </c>
      <c r="DE29" s="151"/>
      <c r="DF29" s="151"/>
      <c r="DG29" s="60"/>
      <c r="DH29" s="60"/>
      <c r="DI29" s="41">
        <f t="shared" si="78"/>
        <v>40.673080565709448</v>
      </c>
      <c r="DJ29" s="41">
        <f t="shared" si="79"/>
        <v>0.89736146791286986</v>
      </c>
      <c r="DK29" s="49" t="str">
        <f t="shared" si="80"/>
        <v>1176-08</v>
      </c>
      <c r="DL29" s="50">
        <f t="shared" si="81"/>
        <v>8.5546506122372423E-3</v>
      </c>
      <c r="DM29" s="50">
        <f t="shared" si="82"/>
        <v>1.7251966373466401E-4</v>
      </c>
      <c r="DN29" s="50">
        <f t="shared" si="83"/>
        <v>4.4794597327870301E-4</v>
      </c>
      <c r="DO29" s="50">
        <f t="shared" si="84"/>
        <v>1.9987863968010622E-5</v>
      </c>
      <c r="DP29" s="50">
        <v>8.5546506122372423E-3</v>
      </c>
      <c r="DQ29" s="50">
        <f t="shared" si="85"/>
        <v>19.097505329989225</v>
      </c>
      <c r="DR29" s="50">
        <f t="shared" si="86"/>
        <v>0.9341655094915341</v>
      </c>
      <c r="DS29" s="50">
        <f t="shared" si="87"/>
        <v>2232.412075680877</v>
      </c>
      <c r="DT29" s="50">
        <f t="shared" si="88"/>
        <v>99.612791611124095</v>
      </c>
      <c r="DU29" s="50">
        <f t="shared" si="89"/>
        <v>0.91105925693434964</v>
      </c>
      <c r="DV29" s="50">
        <f t="shared" si="90"/>
        <v>1.9885410560828514E-3</v>
      </c>
      <c r="DW29" s="50"/>
      <c r="DX29" s="58">
        <f t="shared" si="91"/>
        <v>4.8915577890929755E-2</v>
      </c>
      <c r="DY29" s="58">
        <f t="shared" si="92"/>
        <v>4.4621148889253601E-2</v>
      </c>
      <c r="EA29" s="50">
        <f t="shared" si="93"/>
        <v>150.67810945800451</v>
      </c>
      <c r="EB29" s="50">
        <f t="shared" si="94"/>
        <v>9.4661147229499409</v>
      </c>
      <c r="EC29" s="50">
        <f t="shared" si="95"/>
        <v>1.0518231323389353</v>
      </c>
      <c r="ED29" s="50">
        <f t="shared" si="96"/>
        <v>5.5665026173224767E-2</v>
      </c>
      <c r="EE29" s="50">
        <f t="shared" si="97"/>
        <v>0.59809925472279346</v>
      </c>
      <c r="EF29" s="50">
        <f t="shared" si="98"/>
        <v>1.9885410560828514E-3</v>
      </c>
      <c r="EH29" s="50">
        <f t="shared" si="99"/>
        <v>6.2823423767393638E-2</v>
      </c>
      <c r="EI29" s="50">
        <f t="shared" si="100"/>
        <v>5.2922420568411198E-2</v>
      </c>
      <c r="EJ29" s="50"/>
      <c r="EK29" s="163">
        <v>1.6950000000000001</v>
      </c>
      <c r="EL29" s="50"/>
      <c r="EN29" s="50"/>
      <c r="EO29" s="50"/>
      <c r="EP29" s="50"/>
      <c r="ER29" s="55"/>
    </row>
    <row r="30" spans="1:148" s="42" customFormat="1" x14ac:dyDescent="0.2">
      <c r="A30" s="42" t="s">
        <v>104</v>
      </c>
      <c r="B30" s="42" t="s">
        <v>96</v>
      </c>
      <c r="C30" s="42" t="s">
        <v>71</v>
      </c>
      <c r="D30" s="41">
        <v>6159.1</v>
      </c>
      <c r="E30" s="41">
        <v>10</v>
      </c>
      <c r="F30" s="41">
        <v>373.1</v>
      </c>
      <c r="G30" s="41">
        <v>2.8</v>
      </c>
      <c r="H30" s="41">
        <v>41.28</v>
      </c>
      <c r="I30" s="41">
        <v>1.5</v>
      </c>
      <c r="J30" s="41">
        <v>140.47999999999999</v>
      </c>
      <c r="K30" s="41">
        <v>1.8</v>
      </c>
      <c r="L30" s="41">
        <v>33.646999999999998</v>
      </c>
      <c r="M30" s="41">
        <v>0.43</v>
      </c>
      <c r="N30" s="42" t="s">
        <v>225</v>
      </c>
      <c r="O30" s="42">
        <v>1749.4880000000001</v>
      </c>
      <c r="P30" s="42">
        <v>6.291506</v>
      </c>
      <c r="Q30" s="42">
        <v>72.16901</v>
      </c>
      <c r="R30" s="42">
        <v>0.520895</v>
      </c>
      <c r="S30" s="42">
        <v>2.4716</v>
      </c>
      <c r="T30" s="42">
        <v>0.14718999999999999</v>
      </c>
      <c r="U30" s="42">
        <v>84.105009999999993</v>
      </c>
      <c r="V30" s="42">
        <v>0.54119799999999996</v>
      </c>
      <c r="W30" s="42">
        <v>8.6374150000000007</v>
      </c>
      <c r="X30" s="42">
        <v>0.64419300000000002</v>
      </c>
      <c r="Y30" s="42">
        <f t="shared" si="104"/>
        <v>4409.6120000000001</v>
      </c>
      <c r="Z30" s="42">
        <f t="shared" si="105"/>
        <v>11.814526979445093</v>
      </c>
      <c r="AA30" s="42">
        <f t="shared" si="106"/>
        <v>300.93099000000001</v>
      </c>
      <c r="AB30" s="42">
        <f t="shared" si="107"/>
        <v>2.8480399577648132</v>
      </c>
      <c r="AC30" s="42">
        <f t="shared" si="108"/>
        <v>38.808399999999999</v>
      </c>
      <c r="AD30" s="42">
        <f t="shared" si="109"/>
        <v>1.5072043312371417</v>
      </c>
      <c r="AE30" s="42">
        <f t="shared" si="110"/>
        <v>56.374989999999997</v>
      </c>
      <c r="AG30" s="42">
        <f t="shared" si="111"/>
        <v>1.8795997646318219</v>
      </c>
      <c r="AH30" s="42">
        <f t="shared" si="112"/>
        <v>25.009584999999998</v>
      </c>
      <c r="AI30" s="42">
        <f t="shared" si="113"/>
        <v>0.77452218899719072</v>
      </c>
      <c r="AJ30" s="42">
        <v>1</v>
      </c>
      <c r="AK30" s="42">
        <v>0</v>
      </c>
      <c r="AL30" s="42">
        <f t="shared" si="114"/>
        <v>4409.6120000000001</v>
      </c>
      <c r="AM30" s="42">
        <f t="shared" si="115"/>
        <v>11.814526979445093</v>
      </c>
      <c r="AN30" s="43">
        <v>0.999857</v>
      </c>
      <c r="AO30" s="42">
        <f t="shared" si="21"/>
        <v>4409.6120000000001</v>
      </c>
      <c r="AP30" s="42">
        <f t="shared" si="22"/>
        <v>11.814526979445093</v>
      </c>
      <c r="AQ30" s="42">
        <f t="shared" si="23"/>
        <v>300.97402928618794</v>
      </c>
      <c r="AR30" s="42">
        <f t="shared" si="24"/>
        <v>2.8480399577648132</v>
      </c>
      <c r="AS30" s="42">
        <f t="shared" si="25"/>
        <v>38.819500789812942</v>
      </c>
      <c r="AT30" s="42">
        <f t="shared" si="26"/>
        <v>1.5072043312371417</v>
      </c>
      <c r="AU30" s="42">
        <f t="shared" si="0"/>
        <v>56.399178329641131</v>
      </c>
      <c r="AV30" s="42">
        <f t="shared" si="27"/>
        <v>1.8795997646318219</v>
      </c>
      <c r="AW30" s="42">
        <f t="shared" si="28"/>
        <v>25.023892528596583</v>
      </c>
      <c r="AX30" s="42">
        <f t="shared" si="29"/>
        <v>0.77452218899719072</v>
      </c>
      <c r="AY30" s="44">
        <v>106.32550000000001</v>
      </c>
      <c r="AZ30" s="44">
        <v>1.0016719999999999</v>
      </c>
      <c r="BA30" s="42">
        <f t="shared" ref="BA30:BA64" si="116">AO30</f>
        <v>4409.6120000000001</v>
      </c>
      <c r="BB30" s="42">
        <f t="shared" ref="BB30:BB64" si="117">AP30</f>
        <v>11.814526979445093</v>
      </c>
      <c r="BC30" s="42">
        <f t="shared" ref="BC30:BC64" si="118">AQ30*AZ30</f>
        <v>301.47725786315442</v>
      </c>
      <c r="BD30" s="42">
        <f t="shared" ref="BD30:BD64" si="119">AR30*AZ30</f>
        <v>2.8528018805741957</v>
      </c>
      <c r="BE30" s="42">
        <f t="shared" ref="BE30:BE64" si="120">AS30</f>
        <v>38.819500789812942</v>
      </c>
      <c r="BF30" s="42">
        <f t="shared" ref="BF30:BF64" si="121">AT30</f>
        <v>1.5072043312371417</v>
      </c>
      <c r="BG30" s="42">
        <f t="shared" ref="BG30:BG64" si="122">AU30*AY30</f>
        <v>5996.6708354882585</v>
      </c>
      <c r="BH30" s="42">
        <f t="shared" ref="BH30:BH64" si="123">AV30*AY30</f>
        <v>199.8493847743608</v>
      </c>
      <c r="BI30" s="42">
        <f t="shared" ref="BI30:BI64" si="124">AW30</f>
        <v>25.023892528596583</v>
      </c>
      <c r="BJ30" s="42">
        <f t="shared" ref="BJ30:BJ64" si="125">AX30</f>
        <v>0.77452218899719072</v>
      </c>
      <c r="BL30" s="45">
        <f t="shared" si="40"/>
        <v>4409.5980023040693</v>
      </c>
      <c r="BM30" s="45">
        <f t="shared" si="41"/>
        <v>11.814528111157339</v>
      </c>
      <c r="BN30" s="141">
        <f t="shared" si="42"/>
        <v>297.48785265642914</v>
      </c>
      <c r="BO30" s="45">
        <f t="shared" si="43"/>
        <v>2.8604135877295773</v>
      </c>
      <c r="BP30" s="45">
        <f t="shared" si="44"/>
        <v>5996.6708354882585</v>
      </c>
      <c r="BQ30" s="45">
        <f t="shared" si="45"/>
        <v>199.8493847743608</v>
      </c>
      <c r="BR30" s="45">
        <f t="shared" si="46"/>
        <v>35.163574905559983</v>
      </c>
      <c r="BS30" s="45">
        <f t="shared" si="47"/>
        <v>1.5077144788301087</v>
      </c>
      <c r="BT30" s="45">
        <f t="shared" si="48"/>
        <v>23.371449913169439</v>
      </c>
      <c r="BU30" s="45">
        <f t="shared" si="49"/>
        <v>0.77658749432793583</v>
      </c>
      <c r="BV30" s="41">
        <f t="shared" si="50"/>
        <v>1.5045525646119999</v>
      </c>
      <c r="BW30" s="46">
        <f t="shared" si="51"/>
        <v>5.4245314700370049E-2</v>
      </c>
      <c r="BY30" s="41">
        <f t="shared" si="101"/>
        <v>2.6199139237250632E-2</v>
      </c>
      <c r="BZ30" s="42">
        <v>0</v>
      </c>
      <c r="CA30" s="42">
        <f t="shared" si="52"/>
        <v>0.92125539503025822</v>
      </c>
      <c r="CB30" s="42">
        <f t="shared" si="53"/>
        <v>3.9500821560888785E-2</v>
      </c>
      <c r="CC30" s="42">
        <f t="shared" si="54"/>
        <v>0.61231187045155533</v>
      </c>
      <c r="CD30" s="42">
        <f t="shared" si="55"/>
        <v>2.0345923893805178E-2</v>
      </c>
      <c r="CE30" s="42">
        <f t="shared" si="56"/>
        <v>34.242319510529725</v>
      </c>
      <c r="CF30" s="42">
        <f t="shared" si="57"/>
        <v>1.5082318338299092</v>
      </c>
      <c r="CG30" s="42">
        <f t="shared" si="58"/>
        <v>22.759138042717883</v>
      </c>
      <c r="CH30" s="42">
        <f t="shared" si="59"/>
        <v>0.77685397145514701</v>
      </c>
      <c r="CI30" s="44">
        <f t="shared" si="60"/>
        <v>1.5045525646119999</v>
      </c>
      <c r="CJ30" s="44">
        <f t="shared" si="61"/>
        <v>8.1614927350626781E-2</v>
      </c>
      <c r="CL30" s="47">
        <f t="shared" si="62"/>
        <v>7201.5556370843642</v>
      </c>
      <c r="CM30" s="42">
        <v>1</v>
      </c>
      <c r="CN30" s="42">
        <v>1</v>
      </c>
      <c r="CO30" s="141">
        <f t="shared" si="63"/>
        <v>4408.9856904336175</v>
      </c>
      <c r="CP30" s="45">
        <f t="shared" si="64"/>
        <v>11.856790815644262</v>
      </c>
      <c r="CQ30" s="42">
        <v>2</v>
      </c>
      <c r="CR30" s="41">
        <f t="shared" si="65"/>
        <v>99.986114111306023</v>
      </c>
      <c r="CS30" s="41">
        <f t="shared" si="66"/>
        <v>14.820725118902878</v>
      </c>
      <c r="CT30" s="42">
        <f t="shared" si="67"/>
        <v>0.14797333526559273</v>
      </c>
      <c r="CU30" s="41">
        <f t="shared" si="68"/>
        <v>603.1362973579412</v>
      </c>
      <c r="CV30" s="41">
        <f t="shared" si="69"/>
        <v>5.2237854526914269</v>
      </c>
      <c r="CW30" s="41">
        <f t="shared" si="70"/>
        <v>10.447570905382854</v>
      </c>
      <c r="CX30" s="41">
        <f t="shared" si="71"/>
        <v>1.7322072889906954</v>
      </c>
      <c r="CY30" s="41">
        <f t="shared" si="72"/>
        <v>5.1186306254984544</v>
      </c>
      <c r="CZ30" s="41">
        <f t="shared" si="73"/>
        <v>10.237261250996909</v>
      </c>
      <c r="DA30" s="41">
        <f t="shared" si="74"/>
        <v>37.493321674850954</v>
      </c>
      <c r="DB30" s="41">
        <f t="shared" si="75"/>
        <v>0.40214956736008189</v>
      </c>
      <c r="DC30" s="151"/>
      <c r="DD30" s="151"/>
      <c r="DE30" s="153">
        <f t="shared" ref="DE30" si="126">CU30</f>
        <v>603.1362973579412</v>
      </c>
      <c r="DF30" s="153">
        <f t="shared" ref="DF30" si="127">CW30</f>
        <v>10.447570905382854</v>
      </c>
      <c r="DG30" s="128"/>
      <c r="DH30" s="128"/>
      <c r="DI30" s="41">
        <f t="shared" si="78"/>
        <v>37.493321674850954</v>
      </c>
      <c r="DJ30" s="41">
        <f t="shared" si="79"/>
        <v>0.40214956736008189</v>
      </c>
      <c r="DK30" s="42" t="str">
        <f t="shared" si="80"/>
        <v>1176-09</v>
      </c>
      <c r="DL30" s="48">
        <f t="shared" si="81"/>
        <v>6.7463712678794779E-2</v>
      </c>
      <c r="DM30" s="48">
        <f t="shared" si="82"/>
        <v>6.7339171248305667E-4</v>
      </c>
      <c r="DN30" s="48">
        <f t="shared" si="83"/>
        <v>1.3885888693971986E-4</v>
      </c>
      <c r="DO30" s="48">
        <f t="shared" si="84"/>
        <v>4.6289838713366284E-6</v>
      </c>
      <c r="DP30" s="48">
        <v>6.7463712678794779E-2</v>
      </c>
      <c r="DQ30" s="48">
        <f t="shared" si="85"/>
        <v>485.84368034061441</v>
      </c>
      <c r="DR30" s="48">
        <f t="shared" si="86"/>
        <v>16.80594540945555</v>
      </c>
      <c r="DS30" s="48">
        <f t="shared" si="87"/>
        <v>7201.5556370843642</v>
      </c>
      <c r="DT30" s="48">
        <f t="shared" si="88"/>
        <v>240.07022976547671</v>
      </c>
      <c r="DU30" s="48">
        <f t="shared" si="89"/>
        <v>0.95748305135902223</v>
      </c>
      <c r="DV30" s="48">
        <f t="shared" si="90"/>
        <v>1.1041027041017626E-3</v>
      </c>
      <c r="DW30" s="48"/>
      <c r="DX30" s="45">
        <f t="shared" si="91"/>
        <v>3.4591260706886763E-2</v>
      </c>
      <c r="DY30" s="45">
        <f t="shared" si="92"/>
        <v>3.3335884892596902E-2</v>
      </c>
      <c r="EA30" s="48">
        <f t="shared" si="93"/>
        <v>256.5810361688014</v>
      </c>
      <c r="EB30" s="48">
        <f t="shared" si="94"/>
        <v>12.075056685075849</v>
      </c>
      <c r="EC30" s="48">
        <f t="shared" si="95"/>
        <v>1.5045525646119999</v>
      </c>
      <c r="ED30" s="48">
        <f t="shared" si="96"/>
        <v>8.1614927350626781E-2</v>
      </c>
      <c r="EE30" s="48">
        <f t="shared" si="97"/>
        <v>0.43249651957803664</v>
      </c>
      <c r="EF30" s="48">
        <f t="shared" si="98"/>
        <v>1.1041027041017626E-3</v>
      </c>
      <c r="EH30" s="48">
        <f t="shared" si="99"/>
        <v>4.7061376262943384E-2</v>
      </c>
      <c r="EI30" s="48">
        <f t="shared" si="100"/>
        <v>5.4245314700370049E-2</v>
      </c>
      <c r="EJ30" s="48"/>
      <c r="EK30" s="163">
        <v>1.93</v>
      </c>
      <c r="EL30" s="48"/>
      <c r="EN30" s="48"/>
      <c r="EO30" s="48"/>
      <c r="EP30" s="48"/>
      <c r="ER30" s="41"/>
    </row>
    <row r="31" spans="1:148" s="42" customFormat="1" x14ac:dyDescent="0.2">
      <c r="A31" s="42" t="s">
        <v>105</v>
      </c>
      <c r="B31" s="42" t="s">
        <v>96</v>
      </c>
      <c r="C31" s="42" t="s">
        <v>71</v>
      </c>
      <c r="D31" s="41">
        <v>6578.9</v>
      </c>
      <c r="E31" s="41">
        <v>12</v>
      </c>
      <c r="F31" s="41">
        <v>456.31</v>
      </c>
      <c r="G31" s="41">
        <v>3.7</v>
      </c>
      <c r="H31" s="41">
        <v>21.288</v>
      </c>
      <c r="I31" s="41">
        <v>0.88</v>
      </c>
      <c r="J31" s="41">
        <v>96.188999999999993</v>
      </c>
      <c r="K31" s="41">
        <v>0.72</v>
      </c>
      <c r="L31" s="41">
        <v>22.776</v>
      </c>
      <c r="M31" s="41">
        <v>0.43</v>
      </c>
      <c r="N31" s="42" t="s">
        <v>225</v>
      </c>
      <c r="O31" s="42">
        <v>1756.13</v>
      </c>
      <c r="P31" s="42">
        <v>5.1269780000000003</v>
      </c>
      <c r="Q31" s="42">
        <v>71.183520000000001</v>
      </c>
      <c r="R31" s="42">
        <v>0.43055199999999999</v>
      </c>
      <c r="S31" s="42">
        <v>2.5229300000000001</v>
      </c>
      <c r="T31" s="42">
        <v>0.14816599999999999</v>
      </c>
      <c r="U31" s="42">
        <v>83.41601</v>
      </c>
      <c r="V31" s="42">
        <v>0.46031300000000003</v>
      </c>
      <c r="W31" s="42">
        <v>8.3899709999999992</v>
      </c>
      <c r="X31" s="42">
        <v>0.55619300000000005</v>
      </c>
      <c r="Y31" s="42">
        <f t="shared" si="104"/>
        <v>4822.7699999999995</v>
      </c>
      <c r="Z31" s="42">
        <f t="shared" si="105"/>
        <v>13.049364099927782</v>
      </c>
      <c r="AA31" s="42">
        <f t="shared" si="106"/>
        <v>385.12648000000002</v>
      </c>
      <c r="AB31" s="42">
        <f t="shared" si="107"/>
        <v>3.7249664461178709</v>
      </c>
      <c r="AC31" s="42">
        <f t="shared" si="108"/>
        <v>18.765070000000001</v>
      </c>
      <c r="AD31" s="42">
        <f t="shared" si="109"/>
        <v>0.8923862188290449</v>
      </c>
      <c r="AE31" s="42">
        <f t="shared" si="110"/>
        <v>12.772989999999993</v>
      </c>
      <c r="AG31" s="42">
        <f t="shared" si="111"/>
        <v>0.85456893108104504</v>
      </c>
      <c r="AH31" s="42">
        <f t="shared" si="112"/>
        <v>14.386029000000001</v>
      </c>
      <c r="AI31" s="42">
        <f t="shared" si="113"/>
        <v>0.70302962473070796</v>
      </c>
      <c r="AJ31" s="42">
        <v>1</v>
      </c>
      <c r="AK31" s="42">
        <v>0</v>
      </c>
      <c r="AL31" s="42">
        <f t="shared" si="114"/>
        <v>4822.7699999999995</v>
      </c>
      <c r="AM31" s="42">
        <f t="shared" si="115"/>
        <v>13.049364099927782</v>
      </c>
      <c r="AN31" s="43">
        <v>0.999857</v>
      </c>
      <c r="AO31" s="42">
        <f t="shared" si="21"/>
        <v>4822.7699999999995</v>
      </c>
      <c r="AP31" s="42">
        <f t="shared" si="22"/>
        <v>13.049364099927782</v>
      </c>
      <c r="AQ31" s="42">
        <f t="shared" si="23"/>
        <v>385.18156096321775</v>
      </c>
      <c r="AR31" s="42">
        <f t="shared" si="24"/>
        <v>3.7249664461178709</v>
      </c>
      <c r="AS31" s="42">
        <f t="shared" si="25"/>
        <v>18.770437577583596</v>
      </c>
      <c r="AT31" s="42">
        <f t="shared" si="26"/>
        <v>0.8923862188290449</v>
      </c>
      <c r="AU31" s="42">
        <f t="shared" si="0"/>
        <v>12.778470396406679</v>
      </c>
      <c r="AV31" s="42">
        <f t="shared" si="27"/>
        <v>0.85456893108104504</v>
      </c>
      <c r="AW31" s="42">
        <f t="shared" si="28"/>
        <v>14.394258985475922</v>
      </c>
      <c r="AX31" s="42">
        <f t="shared" si="29"/>
        <v>0.70302962473070796</v>
      </c>
      <c r="AY31" s="44">
        <v>106.4847</v>
      </c>
      <c r="AZ31" s="44">
        <v>1.001673</v>
      </c>
      <c r="BA31" s="42">
        <f t="shared" si="116"/>
        <v>4822.7699999999995</v>
      </c>
      <c r="BB31" s="42">
        <f t="shared" si="117"/>
        <v>13.049364099927782</v>
      </c>
      <c r="BC31" s="42">
        <f t="shared" si="118"/>
        <v>385.82596971470923</v>
      </c>
      <c r="BD31" s="42">
        <f t="shared" si="119"/>
        <v>3.7311983149822261</v>
      </c>
      <c r="BE31" s="42">
        <f t="shared" si="120"/>
        <v>18.770437577583596</v>
      </c>
      <c r="BF31" s="42">
        <f t="shared" si="121"/>
        <v>0.8923862188290449</v>
      </c>
      <c r="BG31" s="42">
        <f t="shared" si="122"/>
        <v>1360.7115866202464</v>
      </c>
      <c r="BH31" s="42">
        <f t="shared" si="123"/>
        <v>90.998516255485754</v>
      </c>
      <c r="BI31" s="42">
        <f t="shared" si="124"/>
        <v>14.394258985475922</v>
      </c>
      <c r="BJ31" s="42">
        <f t="shared" si="125"/>
        <v>0.70302962473070796</v>
      </c>
      <c r="BL31" s="45">
        <f t="shared" si="40"/>
        <v>4822.7518883249322</v>
      </c>
      <c r="BM31" s="45">
        <f t="shared" si="41"/>
        <v>13.049365815353964</v>
      </c>
      <c r="BN31" s="141">
        <f t="shared" si="42"/>
        <v>384.9207291174784</v>
      </c>
      <c r="BO31" s="45">
        <f t="shared" si="43"/>
        <v>3.7318674601261335</v>
      </c>
      <c r="BP31" s="45">
        <f t="shared" si="44"/>
        <v>1360.7115866202464</v>
      </c>
      <c r="BQ31" s="45">
        <f t="shared" si="45"/>
        <v>90.998516255485754</v>
      </c>
      <c r="BR31" s="45">
        <f t="shared" si="46"/>
        <v>14.180740490533406</v>
      </c>
      <c r="BS31" s="45">
        <f t="shared" si="47"/>
        <v>0.89373533690031404</v>
      </c>
      <c r="BT31" s="45">
        <f t="shared" si="48"/>
        <v>14.019301300666847</v>
      </c>
      <c r="BU31" s="45">
        <f t="shared" si="49"/>
        <v>0.70348292693554837</v>
      </c>
      <c r="BV31" s="41">
        <f t="shared" si="50"/>
        <v>1.0115154947029266</v>
      </c>
      <c r="BW31" s="46">
        <f t="shared" si="51"/>
        <v>8.0561101060979592E-2</v>
      </c>
      <c r="BY31" s="41">
        <f t="shared" si="101"/>
        <v>0.3906019994804682</v>
      </c>
      <c r="BZ31" s="42">
        <v>0</v>
      </c>
      <c r="CA31" s="42">
        <f t="shared" si="52"/>
        <v>5.5390255897159841</v>
      </c>
      <c r="CB31" s="42">
        <f t="shared" si="53"/>
        <v>0.34909480959961253</v>
      </c>
      <c r="CC31" s="42">
        <f t="shared" si="54"/>
        <v>5.4759671193595985</v>
      </c>
      <c r="CD31" s="42">
        <f t="shared" si="55"/>
        <v>0.27478183786139732</v>
      </c>
      <c r="CE31" s="42">
        <f t="shared" si="56"/>
        <v>8.6417149008174228</v>
      </c>
      <c r="CF31" s="42">
        <f t="shared" si="57"/>
        <v>0.95949467873131411</v>
      </c>
      <c r="CG31" s="42">
        <f t="shared" si="58"/>
        <v>8.5433341813072481</v>
      </c>
      <c r="CH31" s="42">
        <f t="shared" si="59"/>
        <v>0.7552438592324292</v>
      </c>
      <c r="CI31" s="44">
        <f t="shared" si="60"/>
        <v>1.0115154947029266</v>
      </c>
      <c r="CJ31" s="44">
        <f t="shared" si="61"/>
        <v>8.1488801993509233E-2</v>
      </c>
      <c r="CL31" s="47">
        <f t="shared" si="62"/>
        <v>880.71235330736272</v>
      </c>
      <c r="CM31" s="42">
        <v>1</v>
      </c>
      <c r="CN31" s="42">
        <v>1</v>
      </c>
      <c r="CO31" s="141">
        <f t="shared" si="63"/>
        <v>4817.2759212055726</v>
      </c>
      <c r="CP31" s="45">
        <f t="shared" si="64"/>
        <v>13.090510045118453</v>
      </c>
      <c r="CQ31" s="42">
        <v>2</v>
      </c>
      <c r="CR31" s="41">
        <f t="shared" si="65"/>
        <v>99.886455549732588</v>
      </c>
      <c r="CS31" s="41">
        <f t="shared" si="66"/>
        <v>12.514981804825929</v>
      </c>
      <c r="CT31" s="42">
        <f t="shared" si="67"/>
        <v>0.12601064798505418</v>
      </c>
      <c r="CU31" s="41">
        <f t="shared" si="68"/>
        <v>521.56015255342584</v>
      </c>
      <c r="CV31" s="41">
        <f t="shared" si="69"/>
        <v>4.6526681767922877</v>
      </c>
      <c r="CW31" s="41">
        <f t="shared" si="70"/>
        <v>9.3053363535845754</v>
      </c>
      <c r="CX31" s="41">
        <f t="shared" si="71"/>
        <v>1.7841348323923933</v>
      </c>
      <c r="CY31" s="41">
        <f t="shared" si="72"/>
        <v>4.560530366370557</v>
      </c>
      <c r="CZ31" s="41">
        <f t="shared" si="73"/>
        <v>9.121060732741114</v>
      </c>
      <c r="DA31" s="41">
        <f t="shared" si="74"/>
        <v>6.5751812247586612</v>
      </c>
      <c r="DB31" s="41">
        <f t="shared" si="75"/>
        <v>9.3153981145180031E-2</v>
      </c>
      <c r="DC31" s="151"/>
      <c r="DD31" s="151"/>
      <c r="DE31" s="151">
        <f t="shared" ref="DE31:DE37" si="128">CU31</f>
        <v>521.56015255342584</v>
      </c>
      <c r="DF31" s="151">
        <f t="shared" ref="DF31:DF37" si="129">CW31</f>
        <v>9.3053363535845754</v>
      </c>
      <c r="DG31" s="47"/>
      <c r="DH31" s="47"/>
      <c r="DI31" s="41">
        <f t="shared" si="78"/>
        <v>6.5751812247586612</v>
      </c>
      <c r="DJ31" s="41">
        <f t="shared" si="79"/>
        <v>9.3153981145180031E-2</v>
      </c>
      <c r="DK31" s="42" t="str">
        <f t="shared" si="80"/>
        <v>1176-10</v>
      </c>
      <c r="DL31" s="48">
        <f t="shared" si="81"/>
        <v>7.9813504412139982E-2</v>
      </c>
      <c r="DM31" s="48">
        <f t="shared" si="82"/>
        <v>8.0337519893927418E-4</v>
      </c>
      <c r="DN31" s="48">
        <f t="shared" si="83"/>
        <v>1.1354445026740831E-3</v>
      </c>
      <c r="DO31" s="48">
        <f t="shared" si="84"/>
        <v>5.7058922383726508E-5</v>
      </c>
      <c r="DP31" s="48">
        <v>7.9813504412139982E-2</v>
      </c>
      <c r="DQ31" s="48">
        <f t="shared" si="85"/>
        <v>70.292739296523379</v>
      </c>
      <c r="DR31" s="48">
        <f t="shared" si="86"/>
        <v>3.5924942638387924</v>
      </c>
      <c r="DS31" s="48">
        <f t="shared" si="87"/>
        <v>880.71235330736272</v>
      </c>
      <c r="DT31" s="48">
        <f t="shared" si="88"/>
        <v>44.257995605601479</v>
      </c>
      <c r="DU31" s="48">
        <f t="shared" si="89"/>
        <v>0.980417638142554</v>
      </c>
      <c r="DV31" s="48">
        <f t="shared" si="90"/>
        <v>2.5179922231486707E-3</v>
      </c>
      <c r="DW31" s="48"/>
      <c r="DX31" s="45">
        <f t="shared" si="91"/>
        <v>5.1107615093561654E-2</v>
      </c>
      <c r="DY31" s="45">
        <f t="shared" si="92"/>
        <v>5.0252497809753938E-2</v>
      </c>
      <c r="EA31" s="48">
        <f t="shared" si="93"/>
        <v>97.059871775173448</v>
      </c>
      <c r="EB31" s="48">
        <f t="shared" si="94"/>
        <v>8.1150116465408164</v>
      </c>
      <c r="EC31" s="48">
        <f t="shared" si="95"/>
        <v>1.0115154947029266</v>
      </c>
      <c r="ED31" s="48">
        <f t="shared" si="96"/>
        <v>8.1488801993509233E-2</v>
      </c>
      <c r="EE31" s="48">
        <f t="shared" si="97"/>
        <v>0.37383465357804591</v>
      </c>
      <c r="EF31" s="48">
        <f t="shared" si="98"/>
        <v>2.5179922231486698E-3</v>
      </c>
      <c r="EH31" s="48">
        <f t="shared" si="99"/>
        <v>8.360830792501131E-2</v>
      </c>
      <c r="EI31" s="48">
        <f t="shared" si="100"/>
        <v>8.0561101060979592E-2</v>
      </c>
      <c r="EJ31" s="48"/>
      <c r="EK31" s="163">
        <v>2.1680000000000001</v>
      </c>
      <c r="EL31" s="48"/>
      <c r="EN31" s="48"/>
      <c r="EO31" s="48"/>
      <c r="EP31" s="48"/>
      <c r="ER31" s="41"/>
    </row>
    <row r="32" spans="1:148" s="42" customFormat="1" x14ac:dyDescent="0.2">
      <c r="A32" s="42" t="s">
        <v>106</v>
      </c>
      <c r="B32" s="42" t="s">
        <v>96</v>
      </c>
      <c r="C32" s="42" t="s">
        <v>71</v>
      </c>
      <c r="D32" s="41">
        <v>5360.8</v>
      </c>
      <c r="E32" s="41">
        <v>10</v>
      </c>
      <c r="F32" s="41">
        <v>355.88</v>
      </c>
      <c r="G32" s="41">
        <v>2.8</v>
      </c>
      <c r="H32" s="41">
        <v>15.694000000000001</v>
      </c>
      <c r="I32" s="41">
        <v>0.36</v>
      </c>
      <c r="J32" s="41">
        <v>93.957999999999998</v>
      </c>
      <c r="K32" s="41">
        <v>0.62</v>
      </c>
      <c r="L32" s="41">
        <v>16.89</v>
      </c>
      <c r="M32" s="41">
        <v>0.84</v>
      </c>
      <c r="N32" s="42" t="s">
        <v>225</v>
      </c>
      <c r="O32" s="42">
        <v>1755.633</v>
      </c>
      <c r="P32" s="42">
        <v>5.4678690000000003</v>
      </c>
      <c r="Q32" s="42">
        <v>70.863349999999997</v>
      </c>
      <c r="R32" s="42">
        <v>0.42353800000000003</v>
      </c>
      <c r="S32" s="42">
        <v>2.581286</v>
      </c>
      <c r="T32" s="42">
        <v>0.13438700000000001</v>
      </c>
      <c r="U32" s="42">
        <v>83.202340000000007</v>
      </c>
      <c r="V32" s="42">
        <v>0.50253300000000001</v>
      </c>
      <c r="W32" s="42">
        <v>8.3399809999999999</v>
      </c>
      <c r="X32" s="42">
        <v>0.56536600000000004</v>
      </c>
      <c r="Y32" s="42">
        <f t="shared" si="104"/>
        <v>3605.1670000000004</v>
      </c>
      <c r="Z32" s="42">
        <f t="shared" si="105"/>
        <v>11.397262452061065</v>
      </c>
      <c r="AA32" s="42">
        <f t="shared" si="106"/>
        <v>285.01665000000003</v>
      </c>
      <c r="AB32" s="42">
        <f t="shared" si="107"/>
        <v>2.8318517682682476</v>
      </c>
      <c r="AC32" s="42">
        <f t="shared" si="108"/>
        <v>13.112714</v>
      </c>
      <c r="AD32" s="42">
        <f t="shared" si="109"/>
        <v>0.38426535853365706</v>
      </c>
      <c r="AE32" s="42">
        <f t="shared" si="110"/>
        <v>10.755659999999992</v>
      </c>
      <c r="AG32" s="42">
        <f t="shared" si="111"/>
        <v>0.79808484266335999</v>
      </c>
      <c r="AH32" s="42">
        <f t="shared" si="112"/>
        <v>8.5500190000000007</v>
      </c>
      <c r="AI32" s="42">
        <f t="shared" si="113"/>
        <v>1.0125407221223253</v>
      </c>
      <c r="AJ32" s="42">
        <v>1</v>
      </c>
      <c r="AK32" s="42">
        <v>0</v>
      </c>
      <c r="AL32" s="42">
        <f t="shared" si="114"/>
        <v>3605.1670000000004</v>
      </c>
      <c r="AM32" s="42">
        <f t="shared" si="115"/>
        <v>11.397262452061065</v>
      </c>
      <c r="AN32" s="43">
        <v>0.999857</v>
      </c>
      <c r="AO32" s="42">
        <f t="shared" si="21"/>
        <v>3605.1670000000004</v>
      </c>
      <c r="AP32" s="42">
        <f t="shared" si="22"/>
        <v>11.397262452061065</v>
      </c>
      <c r="AQ32" s="42">
        <f t="shared" si="23"/>
        <v>285.05741321008907</v>
      </c>
      <c r="AR32" s="42">
        <f t="shared" si="24"/>
        <v>2.8318517682682476</v>
      </c>
      <c r="AS32" s="42">
        <f t="shared" si="25"/>
        <v>13.116464772564477</v>
      </c>
      <c r="AT32" s="42">
        <f t="shared" si="26"/>
        <v>0.38426535853365706</v>
      </c>
      <c r="AU32" s="42">
        <f t="shared" si="0"/>
        <v>10.760274838061834</v>
      </c>
      <c r="AV32" s="42">
        <f t="shared" si="27"/>
        <v>0.79808484266335999</v>
      </c>
      <c r="AW32" s="42">
        <f t="shared" si="28"/>
        <v>8.5549103103253756</v>
      </c>
      <c r="AX32" s="42">
        <f t="shared" si="29"/>
        <v>1.0125407221223253</v>
      </c>
      <c r="AY32" s="44">
        <v>106.5247</v>
      </c>
      <c r="AZ32" s="44">
        <v>1.001673</v>
      </c>
      <c r="BA32" s="42">
        <f t="shared" si="116"/>
        <v>3605.1670000000004</v>
      </c>
      <c r="BB32" s="42">
        <f t="shared" si="117"/>
        <v>11.397262452061065</v>
      </c>
      <c r="BC32" s="42">
        <f t="shared" si="118"/>
        <v>285.53431426238956</v>
      </c>
      <c r="BD32" s="42">
        <f t="shared" si="119"/>
        <v>2.8365894562765606</v>
      </c>
      <c r="BE32" s="42">
        <f t="shared" si="120"/>
        <v>13.116464772564477</v>
      </c>
      <c r="BF32" s="42">
        <f t="shared" si="121"/>
        <v>0.38426535853365706</v>
      </c>
      <c r="BG32" s="42">
        <f t="shared" si="122"/>
        <v>1146.2350490420854</v>
      </c>
      <c r="BH32" s="42">
        <f t="shared" si="123"/>
        <v>85.015748439261614</v>
      </c>
      <c r="BI32" s="42">
        <f t="shared" si="124"/>
        <v>8.5549103103253756</v>
      </c>
      <c r="BJ32" s="42">
        <f t="shared" si="125"/>
        <v>1.0125407221223253</v>
      </c>
      <c r="BL32" s="45">
        <f t="shared" si="40"/>
        <v>3605.153600634449</v>
      </c>
      <c r="BM32" s="45">
        <f t="shared" si="41"/>
        <v>11.397263527111555</v>
      </c>
      <c r="BN32" s="141">
        <f t="shared" si="42"/>
        <v>284.77175847131332</v>
      </c>
      <c r="BO32" s="45">
        <f t="shared" si="43"/>
        <v>2.8373194442088421</v>
      </c>
      <c r="BP32" s="45">
        <f t="shared" si="44"/>
        <v>1146.2350490420854</v>
      </c>
      <c r="BQ32" s="45">
        <f t="shared" si="45"/>
        <v>85.015748439261614</v>
      </c>
      <c r="BR32" s="45">
        <f t="shared" si="46"/>
        <v>9.7178493742797176</v>
      </c>
      <c r="BS32" s="45">
        <f t="shared" si="47"/>
        <v>0.38605824597856986</v>
      </c>
      <c r="BT32" s="45">
        <f t="shared" si="48"/>
        <v>8.2390537802113393</v>
      </c>
      <c r="BU32" s="45">
        <f t="shared" si="49"/>
        <v>1.0128147778670507</v>
      </c>
      <c r="BV32" s="41">
        <f t="shared" si="50"/>
        <v>1.1794860955538569</v>
      </c>
      <c r="BW32" s="46">
        <f t="shared" si="51"/>
        <v>0.12918837302081962</v>
      </c>
      <c r="BY32" s="41">
        <f t="shared" si="101"/>
        <v>0.26645521392915239</v>
      </c>
      <c r="BZ32" s="42">
        <v>0</v>
      </c>
      <c r="CA32" s="42">
        <f t="shared" si="52"/>
        <v>2.5893716339549817</v>
      </c>
      <c r="CB32" s="42">
        <f t="shared" si="53"/>
        <v>0.10286723252133316</v>
      </c>
      <c r="CC32" s="42">
        <f t="shared" si="54"/>
        <v>2.195338837580004</v>
      </c>
      <c r="CD32" s="42">
        <f t="shared" si="55"/>
        <v>0.2698697783071719</v>
      </c>
      <c r="CE32" s="42">
        <f t="shared" si="56"/>
        <v>7.1284777403247359</v>
      </c>
      <c r="CF32" s="42">
        <f t="shared" si="57"/>
        <v>0.39952801755902922</v>
      </c>
      <c r="CG32" s="42">
        <f t="shared" si="58"/>
        <v>6.0437149426313352</v>
      </c>
      <c r="CH32" s="42">
        <f t="shared" si="59"/>
        <v>1.0481524085310518</v>
      </c>
      <c r="CI32" s="44">
        <f t="shared" si="60"/>
        <v>1.1794860955538569</v>
      </c>
      <c r="CJ32" s="44">
        <f t="shared" si="61"/>
        <v>0.15237588968528176</v>
      </c>
      <c r="CL32" s="47">
        <f t="shared" si="62"/>
        <v>1642.185497254962</v>
      </c>
      <c r="CM32" s="42">
        <v>1</v>
      </c>
      <c r="CN32" s="42">
        <v>1</v>
      </c>
      <c r="CO32" s="141">
        <f t="shared" si="63"/>
        <v>3602.958261796869</v>
      </c>
      <c r="CP32" s="45">
        <f t="shared" si="64"/>
        <v>11.444231979633708</v>
      </c>
      <c r="CQ32" s="42">
        <v>2</v>
      </c>
      <c r="CR32" s="41">
        <f t="shared" si="65"/>
        <v>99.939105539436824</v>
      </c>
      <c r="CS32" s="41">
        <f t="shared" si="66"/>
        <v>12.652091208545231</v>
      </c>
      <c r="CT32" s="42">
        <f t="shared" si="67"/>
        <v>0.1323097908123978</v>
      </c>
      <c r="CU32" s="41">
        <f t="shared" si="68"/>
        <v>526.51555301798589</v>
      </c>
      <c r="CV32" s="41">
        <f t="shared" si="69"/>
        <v>4.8648748695277222</v>
      </c>
      <c r="CW32" s="41">
        <f t="shared" si="70"/>
        <v>9.7297497390554444</v>
      </c>
      <c r="CX32" s="41">
        <f t="shared" si="71"/>
        <v>1.847951059239284</v>
      </c>
      <c r="CY32" s="41">
        <f t="shared" si="72"/>
        <v>4.7753716745846813</v>
      </c>
      <c r="CZ32" s="41">
        <f t="shared" si="73"/>
        <v>9.5507433491693625</v>
      </c>
      <c r="DA32" s="41">
        <f t="shared" si="74"/>
        <v>7.4866875938227819</v>
      </c>
      <c r="DB32" s="41">
        <f t="shared" si="75"/>
        <v>0.1157787006920408</v>
      </c>
      <c r="DC32" s="151"/>
      <c r="DD32" s="151"/>
      <c r="DE32" s="151">
        <f t="shared" si="128"/>
        <v>526.51555301798589</v>
      </c>
      <c r="DF32" s="151">
        <f t="shared" si="129"/>
        <v>9.7297497390554444</v>
      </c>
      <c r="DG32" s="47"/>
      <c r="DH32" s="47"/>
      <c r="DI32" s="41">
        <f t="shared" si="78"/>
        <v>7.4866875938227819</v>
      </c>
      <c r="DJ32" s="41">
        <f t="shared" si="79"/>
        <v>0.1157787006920408</v>
      </c>
      <c r="DK32" s="42" t="str">
        <f t="shared" si="80"/>
        <v>1176-11</v>
      </c>
      <c r="DL32" s="48">
        <f t="shared" si="81"/>
        <v>7.8990187386523025E-2</v>
      </c>
      <c r="DM32" s="48">
        <f t="shared" si="82"/>
        <v>8.2568508688939167E-4</v>
      </c>
      <c r="DN32" s="48">
        <f t="shared" si="83"/>
        <v>6.0894460563168786E-4</v>
      </c>
      <c r="DO32" s="48">
        <f t="shared" si="84"/>
        <v>7.4881415917759587E-5</v>
      </c>
      <c r="DP32" s="48">
        <v>7.8990187386523025E-2</v>
      </c>
      <c r="DQ32" s="48">
        <f t="shared" si="85"/>
        <v>129.71654015159993</v>
      </c>
      <c r="DR32" s="48">
        <f t="shared" si="86"/>
        <v>15.998154346269532</v>
      </c>
      <c r="DS32" s="48">
        <f t="shared" si="87"/>
        <v>1642.185497254962</v>
      </c>
      <c r="DT32" s="48">
        <f t="shared" si="88"/>
        <v>201.93819617878009</v>
      </c>
      <c r="DU32" s="48">
        <f t="shared" si="89"/>
        <v>0.99640201552128471</v>
      </c>
      <c r="DV32" s="48">
        <f t="shared" si="90"/>
        <v>1.5111423728914391E-2</v>
      </c>
      <c r="DW32" s="48"/>
      <c r="DX32" s="45">
        <f t="shared" si="91"/>
        <v>0.12333164550621273</v>
      </c>
      <c r="DY32" s="45">
        <f t="shared" si="92"/>
        <v>0.12296917523406165</v>
      </c>
      <c r="EA32" s="48">
        <f t="shared" si="93"/>
        <v>139.12217101860978</v>
      </c>
      <c r="EB32" s="48">
        <f t="shared" si="94"/>
        <v>19.973868136075019</v>
      </c>
      <c r="EC32" s="48">
        <f t="shared" si="95"/>
        <v>1.1794860955538569</v>
      </c>
      <c r="ED32" s="48">
        <f t="shared" si="96"/>
        <v>0.15237588968528176</v>
      </c>
      <c r="EE32" s="48">
        <f t="shared" si="97"/>
        <v>0.81473452923673473</v>
      </c>
      <c r="EF32" s="48">
        <f t="shared" si="98"/>
        <v>1.5111423728914395E-2</v>
      </c>
      <c r="EH32" s="48">
        <f t="shared" si="99"/>
        <v>0.1435707047254402</v>
      </c>
      <c r="EI32" s="48">
        <f t="shared" si="100"/>
        <v>0.12918837302081962</v>
      </c>
      <c r="EJ32" s="48"/>
      <c r="EK32" s="163">
        <v>2.536</v>
      </c>
      <c r="EL32" s="48"/>
      <c r="EN32" s="48"/>
      <c r="EO32" s="48"/>
      <c r="EP32" s="48"/>
      <c r="ER32" s="41"/>
    </row>
    <row r="33" spans="1:148" s="42" customFormat="1" x14ac:dyDescent="0.2">
      <c r="A33" s="42" t="s">
        <v>107</v>
      </c>
      <c r="B33" s="42" t="s">
        <v>96</v>
      </c>
      <c r="C33" s="42" t="s">
        <v>71</v>
      </c>
      <c r="D33" s="41">
        <v>4538.1099999999997</v>
      </c>
      <c r="E33" s="41">
        <v>8.9</v>
      </c>
      <c r="F33" s="41">
        <v>311.43</v>
      </c>
      <c r="G33" s="41">
        <v>2.9</v>
      </c>
      <c r="H33" s="41">
        <v>100.87</v>
      </c>
      <c r="I33" s="41">
        <v>1.9</v>
      </c>
      <c r="J33" s="41">
        <v>121.55200000000001</v>
      </c>
      <c r="K33" s="41">
        <v>0.74</v>
      </c>
      <c r="L33" s="41">
        <v>334.13</v>
      </c>
      <c r="M33" s="41">
        <v>3.3</v>
      </c>
      <c r="N33" s="42" t="s">
        <v>225</v>
      </c>
      <c r="O33" s="42">
        <v>1755.1369999999999</v>
      </c>
      <c r="P33" s="42">
        <v>6.2760619999999996</v>
      </c>
      <c r="Q33" s="42">
        <v>70.543170000000003</v>
      </c>
      <c r="R33" s="42">
        <v>0.46345799999999998</v>
      </c>
      <c r="S33" s="42">
        <v>2.639643</v>
      </c>
      <c r="T33" s="42">
        <v>0.15091499999999999</v>
      </c>
      <c r="U33" s="42">
        <v>82.988669999999999</v>
      </c>
      <c r="V33" s="42">
        <v>0.58361799999999997</v>
      </c>
      <c r="W33" s="42">
        <v>8.2899899999999995</v>
      </c>
      <c r="X33" s="42">
        <v>0.63170800000000005</v>
      </c>
      <c r="Y33" s="42">
        <f t="shared" si="104"/>
        <v>2782.973</v>
      </c>
      <c r="Z33" s="42">
        <f t="shared" si="105"/>
        <v>10.890314698292423</v>
      </c>
      <c r="AA33" s="42">
        <f t="shared" si="106"/>
        <v>240.88683</v>
      </c>
      <c r="AB33" s="42">
        <f t="shared" si="107"/>
        <v>2.9367998429862392</v>
      </c>
      <c r="AC33" s="42">
        <f t="shared" si="108"/>
        <v>98.230356999999998</v>
      </c>
      <c r="AD33" s="42">
        <f t="shared" si="109"/>
        <v>1.9059840862989912</v>
      </c>
      <c r="AE33" s="42">
        <f t="shared" si="110"/>
        <v>38.563330000000008</v>
      </c>
      <c r="AG33" s="42">
        <f t="shared" si="111"/>
        <v>0.94244892165252114</v>
      </c>
      <c r="AH33" s="42">
        <f t="shared" si="112"/>
        <v>325.84001000000001</v>
      </c>
      <c r="AI33" s="42">
        <f t="shared" si="113"/>
        <v>3.3599188974235674</v>
      </c>
      <c r="AJ33" s="42">
        <v>1</v>
      </c>
      <c r="AK33" s="42">
        <v>0</v>
      </c>
      <c r="AL33" s="42">
        <f t="shared" si="114"/>
        <v>2782.973</v>
      </c>
      <c r="AM33" s="42">
        <f t="shared" si="115"/>
        <v>10.890314698292423</v>
      </c>
      <c r="AN33" s="43">
        <v>0.999857</v>
      </c>
      <c r="AO33" s="42">
        <f t="shared" si="21"/>
        <v>2782.973</v>
      </c>
      <c r="AP33" s="42">
        <f t="shared" si="22"/>
        <v>10.890314698292423</v>
      </c>
      <c r="AQ33" s="42">
        <f t="shared" si="23"/>
        <v>240.92128174328928</v>
      </c>
      <c r="AR33" s="42">
        <f t="shared" si="24"/>
        <v>2.9367998429862392</v>
      </c>
      <c r="AS33" s="42">
        <f t="shared" si="25"/>
        <v>98.258454900101711</v>
      </c>
      <c r="AT33" s="42">
        <f t="shared" si="26"/>
        <v>1.9059840862989912</v>
      </c>
      <c r="AU33" s="42">
        <f t="shared" si="0"/>
        <v>38.579876034652962</v>
      </c>
      <c r="AV33" s="42">
        <f t="shared" si="27"/>
        <v>0.94244892165252114</v>
      </c>
      <c r="AW33" s="42">
        <f t="shared" si="28"/>
        <v>326.02641714194129</v>
      </c>
      <c r="AX33" s="42">
        <f t="shared" si="29"/>
        <v>3.3599188974235674</v>
      </c>
      <c r="AY33" s="44">
        <v>106.5647</v>
      </c>
      <c r="AZ33" s="44">
        <v>1.001673</v>
      </c>
      <c r="BA33" s="42">
        <f t="shared" si="116"/>
        <v>2782.973</v>
      </c>
      <c r="BB33" s="42">
        <f t="shared" si="117"/>
        <v>10.890314698292423</v>
      </c>
      <c r="BC33" s="42">
        <f t="shared" si="118"/>
        <v>241.32434304764581</v>
      </c>
      <c r="BD33" s="42">
        <f t="shared" si="119"/>
        <v>2.9417131091235551</v>
      </c>
      <c r="BE33" s="42">
        <f t="shared" si="120"/>
        <v>98.258454900101711</v>
      </c>
      <c r="BF33" s="42">
        <f t="shared" si="121"/>
        <v>1.9059840862989912</v>
      </c>
      <c r="BG33" s="42">
        <f t="shared" si="122"/>
        <v>4111.2529156699829</v>
      </c>
      <c r="BH33" s="42">
        <f t="shared" si="123"/>
        <v>100.43178660122442</v>
      </c>
      <c r="BI33" s="42">
        <f t="shared" si="124"/>
        <v>326.02641714194129</v>
      </c>
      <c r="BJ33" s="42">
        <f t="shared" si="125"/>
        <v>3.3599188974235674</v>
      </c>
      <c r="BL33" s="45">
        <f t="shared" si="40"/>
        <v>2782.961773660028</v>
      </c>
      <c r="BM33" s="45">
        <f t="shared" si="41"/>
        <v>10.890315488362534</v>
      </c>
      <c r="BN33" s="141">
        <f t="shared" si="42"/>
        <v>238.58924982043806</v>
      </c>
      <c r="BO33" s="45">
        <f t="shared" si="43"/>
        <v>2.9445325586295117</v>
      </c>
      <c r="BP33" s="45">
        <f t="shared" si="44"/>
        <v>4111.2529156699829</v>
      </c>
      <c r="BQ33" s="45">
        <f t="shared" si="45"/>
        <v>100.43178660122442</v>
      </c>
      <c r="BR33" s="45">
        <f t="shared" si="46"/>
        <v>95.341707861354479</v>
      </c>
      <c r="BS33" s="45">
        <f t="shared" si="47"/>
        <v>1.9063622996380858</v>
      </c>
      <c r="BT33" s="45">
        <f t="shared" si="48"/>
        <v>324.89352028849925</v>
      </c>
      <c r="BU33" s="45">
        <f t="shared" si="49"/>
        <v>3.3600448155659239</v>
      </c>
      <c r="BV33" s="41">
        <f t="shared" si="50"/>
        <v>0.29345524581928523</v>
      </c>
      <c r="BW33" s="46">
        <f t="shared" si="51"/>
        <v>2.2511303179803481E-2</v>
      </c>
      <c r="BY33" s="41">
        <f t="shared" si="101"/>
        <v>0.92131910878101619</v>
      </c>
      <c r="BZ33" s="42">
        <v>0</v>
      </c>
      <c r="CA33" s="42">
        <f t="shared" si="52"/>
        <v>87.840137316483109</v>
      </c>
      <c r="CB33" s="42">
        <f t="shared" si="53"/>
        <v>1.7563680149162897</v>
      </c>
      <c r="CC33" s="42">
        <f t="shared" si="54"/>
        <v>299.33060856092715</v>
      </c>
      <c r="CD33" s="42">
        <f t="shared" si="55"/>
        <v>3.095673494941471</v>
      </c>
      <c r="CE33" s="42">
        <f t="shared" si="56"/>
        <v>7.5015705448713703</v>
      </c>
      <c r="CF33" s="42">
        <f t="shared" si="57"/>
        <v>2.5921122316177589</v>
      </c>
      <c r="CG33" s="42">
        <f t="shared" si="58"/>
        <v>25.5629117275721</v>
      </c>
      <c r="CH33" s="42">
        <f t="shared" si="59"/>
        <v>4.5687083021237616</v>
      </c>
      <c r="CI33" s="44">
        <f t="shared" si="60"/>
        <v>0.29345524581928517</v>
      </c>
      <c r="CJ33" s="44">
        <f t="shared" si="61"/>
        <v>6.6060600083416863E-3</v>
      </c>
      <c r="CL33" s="47">
        <f t="shared" si="62"/>
        <v>9.2972843206362938</v>
      </c>
      <c r="CM33" s="42">
        <v>1</v>
      </c>
      <c r="CN33" s="42">
        <v>1</v>
      </c>
      <c r="CO33" s="141">
        <f t="shared" si="63"/>
        <v>2483.6311650991011</v>
      </c>
      <c r="CP33" s="45">
        <f t="shared" si="64"/>
        <v>11.365833265685012</v>
      </c>
      <c r="CQ33" s="42">
        <v>2</v>
      </c>
      <c r="CR33" s="41">
        <f t="shared" si="65"/>
        <v>89.244171034111588</v>
      </c>
      <c r="CS33" s="41">
        <f t="shared" si="66"/>
        <v>10.409652433914262</v>
      </c>
      <c r="CT33" s="42">
        <f t="shared" si="67"/>
        <v>0.13701783457461233</v>
      </c>
      <c r="CU33" s="41">
        <f t="shared" si="68"/>
        <v>443.70901008335079</v>
      </c>
      <c r="CV33" s="41">
        <f t="shared" si="69"/>
        <v>5.23903676531617</v>
      </c>
      <c r="CW33" s="41">
        <f t="shared" si="70"/>
        <v>10.47807353063234</v>
      </c>
      <c r="CX33" s="41">
        <f t="shared" si="71"/>
        <v>2.3614741401496517</v>
      </c>
      <c r="CY33" s="41">
        <f t="shared" si="72"/>
        <v>5.1775734417772963</v>
      </c>
      <c r="CZ33" s="41">
        <f t="shared" si="73"/>
        <v>10.355146883554593</v>
      </c>
      <c r="DA33" s="41">
        <f t="shared" si="74"/>
        <v>32.05060759821005</v>
      </c>
      <c r="DB33" s="41">
        <f t="shared" si="75"/>
        <v>0.41467660339561946</v>
      </c>
      <c r="DC33" s="151"/>
      <c r="DD33" s="151"/>
      <c r="DE33" s="153">
        <f t="shared" si="128"/>
        <v>443.70901008335079</v>
      </c>
      <c r="DF33" s="153">
        <f t="shared" si="129"/>
        <v>10.47807353063234</v>
      </c>
      <c r="DG33" s="128"/>
      <c r="DH33" s="128"/>
      <c r="DI33" s="41">
        <f t="shared" si="78"/>
        <v>32.05060759821005</v>
      </c>
      <c r="DJ33" s="41">
        <f t="shared" si="79"/>
        <v>0.41467660339561946</v>
      </c>
      <c r="DK33" s="42" t="str">
        <f t="shared" si="80"/>
        <v>1176-12</v>
      </c>
      <c r="DL33" s="48">
        <f t="shared" si="81"/>
        <v>8.5732133325947937E-2</v>
      </c>
      <c r="DM33" s="48">
        <f t="shared" si="82"/>
        <v>1.1099716324609813E-3</v>
      </c>
      <c r="DN33" s="48">
        <f t="shared" si="83"/>
        <v>0.1075582896588841</v>
      </c>
      <c r="DO33" s="48">
        <f t="shared" si="84"/>
        <v>1.189333676899367E-3</v>
      </c>
      <c r="DP33" s="48">
        <v>8.5732133325947937E-2</v>
      </c>
      <c r="DQ33" s="48">
        <f t="shared" si="85"/>
        <v>0.79707601894603597</v>
      </c>
      <c r="DR33" s="48">
        <f t="shared" si="86"/>
        <v>1.2834349875394196E-2</v>
      </c>
      <c r="DS33" s="48">
        <f t="shared" si="87"/>
        <v>9.2972843206362938</v>
      </c>
      <c r="DT33" s="48">
        <f t="shared" si="88"/>
        <v>0.10280540329629408</v>
      </c>
      <c r="DU33" s="48">
        <f t="shared" si="89"/>
        <v>0.60072275099540851</v>
      </c>
      <c r="DV33" s="48">
        <f t="shared" si="90"/>
        <v>1.0695671117425455E-4</v>
      </c>
      <c r="DW33" s="48"/>
      <c r="DX33" s="45">
        <f t="shared" si="91"/>
        <v>1.6101789001712663E-2</v>
      </c>
      <c r="DY33" s="45">
        <f t="shared" si="92"/>
        <v>1.1057573346241197E-2</v>
      </c>
      <c r="EA33" s="48">
        <f t="shared" si="93"/>
        <v>12.654154850546938</v>
      </c>
      <c r="EB33" s="48">
        <f t="shared" si="94"/>
        <v>0.33568323566073338</v>
      </c>
      <c r="EC33" s="48">
        <f t="shared" si="95"/>
        <v>0.29345524581928523</v>
      </c>
      <c r="ED33" s="48">
        <f t="shared" si="96"/>
        <v>6.606060008341688E-3</v>
      </c>
      <c r="EE33" s="48">
        <f t="shared" si="97"/>
        <v>0.17910631358037338</v>
      </c>
      <c r="EF33" s="48">
        <f t="shared" si="98"/>
        <v>1.0695671117425455E-4</v>
      </c>
      <c r="EH33" s="48">
        <f t="shared" si="99"/>
        <v>2.652751128979779E-2</v>
      </c>
      <c r="EI33" s="48">
        <f t="shared" si="100"/>
        <v>2.2511303179803481E-2</v>
      </c>
      <c r="EJ33" s="48"/>
      <c r="EK33" s="163">
        <v>2.8610000000000002</v>
      </c>
      <c r="EL33" s="48"/>
      <c r="EN33" s="48"/>
      <c r="EO33" s="48"/>
      <c r="EP33" s="48"/>
      <c r="ER33" s="41"/>
    </row>
    <row r="34" spans="1:148" s="52" customFormat="1" x14ac:dyDescent="0.2">
      <c r="A34" s="52" t="s">
        <v>108</v>
      </c>
      <c r="B34" s="52" t="s">
        <v>96</v>
      </c>
      <c r="C34" s="42" t="s">
        <v>71</v>
      </c>
      <c r="D34" s="52">
        <v>2914.53</v>
      </c>
      <c r="E34" s="52">
        <v>9.6</v>
      </c>
      <c r="F34" s="52">
        <v>134.21100000000001</v>
      </c>
      <c r="G34" s="52">
        <v>0.77</v>
      </c>
      <c r="H34" s="52">
        <v>12.047000000000001</v>
      </c>
      <c r="I34" s="52">
        <v>0.33</v>
      </c>
      <c r="J34" s="52">
        <v>89.548000000000002</v>
      </c>
      <c r="K34" s="52">
        <v>0.63</v>
      </c>
      <c r="L34" s="52">
        <v>23.071000000000002</v>
      </c>
      <c r="M34" s="52">
        <v>0.45</v>
      </c>
      <c r="N34" s="42" t="s">
        <v>225</v>
      </c>
      <c r="O34" s="52">
        <v>1760.337</v>
      </c>
      <c r="P34" s="52">
        <v>6.2087700000000003</v>
      </c>
      <c r="Q34" s="52">
        <v>70.081490000000002</v>
      </c>
      <c r="R34" s="52">
        <v>0.40127699999999999</v>
      </c>
      <c r="S34" s="52">
        <v>2.6990609999999999</v>
      </c>
      <c r="T34" s="52">
        <v>0.13831399999999999</v>
      </c>
      <c r="U34" s="52">
        <v>82.780659999999997</v>
      </c>
      <c r="V34" s="52">
        <v>0.57983200000000001</v>
      </c>
      <c r="W34" s="52">
        <v>8.1869340000000008</v>
      </c>
      <c r="X34" s="52">
        <v>0.53852500000000003</v>
      </c>
      <c r="Y34" s="42">
        <f t="shared" si="104"/>
        <v>1154.1930000000002</v>
      </c>
      <c r="Z34" s="42">
        <f t="shared" si="105"/>
        <v>11.432796023410022</v>
      </c>
      <c r="AA34" s="42">
        <f t="shared" si="106"/>
        <v>64.12951000000001</v>
      </c>
      <c r="AB34" s="42">
        <f t="shared" si="107"/>
        <v>0.86828752768250683</v>
      </c>
      <c r="AC34" s="42">
        <f t="shared" si="108"/>
        <v>9.3479390000000002</v>
      </c>
      <c r="AD34" s="42">
        <f t="shared" si="109"/>
        <v>0.35781386585206565</v>
      </c>
      <c r="AE34" s="42">
        <f t="shared" si="110"/>
        <v>6.7673400000000044</v>
      </c>
      <c r="AF34" s="42"/>
      <c r="AG34" s="42">
        <f t="shared" si="111"/>
        <v>0.8562155968119245</v>
      </c>
      <c r="AH34" s="42">
        <f t="shared" si="112"/>
        <v>14.884066000000001</v>
      </c>
      <c r="AI34" s="42">
        <f t="shared" si="113"/>
        <v>0.70178997971259183</v>
      </c>
      <c r="AJ34" s="42">
        <v>1</v>
      </c>
      <c r="AK34" s="42">
        <v>0</v>
      </c>
      <c r="AL34" s="42">
        <f t="shared" si="114"/>
        <v>1154.1930000000002</v>
      </c>
      <c r="AM34" s="42">
        <f t="shared" si="115"/>
        <v>11.432796023410022</v>
      </c>
      <c r="AN34" s="52">
        <v>0.999857</v>
      </c>
      <c r="AO34" s="42">
        <f t="shared" si="21"/>
        <v>1154.1930000000002</v>
      </c>
      <c r="AP34" s="42">
        <f t="shared" si="22"/>
        <v>11.432796023410022</v>
      </c>
      <c r="AQ34" s="42">
        <f t="shared" si="23"/>
        <v>64.138681831501913</v>
      </c>
      <c r="AR34" s="42">
        <f t="shared" si="24"/>
        <v>0.86828752768250683</v>
      </c>
      <c r="AS34" s="42">
        <f t="shared" si="25"/>
        <v>9.3506128929206866</v>
      </c>
      <c r="AT34" s="42">
        <f t="shared" si="26"/>
        <v>0.35781386585206565</v>
      </c>
      <c r="AU34" s="42">
        <f t="shared" si="0"/>
        <v>6.7702436040753868</v>
      </c>
      <c r="AV34" s="42">
        <f t="shared" si="27"/>
        <v>0.8562155968119245</v>
      </c>
      <c r="AW34" s="42">
        <f t="shared" si="28"/>
        <v>14.892580903383184</v>
      </c>
      <c r="AX34" s="42">
        <f t="shared" si="29"/>
        <v>0.70178997971259183</v>
      </c>
      <c r="AY34" s="52">
        <v>106.64870000000001</v>
      </c>
      <c r="AZ34" s="52">
        <v>1.001673</v>
      </c>
      <c r="BA34" s="42">
        <f t="shared" si="116"/>
        <v>1154.1930000000002</v>
      </c>
      <c r="BB34" s="42">
        <f t="shared" si="117"/>
        <v>11.432796023410022</v>
      </c>
      <c r="BC34" s="42">
        <f t="shared" si="118"/>
        <v>64.245985846206011</v>
      </c>
      <c r="BD34" s="42">
        <f t="shared" si="119"/>
        <v>0.86974017271631965</v>
      </c>
      <c r="BE34" s="42">
        <f t="shared" si="120"/>
        <v>9.3506128929206866</v>
      </c>
      <c r="BF34" s="42">
        <f t="shared" si="121"/>
        <v>0.35781386585206565</v>
      </c>
      <c r="BG34" s="42">
        <f t="shared" si="122"/>
        <v>722.03767905795473</v>
      </c>
      <c r="BH34" s="42">
        <f t="shared" si="123"/>
        <v>91.314280319715891</v>
      </c>
      <c r="BI34" s="42">
        <f t="shared" si="124"/>
        <v>14.892580903383184</v>
      </c>
      <c r="BJ34" s="42">
        <f t="shared" si="125"/>
        <v>0.70178997971259183</v>
      </c>
      <c r="BL34" s="45">
        <f t="shared" si="40"/>
        <v>1154.1899996355371</v>
      </c>
      <c r="BM34" s="45">
        <f t="shared" si="41"/>
        <v>11.432796077179487</v>
      </c>
      <c r="BN34" s="141">
        <f t="shared" si="42"/>
        <v>63.765635839459122</v>
      </c>
      <c r="BO34" s="45">
        <f t="shared" si="43"/>
        <v>0.87207371323512195</v>
      </c>
      <c r="BP34" s="45">
        <f t="shared" si="44"/>
        <v>722.03767905795473</v>
      </c>
      <c r="BQ34" s="45">
        <f t="shared" si="45"/>
        <v>91.314280319715891</v>
      </c>
      <c r="BR34" s="45">
        <f t="shared" si="46"/>
        <v>8.5793653960909317</v>
      </c>
      <c r="BS34" s="45">
        <f t="shared" si="47"/>
        <v>0.35798780239170136</v>
      </c>
      <c r="BT34" s="45">
        <f t="shared" si="48"/>
        <v>14.693616200541975</v>
      </c>
      <c r="BU34" s="45">
        <f t="shared" si="49"/>
        <v>0.702242697199018</v>
      </c>
      <c r="BV34" s="41">
        <f t="shared" si="50"/>
        <v>0.58388386350900345</v>
      </c>
      <c r="BW34" s="46">
        <f t="shared" si="51"/>
        <v>6.3444621627649536E-2</v>
      </c>
      <c r="BX34" s="42"/>
      <c r="BY34" s="41">
        <f t="shared" si="101"/>
        <v>0.70666381115372989</v>
      </c>
      <c r="BZ34" s="42">
        <v>0</v>
      </c>
      <c r="CA34" s="42">
        <f t="shared" si="52"/>
        <v>6.0627270480820474</v>
      </c>
      <c r="CB34" s="42">
        <f t="shared" si="53"/>
        <v>0.25297702478466805</v>
      </c>
      <c r="CC34" s="42">
        <f t="shared" si="54"/>
        <v>10.38344682390518</v>
      </c>
      <c r="CD34" s="42">
        <f t="shared" si="55"/>
        <v>0.49624950075753282</v>
      </c>
      <c r="CE34" s="42">
        <f t="shared" si="56"/>
        <v>2.5166383480088843</v>
      </c>
      <c r="CF34" s="42">
        <f t="shared" si="57"/>
        <v>0.43835218914719976</v>
      </c>
      <c r="CG34" s="42">
        <f t="shared" si="58"/>
        <v>4.3101693766367948</v>
      </c>
      <c r="CH34" s="42">
        <f t="shared" si="59"/>
        <v>0.85988858160313553</v>
      </c>
      <c r="CI34" s="44">
        <f t="shared" si="60"/>
        <v>0.58388386350900345</v>
      </c>
      <c r="CJ34" s="44">
        <f t="shared" si="61"/>
        <v>3.7044290794818892E-2</v>
      </c>
      <c r="CL34" s="47">
        <f t="shared" si="62"/>
        <v>111.15673043929068</v>
      </c>
      <c r="CM34" s="42">
        <v>1</v>
      </c>
      <c r="CN34" s="42">
        <v>1</v>
      </c>
      <c r="CO34" s="141">
        <f t="shared" si="63"/>
        <v>1143.8065528116319</v>
      </c>
      <c r="CP34" s="45">
        <f t="shared" si="64"/>
        <v>11.487170657275566</v>
      </c>
      <c r="CQ34" s="42">
        <v>2</v>
      </c>
      <c r="CR34" s="41">
        <f t="shared" si="65"/>
        <v>99.100369364906655</v>
      </c>
      <c r="CS34" s="41">
        <f t="shared" si="66"/>
        <v>17.937664037278015</v>
      </c>
      <c r="CT34" s="42">
        <f t="shared" si="67"/>
        <v>0.3043593078609213</v>
      </c>
      <c r="CU34" s="41">
        <f t="shared" si="68"/>
        <v>707.85709947081421</v>
      </c>
      <c r="CV34" s="41">
        <f t="shared" si="69"/>
        <v>10.005671850255432</v>
      </c>
      <c r="CW34" s="41">
        <f t="shared" si="70"/>
        <v>20.011343700510864</v>
      </c>
      <c r="CX34" s="41">
        <f t="shared" si="71"/>
        <v>2.8270315739534313</v>
      </c>
      <c r="CY34" s="41">
        <f t="shared" si="72"/>
        <v>9.9345348295928275</v>
      </c>
      <c r="CZ34" s="41">
        <f t="shared" si="73"/>
        <v>19.869069659185655</v>
      </c>
      <c r="DA34" s="41">
        <f t="shared" si="74"/>
        <v>21.061345431087723</v>
      </c>
      <c r="DB34" s="41">
        <f t="shared" si="75"/>
        <v>0.62489548780588933</v>
      </c>
      <c r="DC34" s="151"/>
      <c r="DD34" s="151"/>
      <c r="DE34" s="153">
        <f t="shared" si="128"/>
        <v>707.85709947081421</v>
      </c>
      <c r="DF34" s="153">
        <f t="shared" si="129"/>
        <v>20.011343700510864</v>
      </c>
      <c r="DG34" s="128"/>
      <c r="DH34" s="128"/>
      <c r="DI34" s="41">
        <f t="shared" si="78"/>
        <v>21.061345431087723</v>
      </c>
      <c r="DJ34" s="41">
        <f t="shared" si="79"/>
        <v>0.62489548780588933</v>
      </c>
      <c r="DK34" s="42" t="str">
        <f t="shared" si="80"/>
        <v>1176-13</v>
      </c>
      <c r="DL34" s="48">
        <f t="shared" si="81"/>
        <v>5.5247087446256365E-2</v>
      </c>
      <c r="DM34" s="48">
        <f t="shared" si="82"/>
        <v>9.3293622355743221E-4</v>
      </c>
      <c r="DN34" s="48">
        <f t="shared" si="83"/>
        <v>8.9963063509335556E-3</v>
      </c>
      <c r="DO34" s="48">
        <f t="shared" si="84"/>
        <v>4.3909244278278248E-4</v>
      </c>
      <c r="DP34" s="48">
        <v>5.5247087446256365E-2</v>
      </c>
      <c r="DQ34" s="48">
        <f t="shared" si="85"/>
        <v>6.1410856068194395</v>
      </c>
      <c r="DR34" s="48">
        <f t="shared" si="86"/>
        <v>0.3052774172863032</v>
      </c>
      <c r="DS34" s="48">
        <f t="shared" si="87"/>
        <v>111.15673043929068</v>
      </c>
      <c r="DT34" s="48">
        <f t="shared" si="88"/>
        <v>5.4253466252036384</v>
      </c>
      <c r="DU34" s="48">
        <f t="shared" si="89"/>
        <v>0.94140353694744117</v>
      </c>
      <c r="DV34" s="48">
        <f t="shared" si="90"/>
        <v>2.2841103381646714E-3</v>
      </c>
      <c r="DW34" s="48"/>
      <c r="DX34" s="45">
        <f t="shared" si="91"/>
        <v>4.9710659780952141E-2</v>
      </c>
      <c r="DY34" s="45">
        <f t="shared" si="92"/>
        <v>4.880808030033542E-2</v>
      </c>
      <c r="DZ34" s="42"/>
      <c r="EA34" s="48">
        <f t="shared" si="93"/>
        <v>49.139549393655891</v>
      </c>
      <c r="EB34" s="48">
        <f t="shared" si="94"/>
        <v>6.6435020547755066</v>
      </c>
      <c r="EC34" s="48">
        <f t="shared" si="95"/>
        <v>0.58388386350900345</v>
      </c>
      <c r="ED34" s="48">
        <f t="shared" si="96"/>
        <v>3.7044290794818892E-2</v>
      </c>
      <c r="EE34" s="48">
        <f t="shared" si="97"/>
        <v>0.26629092352812195</v>
      </c>
      <c r="EF34" s="48">
        <f t="shared" si="98"/>
        <v>2.2841103381646714E-3</v>
      </c>
      <c r="EG34" s="42"/>
      <c r="EH34" s="48">
        <f t="shared" si="99"/>
        <v>0.13519664174277529</v>
      </c>
      <c r="EI34" s="48">
        <f t="shared" si="100"/>
        <v>6.3444621627649536E-2</v>
      </c>
      <c r="EJ34" s="53"/>
      <c r="EK34" s="165">
        <v>3.08</v>
      </c>
      <c r="EL34" s="53"/>
      <c r="EN34" s="53"/>
      <c r="EO34" s="53"/>
      <c r="EP34" s="53"/>
      <c r="ER34" s="54"/>
    </row>
    <row r="35" spans="1:148" s="67" customFormat="1" x14ac:dyDescent="0.2">
      <c r="A35" s="67" t="s">
        <v>109</v>
      </c>
      <c r="B35" s="67" t="s">
        <v>96</v>
      </c>
      <c r="C35" s="67" t="s">
        <v>71</v>
      </c>
      <c r="D35" s="67">
        <v>3837.49</v>
      </c>
      <c r="E35" s="67">
        <v>9</v>
      </c>
      <c r="F35" s="67">
        <v>230.39</v>
      </c>
      <c r="G35" s="67">
        <v>2.2999999999999998</v>
      </c>
      <c r="H35" s="67">
        <v>12.093999999999999</v>
      </c>
      <c r="I35" s="67">
        <v>0.27</v>
      </c>
      <c r="J35" s="67">
        <v>89.793999999999997</v>
      </c>
      <c r="K35" s="67">
        <v>0.71</v>
      </c>
      <c r="L35" s="67">
        <v>12.654</v>
      </c>
      <c r="M35" s="67">
        <v>0.81</v>
      </c>
      <c r="N35" s="67" t="s">
        <v>225</v>
      </c>
      <c r="O35" s="67">
        <v>3096.4169999999999</v>
      </c>
      <c r="P35" s="67">
        <v>291.1429</v>
      </c>
      <c r="Q35" s="67">
        <v>69.952250000000006</v>
      </c>
      <c r="R35" s="67">
        <v>0.41728599999999999</v>
      </c>
      <c r="S35" s="67">
        <v>2.7000310000000001</v>
      </c>
      <c r="T35" s="67">
        <v>0.136432</v>
      </c>
      <c r="U35" s="67">
        <v>82.785830000000004</v>
      </c>
      <c r="V35" s="67">
        <v>0.50820799999999999</v>
      </c>
      <c r="W35" s="67">
        <v>8.1384670000000003</v>
      </c>
      <c r="X35" s="67">
        <v>0.53073199999999998</v>
      </c>
      <c r="Y35" s="67">
        <f t="shared" si="104"/>
        <v>741.07299999999987</v>
      </c>
      <c r="Z35" s="67">
        <f t="shared" si="105"/>
        <v>291.28197373062756</v>
      </c>
      <c r="AA35" s="67">
        <f t="shared" si="106"/>
        <v>160.43774999999999</v>
      </c>
      <c r="AB35" s="67">
        <f t="shared" si="107"/>
        <v>2.3375473483538252</v>
      </c>
      <c r="AC35" s="67">
        <f t="shared" si="108"/>
        <v>9.3939689999999985</v>
      </c>
      <c r="AD35" s="67">
        <f t="shared" si="109"/>
        <v>0.30251229830206905</v>
      </c>
      <c r="AE35" s="67">
        <f t="shared" si="110"/>
        <v>7.0081699999999927</v>
      </c>
      <c r="AG35" s="67">
        <f t="shared" si="111"/>
        <v>0.8731410947057755</v>
      </c>
      <c r="AH35" s="67">
        <f t="shared" si="112"/>
        <v>4.5155329999999996</v>
      </c>
      <c r="AI35" s="67">
        <f t="shared" si="113"/>
        <v>0.96838858720247212</v>
      </c>
      <c r="AJ35" s="67">
        <v>1</v>
      </c>
      <c r="AK35" s="67">
        <v>0</v>
      </c>
      <c r="AL35" s="67">
        <f t="shared" si="114"/>
        <v>741.07299999999987</v>
      </c>
      <c r="AM35" s="67">
        <f t="shared" si="115"/>
        <v>291.28197373062756</v>
      </c>
      <c r="AN35" s="67">
        <v>0.999857</v>
      </c>
      <c r="AO35" s="67">
        <f t="shared" si="21"/>
        <v>741.07299999999987</v>
      </c>
      <c r="AP35" s="67">
        <f t="shared" si="22"/>
        <v>291.28197373062756</v>
      </c>
      <c r="AQ35" s="67">
        <f t="shared" si="23"/>
        <v>160.46069587951075</v>
      </c>
      <c r="AR35" s="67">
        <f t="shared" si="24"/>
        <v>2.3375473483538252</v>
      </c>
      <c r="AS35" s="67">
        <f t="shared" si="25"/>
        <v>9.3966560593834902</v>
      </c>
      <c r="AT35" s="67">
        <f t="shared" si="26"/>
        <v>0.30251229830206905</v>
      </c>
      <c r="AU35" s="67">
        <f t="shared" si="0"/>
        <v>7.0111769349216857</v>
      </c>
      <c r="AV35" s="67">
        <f t="shared" si="27"/>
        <v>0.8731410947057755</v>
      </c>
      <c r="AW35" s="67">
        <f t="shared" si="28"/>
        <v>4.5181162542813613</v>
      </c>
      <c r="AX35" s="67">
        <f t="shared" si="29"/>
        <v>0.96838858720247212</v>
      </c>
      <c r="AY35" s="67">
        <v>106.6887</v>
      </c>
      <c r="AZ35" s="67">
        <v>1.001674</v>
      </c>
      <c r="BA35" s="67">
        <f t="shared" si="116"/>
        <v>741.07299999999987</v>
      </c>
      <c r="BB35" s="67">
        <f t="shared" si="117"/>
        <v>291.28197373062756</v>
      </c>
      <c r="BC35" s="67">
        <f t="shared" si="118"/>
        <v>160.72930708441305</v>
      </c>
      <c r="BD35" s="67">
        <f t="shared" si="119"/>
        <v>2.3414604026149695</v>
      </c>
      <c r="BE35" s="67">
        <f t="shared" si="120"/>
        <v>9.3966560593834902</v>
      </c>
      <c r="BF35" s="67">
        <f t="shared" si="121"/>
        <v>0.30251229830206905</v>
      </c>
      <c r="BG35" s="67">
        <f t="shared" si="122"/>
        <v>748.01335265677926</v>
      </c>
      <c r="BH35" s="67">
        <f t="shared" si="123"/>
        <v>93.154288310736064</v>
      </c>
      <c r="BI35" s="67">
        <f t="shared" si="124"/>
        <v>4.5181162542813613</v>
      </c>
      <c r="BJ35" s="67">
        <f t="shared" si="125"/>
        <v>0.96838858720247212</v>
      </c>
      <c r="BL35" s="68">
        <f t="shared" si="40"/>
        <v>741.06546061893766</v>
      </c>
      <c r="BM35" s="68">
        <f t="shared" si="41"/>
        <v>291.28197374395609</v>
      </c>
      <c r="BN35" s="142">
        <f t="shared" si="42"/>
        <v>160.23167624129107</v>
      </c>
      <c r="BO35" s="68">
        <f t="shared" si="43"/>
        <v>2.342366120359328</v>
      </c>
      <c r="BP35" s="68">
        <f t="shared" si="44"/>
        <v>748.01335265677926</v>
      </c>
      <c r="BQ35" s="68">
        <f t="shared" si="45"/>
        <v>93.154288310736064</v>
      </c>
      <c r="BR35" s="68">
        <f t="shared" si="46"/>
        <v>7.4821005649641759</v>
      </c>
      <c r="BS35" s="68">
        <f t="shared" si="47"/>
        <v>0.30391894603682507</v>
      </c>
      <c r="BT35" s="68">
        <f t="shared" si="48"/>
        <v>4.3119936948232596</v>
      </c>
      <c r="BU35" s="68">
        <f t="shared" si="49"/>
        <v>0.96873011765576522</v>
      </c>
      <c r="BV35" s="69">
        <f t="shared" si="50"/>
        <v>1.735183558813356</v>
      </c>
      <c r="BW35" s="70">
        <f t="shared" si="51"/>
        <v>0.22830201091854452</v>
      </c>
      <c r="BY35" s="69">
        <f t="shared" si="101"/>
        <v>-0.14425983652132737</v>
      </c>
      <c r="BZ35" s="67">
        <v>0</v>
      </c>
      <c r="CA35" s="67">
        <f t="shared" si="52"/>
        <v>-1.0793666043378631</v>
      </c>
      <c r="CB35" s="67">
        <f t="shared" si="53"/>
        <v>-4.3843297471006494E-2</v>
      </c>
      <c r="CC35" s="67">
        <f t="shared" si="54"/>
        <v>-0.62204750549619781</v>
      </c>
      <c r="CD35" s="67">
        <f t="shared" si="55"/>
        <v>-0.13974884840630691</v>
      </c>
      <c r="CE35" s="67">
        <f t="shared" si="56"/>
        <v>7.4821005649641759</v>
      </c>
      <c r="CF35" s="67">
        <f t="shared" si="57"/>
        <v>0.30391894603682507</v>
      </c>
      <c r="CG35" s="67">
        <f t="shared" si="58"/>
        <v>4.9340412003194576</v>
      </c>
      <c r="CH35" s="67">
        <f t="shared" si="59"/>
        <v>0.9787582855252065</v>
      </c>
      <c r="CI35" s="74">
        <f t="shared" si="60"/>
        <v>1.735183558813356</v>
      </c>
      <c r="CJ35" s="74">
        <f t="shared" si="61"/>
        <v>0.39614589578988574</v>
      </c>
      <c r="CL35" s="71">
        <f t="shared" si="62"/>
        <v>-1191.3325816294384</v>
      </c>
      <c r="CM35" s="67">
        <v>1</v>
      </c>
      <c r="CN35" s="67">
        <v>1</v>
      </c>
      <c r="CO35" s="142">
        <f t="shared" si="63"/>
        <v>741.68750812443386</v>
      </c>
      <c r="CP35" s="68">
        <f t="shared" si="64"/>
        <v>291.28372381222289</v>
      </c>
      <c r="CQ35" s="67">
        <v>2</v>
      </c>
      <c r="CR35" s="69">
        <f t="shared" si="65"/>
        <v>100.08393961647823</v>
      </c>
      <c r="CS35" s="69">
        <f t="shared" si="66"/>
        <v>4.6288444677289338</v>
      </c>
      <c r="CT35" s="67">
        <f t="shared" si="67"/>
        <v>1.8191499641309514</v>
      </c>
      <c r="CU35" s="69">
        <f t="shared" si="68"/>
        <v>210.8664586492425</v>
      </c>
      <c r="CV35" s="69">
        <f t="shared" si="69"/>
        <v>78.212387414593451</v>
      </c>
      <c r="CW35" s="69">
        <f t="shared" si="70"/>
        <v>156.4247748291869</v>
      </c>
      <c r="CX35" s="69">
        <f t="shared" si="71"/>
        <v>74.181913914239686</v>
      </c>
      <c r="CY35" s="69">
        <f t="shared" si="72"/>
        <v>78.211339763544544</v>
      </c>
      <c r="CZ35" s="69">
        <f t="shared" si="73"/>
        <v>156.42267952708909</v>
      </c>
      <c r="DA35" s="69">
        <f t="shared" si="74"/>
        <v>8.6830823254102345</v>
      </c>
      <c r="DB35" s="69">
        <f t="shared" si="75"/>
        <v>0.26160160656359754</v>
      </c>
      <c r="DC35" s="152"/>
      <c r="DD35" s="152"/>
      <c r="DE35" s="153"/>
      <c r="DF35" s="153"/>
      <c r="DG35" s="128"/>
      <c r="DH35" s="128"/>
      <c r="DI35" s="41">
        <f t="shared" si="78"/>
        <v>8.6830823254102345</v>
      </c>
      <c r="DJ35" s="41">
        <f t="shared" si="79"/>
        <v>0.26160160656359754</v>
      </c>
      <c r="DK35" s="67" t="str">
        <f t="shared" si="80"/>
        <v>1176-14</v>
      </c>
      <c r="DL35" s="72">
        <f t="shared" si="81"/>
        <v>0.21621797905338297</v>
      </c>
      <c r="DM35" s="72">
        <f t="shared" si="82"/>
        <v>8.5045042061280787E-2</v>
      </c>
      <c r="DN35" s="72">
        <f t="shared" si="83"/>
        <v>-8.3939616478234452E-4</v>
      </c>
      <c r="DO35" s="72">
        <f t="shared" si="84"/>
        <v>-3.8002194631883755E-4</v>
      </c>
      <c r="DP35" s="72">
        <v>0.21621797905338297</v>
      </c>
      <c r="DQ35" s="72">
        <f t="shared" si="85"/>
        <v>-257.58752318036659</v>
      </c>
      <c r="DR35" s="72">
        <f t="shared" si="86"/>
        <v>-57.991854242183393</v>
      </c>
      <c r="DS35" s="72">
        <f t="shared" si="87"/>
        <v>-1191.3325816294384</v>
      </c>
      <c r="DT35" s="72">
        <f t="shared" si="88"/>
        <v>-539.35500944450735</v>
      </c>
      <c r="DU35" s="72">
        <f t="shared" si="89"/>
        <v>0.49518274227913556</v>
      </c>
      <c r="DV35" s="72">
        <f t="shared" si="90"/>
        <v>5.0471866991850564E-2</v>
      </c>
      <c r="DW35" s="72"/>
      <c r="DX35" s="68">
        <f t="shared" si="91"/>
        <v>0.2251345621331847</v>
      </c>
      <c r="DY35" s="68">
        <f t="shared" si="92"/>
        <v>0.45273252638386469</v>
      </c>
      <c r="EA35" s="72">
        <f t="shared" si="93"/>
        <v>173.47273804106035</v>
      </c>
      <c r="EB35" s="72">
        <f t="shared" si="94"/>
        <v>44.559531831447288</v>
      </c>
      <c r="EC35" s="72">
        <f t="shared" si="95"/>
        <v>1.735183558813356</v>
      </c>
      <c r="ED35" s="72">
        <f t="shared" si="96"/>
        <v>0.39614589578988574</v>
      </c>
      <c r="EE35" s="72">
        <f t="shared" si="97"/>
        <v>0.86065728097885918</v>
      </c>
      <c r="EF35" s="72">
        <f t="shared" si="98"/>
        <v>5.0471866991850564E-2</v>
      </c>
      <c r="EH35" s="72">
        <f t="shared" si="99"/>
        <v>0.25686763427288622</v>
      </c>
      <c r="EI35" s="72">
        <f t="shared" si="100"/>
        <v>0.22830201091854452</v>
      </c>
      <c r="EJ35" s="72"/>
      <c r="EK35" s="164">
        <v>3.4009999999999998</v>
      </c>
      <c r="EL35" s="72"/>
      <c r="EN35" s="72"/>
      <c r="EO35" s="72"/>
      <c r="EP35" s="72"/>
      <c r="ER35" s="69"/>
    </row>
    <row r="36" spans="1:148" s="52" customFormat="1" x14ac:dyDescent="0.2">
      <c r="A36" s="52" t="s">
        <v>110</v>
      </c>
      <c r="B36" s="52" t="s">
        <v>96</v>
      </c>
      <c r="C36" s="42" t="s">
        <v>71</v>
      </c>
      <c r="D36" s="52">
        <v>2299.0100000000002</v>
      </c>
      <c r="E36" s="52">
        <v>7.4</v>
      </c>
      <c r="F36" s="52">
        <v>84.271000000000001</v>
      </c>
      <c r="G36" s="52">
        <v>0.64</v>
      </c>
      <c r="H36" s="52">
        <v>7.7619999999999996</v>
      </c>
      <c r="I36" s="52">
        <v>0.27</v>
      </c>
      <c r="J36" s="52">
        <v>83.451999999999998</v>
      </c>
      <c r="K36" s="52">
        <v>0.55000000000000004</v>
      </c>
      <c r="L36" s="52">
        <v>12.332000000000001</v>
      </c>
      <c r="M36" s="52">
        <v>0.71</v>
      </c>
      <c r="N36" s="42" t="s">
        <v>225</v>
      </c>
      <c r="O36" s="52">
        <v>1776.45</v>
      </c>
      <c r="P36" s="52">
        <v>5.1874200000000004</v>
      </c>
      <c r="Q36" s="52">
        <v>69.545230000000004</v>
      </c>
      <c r="R36" s="52">
        <v>0.41945199999999999</v>
      </c>
      <c r="S36" s="52">
        <v>2.6926350000000001</v>
      </c>
      <c r="T36" s="52">
        <v>0.146476</v>
      </c>
      <c r="U36" s="52">
        <v>82.796670000000006</v>
      </c>
      <c r="V36" s="52">
        <v>0.49935099999999999</v>
      </c>
      <c r="W36" s="52">
        <v>8.2082040000000003</v>
      </c>
      <c r="X36" s="52">
        <v>0.57033299999999998</v>
      </c>
      <c r="Y36" s="42">
        <f t="shared" si="104"/>
        <v>522.56000000000017</v>
      </c>
      <c r="Z36" s="42">
        <f t="shared" si="105"/>
        <v>9.0371082906204023</v>
      </c>
      <c r="AA36" s="42">
        <f t="shared" si="106"/>
        <v>14.725769999999997</v>
      </c>
      <c r="AB36" s="42">
        <f t="shared" si="107"/>
        <v>0.7652058417863784</v>
      </c>
      <c r="AC36" s="42">
        <f t="shared" si="108"/>
        <v>5.0693649999999995</v>
      </c>
      <c r="AD36" s="42">
        <f t="shared" si="109"/>
        <v>0.30717294570974185</v>
      </c>
      <c r="AE36" s="42">
        <f t="shared" si="110"/>
        <v>0.6553299999999922</v>
      </c>
      <c r="AF36" s="42"/>
      <c r="AG36" s="42">
        <f t="shared" si="111"/>
        <v>0.74286702794039805</v>
      </c>
      <c r="AH36" s="42">
        <f t="shared" si="112"/>
        <v>4.1237960000000005</v>
      </c>
      <c r="AI36" s="42">
        <f t="shared" si="113"/>
        <v>0.91070287739141353</v>
      </c>
      <c r="AJ36" s="42">
        <v>1</v>
      </c>
      <c r="AK36" s="42">
        <v>0</v>
      </c>
      <c r="AL36" s="42">
        <f t="shared" si="114"/>
        <v>522.56000000000017</v>
      </c>
      <c r="AM36" s="42">
        <f t="shared" si="115"/>
        <v>9.0371082906204023</v>
      </c>
      <c r="AN36" s="52">
        <v>0.999857</v>
      </c>
      <c r="AO36" s="42">
        <f t="shared" si="21"/>
        <v>522.56000000000017</v>
      </c>
      <c r="AP36" s="42">
        <f t="shared" si="22"/>
        <v>9.0371082906204023</v>
      </c>
      <c r="AQ36" s="42">
        <f t="shared" si="23"/>
        <v>14.727876086280334</v>
      </c>
      <c r="AR36" s="42">
        <f t="shared" si="24"/>
        <v>0.7652058417863784</v>
      </c>
      <c r="AS36" s="42">
        <f t="shared" si="25"/>
        <v>5.0708150457465413</v>
      </c>
      <c r="AT36" s="42">
        <f t="shared" si="26"/>
        <v>0.30717294570974185</v>
      </c>
      <c r="AU36" s="42">
        <f t="shared" si="0"/>
        <v>0.65561117677827141</v>
      </c>
      <c r="AV36" s="42">
        <f t="shared" si="27"/>
        <v>0.74286702794039805</v>
      </c>
      <c r="AW36" s="42">
        <f t="shared" si="28"/>
        <v>4.1261551486702599</v>
      </c>
      <c r="AX36" s="42">
        <f t="shared" si="29"/>
        <v>0.91070287739141353</v>
      </c>
      <c r="AY36" s="52">
        <v>106.7728</v>
      </c>
      <c r="AZ36" s="52">
        <v>1.001674</v>
      </c>
      <c r="BA36" s="42">
        <f t="shared" si="116"/>
        <v>522.56000000000017</v>
      </c>
      <c r="BB36" s="42">
        <f t="shared" si="117"/>
        <v>9.0371082906204023</v>
      </c>
      <c r="BC36" s="42">
        <f t="shared" si="118"/>
        <v>14.752530550848768</v>
      </c>
      <c r="BD36" s="42">
        <f t="shared" si="119"/>
        <v>0.76648679636552874</v>
      </c>
      <c r="BE36" s="42">
        <f t="shared" si="120"/>
        <v>5.0708150457465413</v>
      </c>
      <c r="BF36" s="42">
        <f t="shared" si="121"/>
        <v>0.30717294570974185</v>
      </c>
      <c r="BG36" s="42">
        <f t="shared" si="122"/>
        <v>70.001441055911016</v>
      </c>
      <c r="BH36" s="42">
        <f t="shared" si="123"/>
        <v>79.317992600874533</v>
      </c>
      <c r="BI36" s="42">
        <f t="shared" si="124"/>
        <v>4.1261551486702599</v>
      </c>
      <c r="BJ36" s="42">
        <f t="shared" si="125"/>
        <v>0.91070287739141353</v>
      </c>
      <c r="BL36" s="45">
        <f t="shared" si="40"/>
        <v>522.55930804043169</v>
      </c>
      <c r="BM36" s="45">
        <f t="shared" si="41"/>
        <v>9.0371082943057832</v>
      </c>
      <c r="BN36" s="141">
        <f t="shared" si="42"/>
        <v>14.705960692157502</v>
      </c>
      <c r="BO36" s="45">
        <f t="shared" si="43"/>
        <v>0.76830330951960568</v>
      </c>
      <c r="BP36" s="45">
        <f t="shared" si="44"/>
        <v>70.001441055911016</v>
      </c>
      <c r="BQ36" s="45">
        <f t="shared" si="45"/>
        <v>79.317992600874533</v>
      </c>
      <c r="BR36" s="45">
        <f t="shared" si="46"/>
        <v>4.8950686936941006</v>
      </c>
      <c r="BS36" s="45">
        <f t="shared" si="47"/>
        <v>0.3073137824513249</v>
      </c>
      <c r="BT36" s="45">
        <f t="shared" si="48"/>
        <v>4.1068655515728931</v>
      </c>
      <c r="BU36" s="45">
        <f t="shared" si="49"/>
        <v>0.91096513476127772</v>
      </c>
      <c r="BV36" s="41">
        <f t="shared" si="50"/>
        <v>1.1919232885087589</v>
      </c>
      <c r="BW36" s="46">
        <f t="shared" si="51"/>
        <v>0.2305283909676058</v>
      </c>
      <c r="BX36" s="42"/>
      <c r="BY36" s="41">
        <f t="shared" si="101"/>
        <v>0.25726290575849303</v>
      </c>
      <c r="BZ36" s="42">
        <v>0</v>
      </c>
      <c r="CA36" s="42">
        <f t="shared" si="52"/>
        <v>1.259319596027175</v>
      </c>
      <c r="CB36" s="42">
        <f t="shared" si="53"/>
        <v>7.9060436653061228E-2</v>
      </c>
      <c r="CC36" s="42">
        <f t="shared" si="54"/>
        <v>1.0565441653570986</v>
      </c>
      <c r="CD36" s="42">
        <f t="shared" si="55"/>
        <v>0.23435753761336345</v>
      </c>
      <c r="CE36" s="42">
        <f t="shared" si="56"/>
        <v>3.6357490976669258</v>
      </c>
      <c r="CF36" s="42">
        <f t="shared" si="57"/>
        <v>0.31732052175728087</v>
      </c>
      <c r="CG36" s="42">
        <f t="shared" si="58"/>
        <v>3.0503213862157947</v>
      </c>
      <c r="CH36" s="42">
        <f t="shared" si="59"/>
        <v>0.94062794567609564</v>
      </c>
      <c r="CI36" s="44">
        <f t="shared" si="60"/>
        <v>1.1919232885087589</v>
      </c>
      <c r="CJ36" s="44">
        <f t="shared" si="61"/>
        <v>0.27477215785674158</v>
      </c>
      <c r="CL36" s="47">
        <f t="shared" si="62"/>
        <v>494.59296182267332</v>
      </c>
      <c r="CM36" s="42">
        <v>1</v>
      </c>
      <c r="CN36" s="42">
        <v>1</v>
      </c>
      <c r="CO36" s="141">
        <f t="shared" si="63"/>
        <v>521.50276387507461</v>
      </c>
      <c r="CP36" s="45">
        <f t="shared" si="64"/>
        <v>9.0952872290239721</v>
      </c>
      <c r="CQ36" s="42">
        <v>2</v>
      </c>
      <c r="CR36" s="41">
        <f t="shared" si="65"/>
        <v>99.797813540185686</v>
      </c>
      <c r="CS36" s="41">
        <f t="shared" si="66"/>
        <v>35.461999035070541</v>
      </c>
      <c r="CT36" s="42">
        <f t="shared" si="67"/>
        <v>1.9531946366373396</v>
      </c>
      <c r="CU36" s="41">
        <f t="shared" si="68"/>
        <v>1204.7094550216041</v>
      </c>
      <c r="CV36" s="41">
        <f t="shared" si="69"/>
        <v>48.439033485643378</v>
      </c>
      <c r="CW36" s="41">
        <f t="shared" si="70"/>
        <v>96.878066971286756</v>
      </c>
      <c r="CX36" s="41">
        <f t="shared" si="71"/>
        <v>8.0416125703561807</v>
      </c>
      <c r="CY36" s="41">
        <f t="shared" si="72"/>
        <v>48.406032378141632</v>
      </c>
      <c r="CZ36" s="41">
        <f t="shared" si="73"/>
        <v>96.812064756283263</v>
      </c>
      <c r="DA36" s="41">
        <f t="shared" si="74"/>
        <v>8.8537351003141129</v>
      </c>
      <c r="DB36" s="41">
        <f t="shared" si="75"/>
        <v>11.829822793378288</v>
      </c>
      <c r="DC36" s="151"/>
      <c r="DD36" s="151"/>
      <c r="DE36" s="153">
        <f t="shared" si="128"/>
        <v>1204.7094550216041</v>
      </c>
      <c r="DF36" s="153">
        <f t="shared" si="129"/>
        <v>96.878066971286756</v>
      </c>
      <c r="DG36" s="128"/>
      <c r="DH36" s="128"/>
      <c r="DI36" s="41">
        <f t="shared" si="78"/>
        <v>8.8537351003141129</v>
      </c>
      <c r="DJ36" s="41">
        <f t="shared" si="79"/>
        <v>11.829822793378288</v>
      </c>
      <c r="DK36" s="42" t="str">
        <f t="shared" si="80"/>
        <v>1176-15</v>
      </c>
      <c r="DL36" s="48">
        <f t="shared" si="81"/>
        <v>2.8142184946057199E-2</v>
      </c>
      <c r="DM36" s="48">
        <f t="shared" si="82"/>
        <v>1.5487286572367781E-3</v>
      </c>
      <c r="DN36" s="48">
        <f t="shared" si="83"/>
        <v>2.0218645981430901E-3</v>
      </c>
      <c r="DO36" s="48">
        <f t="shared" si="84"/>
        <v>4.4984127252601432E-4</v>
      </c>
      <c r="DP36" s="48">
        <v>2.8142184946057199E-2</v>
      </c>
      <c r="DQ36" s="48">
        <f t="shared" si="85"/>
        <v>13.918926604631878</v>
      </c>
      <c r="DR36" s="48">
        <f t="shared" si="86"/>
        <v>3.1719107427322806</v>
      </c>
      <c r="DS36" s="48">
        <f t="shared" si="87"/>
        <v>494.59296182267332</v>
      </c>
      <c r="DT36" s="48">
        <f t="shared" si="88"/>
        <v>110.04116078448493</v>
      </c>
      <c r="DU36" s="48">
        <f t="shared" si="89"/>
        <v>0.9704207995105153</v>
      </c>
      <c r="DV36" s="48">
        <f t="shared" si="90"/>
        <v>4.9201975504678565E-2</v>
      </c>
      <c r="DW36" s="48"/>
      <c r="DX36" s="45">
        <f t="shared" si="91"/>
        <v>0.2278847236450508</v>
      </c>
      <c r="DY36" s="45">
        <f t="shared" si="92"/>
        <v>0.22248832732872176</v>
      </c>
      <c r="DZ36" s="42"/>
      <c r="EA36" s="48">
        <f t="shared" si="93"/>
        <v>17.044979967532925</v>
      </c>
      <c r="EB36" s="48">
        <f t="shared" si="94"/>
        <v>19.680102116488321</v>
      </c>
      <c r="EC36" s="48">
        <f t="shared" si="95"/>
        <v>1.1919232885087589</v>
      </c>
      <c r="ED36" s="48">
        <f t="shared" si="96"/>
        <v>0.27477215785674158</v>
      </c>
      <c r="EE36" s="48">
        <f t="shared" si="97"/>
        <v>0.18485332596409207</v>
      </c>
      <c r="EF36" s="48">
        <f t="shared" si="98"/>
        <v>4.9201975504678565E-2</v>
      </c>
      <c r="EG36" s="42"/>
      <c r="EH36" s="48">
        <f t="shared" si="99"/>
        <v>1.1545981370453204</v>
      </c>
      <c r="EI36" s="48">
        <f t="shared" si="100"/>
        <v>0.2305283909676058</v>
      </c>
      <c r="EJ36" s="53"/>
      <c r="EK36" s="165">
        <v>3.6360000000000001</v>
      </c>
      <c r="EL36" s="53"/>
      <c r="EN36" s="53"/>
      <c r="EO36" s="53"/>
      <c r="EP36" s="53"/>
      <c r="ER36" s="54"/>
    </row>
    <row r="37" spans="1:148" s="102" customFormat="1" x14ac:dyDescent="0.2">
      <c r="A37" s="112" t="s">
        <v>111</v>
      </c>
      <c r="B37" s="112" t="s">
        <v>96</v>
      </c>
      <c r="C37" s="112" t="s">
        <v>71</v>
      </c>
      <c r="D37" s="112">
        <v>2039.99</v>
      </c>
      <c r="E37" s="112">
        <v>7.5</v>
      </c>
      <c r="F37" s="112">
        <v>78.259</v>
      </c>
      <c r="G37" s="112">
        <v>0.71</v>
      </c>
      <c r="H37" s="112">
        <v>4.7619999999999996</v>
      </c>
      <c r="I37" s="112">
        <v>0.23</v>
      </c>
      <c r="J37" s="112">
        <v>81.680999999999997</v>
      </c>
      <c r="K37" s="112">
        <v>0.66</v>
      </c>
      <c r="L37" s="112">
        <v>12.034000000000001</v>
      </c>
      <c r="M37" s="112">
        <v>0.31</v>
      </c>
      <c r="N37" s="112" t="s">
        <v>225</v>
      </c>
      <c r="O37" s="112">
        <v>1781.65</v>
      </c>
      <c r="P37" s="112">
        <v>5.825996</v>
      </c>
      <c r="Q37" s="112">
        <v>69.292119999999997</v>
      </c>
      <c r="R37" s="112">
        <v>0.44469999999999998</v>
      </c>
      <c r="S37" s="112">
        <v>2.6850130000000001</v>
      </c>
      <c r="T37" s="112">
        <v>0.131386</v>
      </c>
      <c r="U37" s="112">
        <v>82.801829999999995</v>
      </c>
      <c r="V37" s="112">
        <v>0.56454700000000002</v>
      </c>
      <c r="W37" s="112">
        <v>8.3159189999999992</v>
      </c>
      <c r="X37" s="112">
        <v>0.51380300000000001</v>
      </c>
      <c r="Y37" s="112">
        <f t="shared" si="104"/>
        <v>258.33999999999992</v>
      </c>
      <c r="Z37" s="112">
        <f t="shared" si="105"/>
        <v>9.4969589549505802</v>
      </c>
      <c r="AA37" s="112">
        <f t="shared" si="106"/>
        <v>8.9668800000000033</v>
      </c>
      <c r="AB37" s="112">
        <f t="shared" si="107"/>
        <v>0.837769711794357</v>
      </c>
      <c r="AC37" s="112">
        <f t="shared" si="108"/>
        <v>2.0769869999999995</v>
      </c>
      <c r="AD37" s="112">
        <f t="shared" si="109"/>
        <v>0.26488163582249336</v>
      </c>
      <c r="AE37" s="113">
        <v>0.1</v>
      </c>
      <c r="AF37" s="113">
        <v>-1.120829999999998</v>
      </c>
      <c r="AG37" s="112">
        <f t="shared" si="111"/>
        <v>0.86851212726651095</v>
      </c>
      <c r="AH37" s="112">
        <f t="shared" si="112"/>
        <v>3.7180810000000015</v>
      </c>
      <c r="AI37" s="112">
        <f t="shared" si="113"/>
        <v>0.60007793061318293</v>
      </c>
      <c r="AJ37" s="112">
        <v>1</v>
      </c>
      <c r="AK37" s="112">
        <v>0</v>
      </c>
      <c r="AL37" s="112">
        <f t="shared" si="114"/>
        <v>258.33999999999992</v>
      </c>
      <c r="AM37" s="112">
        <f t="shared" si="115"/>
        <v>9.4969589549505802</v>
      </c>
      <c r="AN37" s="112">
        <v>0.999857</v>
      </c>
      <c r="AO37" s="112">
        <f t="shared" si="21"/>
        <v>258.33999999999992</v>
      </c>
      <c r="AP37" s="112">
        <f t="shared" si="22"/>
        <v>9.4969589549505802</v>
      </c>
      <c r="AQ37" s="112">
        <f t="shared" si="23"/>
        <v>8.9681624472299575</v>
      </c>
      <c r="AR37" s="112">
        <f t="shared" si="24"/>
        <v>0.837769711794357</v>
      </c>
      <c r="AS37" s="112">
        <f t="shared" si="25"/>
        <v>2.0775811032387623</v>
      </c>
      <c r="AT37" s="112">
        <f t="shared" si="26"/>
        <v>0.26488163582249336</v>
      </c>
      <c r="AU37" s="113">
        <f t="shared" si="0"/>
        <v>0.10004290613557738</v>
      </c>
      <c r="AV37" s="112">
        <f t="shared" si="27"/>
        <v>0.86851212726651095</v>
      </c>
      <c r="AW37" s="112">
        <f t="shared" si="28"/>
        <v>3.7202080464996508</v>
      </c>
      <c r="AX37" s="112">
        <f t="shared" si="29"/>
        <v>0.60007793061318293</v>
      </c>
      <c r="AY37" s="112">
        <v>106.813</v>
      </c>
      <c r="AZ37" s="112">
        <v>1.001674</v>
      </c>
      <c r="BA37" s="112">
        <f t="shared" si="116"/>
        <v>258.33999999999992</v>
      </c>
      <c r="BB37" s="112">
        <f t="shared" si="117"/>
        <v>9.4969589549505802</v>
      </c>
      <c r="BC37" s="112">
        <f t="shared" si="118"/>
        <v>8.9831751511666198</v>
      </c>
      <c r="BD37" s="112">
        <f t="shared" si="119"/>
        <v>0.83917213829190074</v>
      </c>
      <c r="BE37" s="112">
        <f t="shared" si="120"/>
        <v>2.0775811032387623</v>
      </c>
      <c r="BF37" s="112">
        <f t="shared" si="121"/>
        <v>0.26488163582249336</v>
      </c>
      <c r="BG37" s="112">
        <f>AU37*AY37</f>
        <v>10.685882933059426</v>
      </c>
      <c r="BH37" s="112">
        <f t="shared" si="123"/>
        <v>92.768385849717831</v>
      </c>
      <c r="BI37" s="112">
        <f t="shared" si="124"/>
        <v>3.7202080464996508</v>
      </c>
      <c r="BJ37" s="112">
        <f t="shared" si="125"/>
        <v>0.60007793061318293</v>
      </c>
      <c r="BK37" s="112"/>
      <c r="BL37" s="114">
        <f t="shared" si="40"/>
        <v>258.3395776491592</v>
      </c>
      <c r="BM37" s="114">
        <f t="shared" si="41"/>
        <v>9.4969589563139856</v>
      </c>
      <c r="BN37" s="143">
        <f t="shared" si="42"/>
        <v>8.9760661538277429</v>
      </c>
      <c r="BO37" s="114">
        <f t="shared" si="43"/>
        <v>0.84143854634182669</v>
      </c>
      <c r="BP37" s="114">
        <f t="shared" si="44"/>
        <v>10.685882933059426</v>
      </c>
      <c r="BQ37" s="114">
        <f t="shared" si="45"/>
        <v>92.768385849717831</v>
      </c>
      <c r="BR37" s="114">
        <f t="shared" si="46"/>
        <v>1.971015608957172</v>
      </c>
      <c r="BS37" s="114">
        <f t="shared" si="47"/>
        <v>0.26507742484261332</v>
      </c>
      <c r="BT37" s="114">
        <f t="shared" si="48"/>
        <v>3.717263444598617</v>
      </c>
      <c r="BU37" s="114">
        <f t="shared" si="49"/>
        <v>0.60062218026745762</v>
      </c>
      <c r="BV37" s="115">
        <f t="shared" si="50"/>
        <v>0.53023296259003738</v>
      </c>
      <c r="BW37" s="116">
        <f t="shared" si="51"/>
        <v>0.21022344216099068</v>
      </c>
      <c r="BX37" s="112"/>
      <c r="BY37" s="115">
        <f t="shared" si="101"/>
        <v>0.74631710082037162</v>
      </c>
      <c r="BZ37" s="112">
        <v>0</v>
      </c>
      <c r="CA37" s="112">
        <f t="shared" si="52"/>
        <v>1.4710026549486159</v>
      </c>
      <c r="CB37" s="112">
        <f t="shared" si="53"/>
        <v>0.19783181520146914</v>
      </c>
      <c r="CC37" s="112">
        <f t="shared" si="54"/>
        <v>2.7742572769583878</v>
      </c>
      <c r="CD37" s="112">
        <f t="shared" si="55"/>
        <v>0.44825460426561958</v>
      </c>
      <c r="CE37" s="112">
        <f t="shared" si="56"/>
        <v>0.50001295400855605</v>
      </c>
      <c r="CF37" s="112">
        <f t="shared" si="57"/>
        <v>0.33076195105710021</v>
      </c>
      <c r="CG37" s="112">
        <f t="shared" si="58"/>
        <v>0.94300616764022926</v>
      </c>
      <c r="CH37" s="112">
        <f t="shared" si="59"/>
        <v>0.7494525960156263</v>
      </c>
      <c r="CI37" s="117">
        <f t="shared" si="60"/>
        <v>0.53023296259003738</v>
      </c>
      <c r="CJ37" s="117">
        <f t="shared" si="61"/>
        <v>0.11146739854289746</v>
      </c>
      <c r="CK37" s="112"/>
      <c r="CL37" s="118">
        <f t="shared" si="62"/>
        <v>93.120266744833032</v>
      </c>
      <c r="CM37" s="112">
        <v>1</v>
      </c>
      <c r="CN37" s="112">
        <v>1</v>
      </c>
      <c r="CO37" s="143">
        <f t="shared" si="63"/>
        <v>255.5653203722008</v>
      </c>
      <c r="CP37" s="114">
        <f t="shared" si="64"/>
        <v>9.5599770715288717</v>
      </c>
      <c r="CQ37" s="112">
        <v>2</v>
      </c>
      <c r="CR37" s="115">
        <f t="shared" si="65"/>
        <v>98.926119914647373</v>
      </c>
      <c r="CS37" s="115">
        <f t="shared" si="66"/>
        <v>28.471862394108786</v>
      </c>
      <c r="CT37" s="112">
        <f t="shared" si="67"/>
        <v>2.8736765341163761</v>
      </c>
      <c r="CU37" s="115">
        <f t="shared" si="68"/>
        <v>1022.5813280433978</v>
      </c>
      <c r="CV37" s="115">
        <f t="shared" si="69"/>
        <v>78.799530656837092</v>
      </c>
      <c r="CW37" s="115">
        <f t="shared" si="70"/>
        <v>157.59906131367418</v>
      </c>
      <c r="CX37" s="115">
        <f t="shared" si="71"/>
        <v>15.411885293781324</v>
      </c>
      <c r="CY37" s="115">
        <f t="shared" si="72"/>
        <v>78.783531798126688</v>
      </c>
      <c r="CZ37" s="115">
        <f t="shared" si="73"/>
        <v>157.56706359625338</v>
      </c>
      <c r="DA37" s="115">
        <f>BP37/BN37*1.86</f>
        <v>2.2143043416647221</v>
      </c>
      <c r="DB37" s="115">
        <f t="shared" si="75"/>
        <v>167.09226096415622</v>
      </c>
      <c r="DC37" s="154"/>
      <c r="DD37" s="154"/>
      <c r="DE37" s="153">
        <f t="shared" si="128"/>
        <v>1022.5813280433978</v>
      </c>
      <c r="DF37" s="153">
        <f t="shared" si="129"/>
        <v>157.59906131367418</v>
      </c>
      <c r="DG37" s="128"/>
      <c r="DH37" s="128"/>
      <c r="DI37" s="41">
        <f t="shared" si="78"/>
        <v>2.2143043416647221</v>
      </c>
      <c r="DJ37" s="41">
        <f t="shared" si="79"/>
        <v>167.09226096415622</v>
      </c>
      <c r="DK37" s="112" t="str">
        <f t="shared" si="80"/>
        <v>1176-16</v>
      </c>
      <c r="DL37" s="119">
        <f t="shared" si="81"/>
        <v>3.4745222685227832E-2</v>
      </c>
      <c r="DM37" s="119">
        <f t="shared" si="82"/>
        <v>3.4985971503120649E-3</v>
      </c>
      <c r="DN37" s="119">
        <f t="shared" si="83"/>
        <v>1.0738800853526196E-2</v>
      </c>
      <c r="DO37" s="119">
        <f t="shared" si="84"/>
        <v>1.7794797376927693E-3</v>
      </c>
      <c r="DP37" s="119">
        <v>3.4745222685227832E-2</v>
      </c>
      <c r="DQ37" s="119">
        <f t="shared" si="85"/>
        <v>3.2354844045570395</v>
      </c>
      <c r="DR37" s="119">
        <f t="shared" si="86"/>
        <v>0.60439155322913496</v>
      </c>
      <c r="DS37" s="119">
        <f t="shared" si="87"/>
        <v>93.120266744833032</v>
      </c>
      <c r="DT37" s="119">
        <f t="shared" si="88"/>
        <v>15.430552265671734</v>
      </c>
      <c r="DU37" s="119">
        <f t="shared" si="89"/>
        <v>0.84341188497009678</v>
      </c>
      <c r="DV37" s="119">
        <f t="shared" si="90"/>
        <v>2.6106944776183895E-2</v>
      </c>
      <c r="DW37" s="119"/>
      <c r="DX37" s="114">
        <f t="shared" si="91"/>
        <v>0.1868009477585105</v>
      </c>
      <c r="DY37" s="114">
        <f t="shared" si="92"/>
        <v>0.1657056278409762</v>
      </c>
      <c r="DZ37" s="112"/>
      <c r="EA37" s="119">
        <f t="shared" si="93"/>
        <v>2.8746638736586148</v>
      </c>
      <c r="EB37" s="119">
        <f t="shared" si="94"/>
        <v>24.960418675853859</v>
      </c>
      <c r="EC37" s="119">
        <f t="shared" si="95"/>
        <v>0.53023296259003738</v>
      </c>
      <c r="ED37" s="119">
        <f t="shared" si="96"/>
        <v>0.11146739854289746</v>
      </c>
      <c r="EE37" s="119">
        <f t="shared" si="97"/>
        <v>1.4302439292542858E-2</v>
      </c>
      <c r="EF37" s="119">
        <f t="shared" si="98"/>
        <v>2.6106944776183895E-2</v>
      </c>
      <c r="EG37" s="112"/>
      <c r="EH37" s="119">
        <f t="shared" si="99"/>
        <v>8.6828999051240281</v>
      </c>
      <c r="EI37" s="119">
        <f t="shared" si="100"/>
        <v>0.21022344216099068</v>
      </c>
      <c r="EJ37" s="109"/>
      <c r="EK37" s="166">
        <v>4.0060000000000002</v>
      </c>
      <c r="EL37" s="109"/>
      <c r="EN37" s="109"/>
      <c r="EO37" s="109"/>
      <c r="EP37" s="109"/>
      <c r="ER37" s="105"/>
    </row>
    <row r="38" spans="1:148" s="78" customFormat="1" x14ac:dyDescent="0.2">
      <c r="A38" s="78" t="s">
        <v>112</v>
      </c>
      <c r="B38" s="78" t="s">
        <v>96</v>
      </c>
      <c r="C38" s="79" t="s">
        <v>71</v>
      </c>
      <c r="D38" s="78">
        <v>10992</v>
      </c>
      <c r="E38" s="78">
        <v>16</v>
      </c>
      <c r="F38" s="78">
        <v>161.65</v>
      </c>
      <c r="G38" s="78">
        <v>1.8</v>
      </c>
      <c r="H38" s="78">
        <v>15.182</v>
      </c>
      <c r="I38" s="78">
        <v>0.38</v>
      </c>
      <c r="J38" s="78">
        <v>99.631</v>
      </c>
      <c r="K38" s="78">
        <v>0.76</v>
      </c>
      <c r="L38" s="78">
        <v>25.532</v>
      </c>
      <c r="M38" s="78">
        <v>0.45</v>
      </c>
      <c r="N38" s="79" t="s">
        <v>225</v>
      </c>
      <c r="O38" s="78">
        <v>1557.0309999999999</v>
      </c>
      <c r="P38" s="78">
        <v>5.4660690000000001</v>
      </c>
      <c r="Q38" s="78">
        <v>73.032550000000001</v>
      </c>
      <c r="R38" s="78">
        <v>0.46848099999999998</v>
      </c>
      <c r="S38" s="78">
        <v>1.816972</v>
      </c>
      <c r="T38" s="78">
        <v>0.14907500000000001</v>
      </c>
      <c r="U38" s="78">
        <v>89.965530000000001</v>
      </c>
      <c r="V38" s="78">
        <v>0.57619200000000004</v>
      </c>
      <c r="W38" s="78">
        <v>8.0920509999999997</v>
      </c>
      <c r="X38" s="78">
        <v>0.45350200000000002</v>
      </c>
      <c r="Y38" s="79">
        <f t="shared" si="104"/>
        <v>9434.969000000001</v>
      </c>
      <c r="Z38" s="79">
        <f t="shared" si="105"/>
        <v>16.907924482702217</v>
      </c>
      <c r="AA38" s="79">
        <f t="shared" si="106"/>
        <v>88.617450000000005</v>
      </c>
      <c r="AB38" s="79">
        <f t="shared" si="107"/>
        <v>1.8599662489843733</v>
      </c>
      <c r="AC38" s="79">
        <f t="shared" si="108"/>
        <v>13.365028000000001</v>
      </c>
      <c r="AD38" s="79">
        <f t="shared" si="109"/>
        <v>0.40819524204110952</v>
      </c>
      <c r="AE38" s="79">
        <f t="shared" si="110"/>
        <v>9.6654699999999991</v>
      </c>
      <c r="AF38" s="79"/>
      <c r="AG38" s="79">
        <f t="shared" si="111"/>
        <v>0.95372806442088087</v>
      </c>
      <c r="AH38" s="79">
        <f t="shared" si="112"/>
        <v>17.439948999999999</v>
      </c>
      <c r="AI38" s="79">
        <f t="shared" si="113"/>
        <v>0.63887719007959587</v>
      </c>
      <c r="AJ38" s="79">
        <v>1</v>
      </c>
      <c r="AK38" s="79">
        <v>0</v>
      </c>
      <c r="AL38" s="79">
        <f t="shared" si="114"/>
        <v>9434.969000000001</v>
      </c>
      <c r="AM38" s="79">
        <f t="shared" si="115"/>
        <v>16.907924482702217</v>
      </c>
      <c r="AN38" s="78">
        <v>1.001212</v>
      </c>
      <c r="AO38" s="79">
        <f t="shared" si="21"/>
        <v>9434.969000000001</v>
      </c>
      <c r="AP38" s="79">
        <f t="shared" si="22"/>
        <v>16.907924482702217</v>
      </c>
      <c r="AQ38" s="79">
        <f t="shared" si="23"/>
        <v>88.510175667091488</v>
      </c>
      <c r="AR38" s="79">
        <f t="shared" si="24"/>
        <v>1.8599662489843733</v>
      </c>
      <c r="AS38" s="79">
        <f t="shared" si="25"/>
        <v>13.332670389551865</v>
      </c>
      <c r="AT38" s="79">
        <f t="shared" si="26"/>
        <v>0.40819524204110952</v>
      </c>
      <c r="AU38" s="79">
        <f t="shared" si="0"/>
        <v>9.6303688936209291</v>
      </c>
      <c r="AV38" s="79">
        <f t="shared" si="27"/>
        <v>0.95372806442088087</v>
      </c>
      <c r="AW38" s="79">
        <f t="shared" si="28"/>
        <v>17.355502476434562</v>
      </c>
      <c r="AX38" s="79">
        <f t="shared" si="29"/>
        <v>0.63887719007959587</v>
      </c>
      <c r="AY38" s="78">
        <v>107.8836</v>
      </c>
      <c r="AZ38" s="78">
        <v>1.0016769999999999</v>
      </c>
      <c r="BA38" s="79">
        <f t="shared" si="116"/>
        <v>9434.969000000001</v>
      </c>
      <c r="BB38" s="79">
        <f t="shared" si="117"/>
        <v>16.907924482702217</v>
      </c>
      <c r="BC38" s="79">
        <f t="shared" si="118"/>
        <v>88.658607231685195</v>
      </c>
      <c r="BD38" s="79">
        <f t="shared" si="119"/>
        <v>1.86308541238392</v>
      </c>
      <c r="BE38" s="79">
        <f t="shared" si="120"/>
        <v>13.332670389551865</v>
      </c>
      <c r="BF38" s="79">
        <f t="shared" si="121"/>
        <v>0.40819524204110952</v>
      </c>
      <c r="BG38" s="79">
        <f t="shared" si="122"/>
        <v>1038.9588655718428</v>
      </c>
      <c r="BH38" s="79">
        <f t="shared" si="123"/>
        <v>102.89161701075655</v>
      </c>
      <c r="BI38" s="79">
        <f t="shared" si="124"/>
        <v>17.355502476434562</v>
      </c>
      <c r="BJ38" s="79">
        <f t="shared" si="125"/>
        <v>0.63887719007959587</v>
      </c>
      <c r="BL38" s="80">
        <f t="shared" si="40"/>
        <v>9434.9648608690313</v>
      </c>
      <c r="BM38" s="80">
        <f t="shared" si="41"/>
        <v>16.907924552029034</v>
      </c>
      <c r="BN38" s="144">
        <f t="shared" si="42"/>
        <v>87.967419067186214</v>
      </c>
      <c r="BO38" s="80">
        <f t="shared" si="43"/>
        <v>1.8645502208669735</v>
      </c>
      <c r="BP38" s="80">
        <f t="shared" si="44"/>
        <v>1038.9588655718428</v>
      </c>
      <c r="BQ38" s="80">
        <f t="shared" si="45"/>
        <v>102.89161701075655</v>
      </c>
      <c r="BR38" s="80">
        <f t="shared" si="46"/>
        <v>12.267758520951457</v>
      </c>
      <c r="BS38" s="80">
        <f t="shared" si="47"/>
        <v>0.40883095902791067</v>
      </c>
      <c r="BT38" s="80">
        <f t="shared" si="48"/>
        <v>17.069206971437584</v>
      </c>
      <c r="BU38" s="80">
        <f t="shared" si="49"/>
        <v>0.63951002473717122</v>
      </c>
      <c r="BV38" s="81">
        <f t="shared" si="50"/>
        <v>0.71870699918745284</v>
      </c>
      <c r="BW38" s="82">
        <f t="shared" si="51"/>
        <v>5.0142579683567695E-2</v>
      </c>
      <c r="BX38" s="79"/>
      <c r="BY38" s="81">
        <f t="shared" si="101"/>
        <v>0.60701626076315385</v>
      </c>
      <c r="BZ38" s="79">
        <v>0</v>
      </c>
      <c r="CA38" s="79">
        <f t="shared" si="52"/>
        <v>7.4467289053332717</v>
      </c>
      <c r="CB38" s="79">
        <f t="shared" si="53"/>
        <v>0.24816704003333645</v>
      </c>
      <c r="CC38" s="79">
        <f t="shared" si="54"/>
        <v>10.3612861899944</v>
      </c>
      <c r="CD38" s="79">
        <f t="shared" si="55"/>
        <v>0.38819298393650969</v>
      </c>
      <c r="CE38" s="79">
        <f t="shared" si="56"/>
        <v>4.8210296156181851</v>
      </c>
      <c r="CF38" s="79">
        <f t="shared" si="57"/>
        <v>0.47825686907622017</v>
      </c>
      <c r="CG38" s="79">
        <f t="shared" si="58"/>
        <v>6.7079207814431836</v>
      </c>
      <c r="CH38" s="79">
        <f t="shared" si="59"/>
        <v>0.74810885873438815</v>
      </c>
      <c r="CI38" s="57">
        <f t="shared" si="60"/>
        <v>0.71870699918745284</v>
      </c>
      <c r="CJ38" s="57">
        <f t="shared" si="61"/>
        <v>3.6037822975894675E-2</v>
      </c>
      <c r="CL38" s="83">
        <f t="shared" si="62"/>
        <v>910.59784353607654</v>
      </c>
      <c r="CM38" s="79">
        <v>1</v>
      </c>
      <c r="CN38" s="79">
        <v>1</v>
      </c>
      <c r="CO38" s="144">
        <f t="shared" si="63"/>
        <v>9424.6035746790367</v>
      </c>
      <c r="CP38" s="80">
        <f t="shared" si="64"/>
        <v>16.941918617732874</v>
      </c>
      <c r="CQ38" s="79">
        <v>2</v>
      </c>
      <c r="CR38" s="81">
        <f t="shared" si="65"/>
        <v>99.890182037317729</v>
      </c>
      <c r="CS38" s="81">
        <f t="shared" si="66"/>
        <v>107.13743422983546</v>
      </c>
      <c r="CT38" s="79">
        <f t="shared" si="67"/>
        <v>2.2790285760605018</v>
      </c>
      <c r="CU38" s="81">
        <f t="shared" si="68"/>
        <v>2441.2746059420765</v>
      </c>
      <c r="CV38" s="81">
        <f t="shared" si="69"/>
        <v>28.589250074295062</v>
      </c>
      <c r="CW38" s="81">
        <f t="shared" si="70"/>
        <v>57.178500148590125</v>
      </c>
      <c r="CX38" s="81">
        <f t="shared" si="71"/>
        <v>2.3421576585205663</v>
      </c>
      <c r="CY38" s="81">
        <f t="shared" si="72"/>
        <v>28.459424198272782</v>
      </c>
      <c r="CZ38" s="81">
        <f t="shared" si="73"/>
        <v>56.918848396545563</v>
      </c>
      <c r="DA38" s="81">
        <f t="shared" si="74"/>
        <v>21.967945751456963</v>
      </c>
      <c r="DB38" s="81">
        <f t="shared" si="75"/>
        <v>0.68108387105231583</v>
      </c>
      <c r="DC38" s="153">
        <f t="shared" ref="DC38" si="130">CU38</f>
        <v>2441.2746059420765</v>
      </c>
      <c r="DD38" s="153">
        <f t="shared" ref="DD38" si="131">CW38</f>
        <v>57.178500148590125</v>
      </c>
      <c r="DE38" s="155"/>
      <c r="DF38" s="155"/>
      <c r="DG38" s="83"/>
      <c r="DH38" s="83"/>
      <c r="DI38" s="41">
        <f t="shared" si="78"/>
        <v>21.967945751456963</v>
      </c>
      <c r="DJ38" s="41">
        <f t="shared" si="79"/>
        <v>0.68108387105231583</v>
      </c>
      <c r="DK38" s="79" t="str">
        <f t="shared" si="80"/>
        <v>1176-17</v>
      </c>
      <c r="DL38" s="84">
        <f t="shared" si="81"/>
        <v>9.3235555579041923E-3</v>
      </c>
      <c r="DM38" s="84">
        <f t="shared" si="82"/>
        <v>1.9832637994196461E-4</v>
      </c>
      <c r="DN38" s="84">
        <f t="shared" si="83"/>
        <v>1.0981796268226957E-3</v>
      </c>
      <c r="DO38" s="84">
        <f t="shared" si="84"/>
        <v>4.1191123038693009E-5</v>
      </c>
      <c r="DP38" s="84">
        <v>9.3235555579041923E-3</v>
      </c>
      <c r="DQ38" s="84">
        <f t="shared" si="85"/>
        <v>8.4900095851163577</v>
      </c>
      <c r="DR38" s="84">
        <f t="shared" si="86"/>
        <v>0.36545982351910111</v>
      </c>
      <c r="DS38" s="84">
        <f t="shared" si="87"/>
        <v>910.59784353607654</v>
      </c>
      <c r="DT38" s="84">
        <f t="shared" si="88"/>
        <v>34.155202751652325</v>
      </c>
      <c r="DU38" s="84">
        <f t="shared" si="89"/>
        <v>0.86937333324568278</v>
      </c>
      <c r="DV38" s="84">
        <f t="shared" si="90"/>
        <v>1.4036797173580039E-3</v>
      </c>
      <c r="DW38" s="84"/>
      <c r="DX38" s="80">
        <f t="shared" si="91"/>
        <v>4.3045867010536761E-2</v>
      </c>
      <c r="DY38" s="80">
        <f t="shared" si="92"/>
        <v>3.7508547811863059E-2</v>
      </c>
      <c r="DZ38" s="79"/>
      <c r="EA38" s="84">
        <f t="shared" si="93"/>
        <v>60.867436156252829</v>
      </c>
      <c r="EB38" s="84">
        <f t="shared" si="94"/>
        <v>6.4448503328324724</v>
      </c>
      <c r="EC38" s="84">
        <f t="shared" si="95"/>
        <v>0.71870699918745284</v>
      </c>
      <c r="ED38" s="84">
        <f t="shared" si="96"/>
        <v>3.6037822975894675E-2</v>
      </c>
      <c r="EE38" s="84">
        <f t="shared" si="97"/>
        <v>0.26438299850222008</v>
      </c>
      <c r="EF38" s="84">
        <f t="shared" si="98"/>
        <v>1.4036797173580039E-3</v>
      </c>
      <c r="EG38" s="79"/>
      <c r="EH38" s="84">
        <f t="shared" si="99"/>
        <v>0.10588338756848396</v>
      </c>
      <c r="EI38" s="84">
        <f t="shared" si="100"/>
        <v>5.0142579683567695E-2</v>
      </c>
      <c r="EJ38" s="85"/>
      <c r="EK38" s="167">
        <v>0</v>
      </c>
      <c r="EL38" s="85"/>
      <c r="EN38" s="85"/>
      <c r="EO38" s="85"/>
      <c r="EP38" s="85"/>
      <c r="ER38" s="86"/>
    </row>
    <row r="39" spans="1:148" s="75" customFormat="1" x14ac:dyDescent="0.2">
      <c r="A39" s="75" t="s">
        <v>113</v>
      </c>
      <c r="B39" s="75" t="s">
        <v>96</v>
      </c>
      <c r="C39" s="49" t="s">
        <v>71</v>
      </c>
      <c r="D39" s="75">
        <v>8397.5</v>
      </c>
      <c r="E39" s="75">
        <v>16</v>
      </c>
      <c r="F39" s="75">
        <v>146.69999999999999</v>
      </c>
      <c r="G39" s="75">
        <v>1.8</v>
      </c>
      <c r="H39" s="75">
        <v>16.565999999999999</v>
      </c>
      <c r="I39" s="75">
        <v>0.34</v>
      </c>
      <c r="J39" s="75">
        <v>104.8</v>
      </c>
      <c r="K39" s="75">
        <v>0.69</v>
      </c>
      <c r="L39" s="75">
        <v>22.559000000000001</v>
      </c>
      <c r="M39" s="75">
        <v>0.33</v>
      </c>
      <c r="N39" s="49" t="s">
        <v>225</v>
      </c>
      <c r="O39" s="75">
        <v>1558.0360000000001</v>
      </c>
      <c r="P39" s="75">
        <v>6.1325180000000001</v>
      </c>
      <c r="Q39" s="75">
        <v>72.651160000000004</v>
      </c>
      <c r="R39" s="75">
        <v>0.53571500000000005</v>
      </c>
      <c r="S39" s="75">
        <v>1.856528</v>
      </c>
      <c r="T39" s="75">
        <v>0.13794400000000001</v>
      </c>
      <c r="U39" s="75">
        <v>90.160349999999994</v>
      </c>
      <c r="V39" s="75">
        <v>0.51288800000000001</v>
      </c>
      <c r="W39" s="75">
        <v>7.9049690000000004</v>
      </c>
      <c r="X39" s="75">
        <v>0.50581299999999996</v>
      </c>
      <c r="Y39" s="49">
        <f t="shared" si="104"/>
        <v>6839.4639999999999</v>
      </c>
      <c r="Z39" s="49">
        <f t="shared" si="105"/>
        <v>17.134986927929766</v>
      </c>
      <c r="AA39" s="49">
        <f t="shared" si="106"/>
        <v>74.048839999999984</v>
      </c>
      <c r="AB39" s="49">
        <f t="shared" si="107"/>
        <v>1.8780283707188772</v>
      </c>
      <c r="AC39" s="49">
        <f t="shared" si="108"/>
        <v>14.709471999999998</v>
      </c>
      <c r="AD39" s="49">
        <f t="shared" si="109"/>
        <v>0.36691762990622301</v>
      </c>
      <c r="AE39" s="49">
        <f t="shared" si="110"/>
        <v>14.639650000000003</v>
      </c>
      <c r="AF39" s="49"/>
      <c r="AG39" s="49">
        <f t="shared" si="111"/>
        <v>0.85974071704438881</v>
      </c>
      <c r="AH39" s="49">
        <f t="shared" si="112"/>
        <v>14.654031</v>
      </c>
      <c r="AI39" s="49">
        <f t="shared" si="113"/>
        <v>0.60394270503831737</v>
      </c>
      <c r="AJ39" s="49">
        <v>1</v>
      </c>
      <c r="AK39" s="49">
        <v>0</v>
      </c>
      <c r="AL39" s="49">
        <f t="shared" si="114"/>
        <v>6839.4639999999999</v>
      </c>
      <c r="AM39" s="49">
        <f t="shared" si="115"/>
        <v>17.134986927929766</v>
      </c>
      <c r="AN39" s="75">
        <v>1.001212</v>
      </c>
      <c r="AO39" s="49">
        <f t="shared" si="21"/>
        <v>6839.4639999999999</v>
      </c>
      <c r="AP39" s="49">
        <f t="shared" si="22"/>
        <v>17.134986927929766</v>
      </c>
      <c r="AQ39" s="49">
        <f t="shared" si="23"/>
        <v>73.959201447845203</v>
      </c>
      <c r="AR39" s="49">
        <f t="shared" si="24"/>
        <v>1.8780283707188772</v>
      </c>
      <c r="AS39" s="49">
        <f t="shared" si="25"/>
        <v>14.673859402340362</v>
      </c>
      <c r="AT39" s="49">
        <f t="shared" si="26"/>
        <v>0.36691762990622301</v>
      </c>
      <c r="AU39" s="49">
        <f t="shared" si="0"/>
        <v>14.586484668981196</v>
      </c>
      <c r="AV39" s="49">
        <f t="shared" si="27"/>
        <v>0.85974071704438881</v>
      </c>
      <c r="AW39" s="49">
        <f t="shared" si="28"/>
        <v>14.583074257284173</v>
      </c>
      <c r="AX39" s="49">
        <f t="shared" si="29"/>
        <v>0.60394270503831737</v>
      </c>
      <c r="AY39" s="75">
        <v>107.9241</v>
      </c>
      <c r="AZ39" s="75">
        <v>1.0016780000000001</v>
      </c>
      <c r="BA39" s="49">
        <f t="shared" si="116"/>
        <v>6839.4639999999999</v>
      </c>
      <c r="BB39" s="49">
        <f t="shared" si="117"/>
        <v>17.134986927929766</v>
      </c>
      <c r="BC39" s="49">
        <f t="shared" si="118"/>
        <v>74.083304987874698</v>
      </c>
      <c r="BD39" s="49">
        <f t="shared" si="119"/>
        <v>1.8811797023249437</v>
      </c>
      <c r="BE39" s="49">
        <f t="shared" si="120"/>
        <v>14.673859402340362</v>
      </c>
      <c r="BF39" s="49">
        <f t="shared" si="121"/>
        <v>0.36691762990622301</v>
      </c>
      <c r="BG39" s="49">
        <f t="shared" si="122"/>
        <v>1574.2332300635935</v>
      </c>
      <c r="BH39" s="49">
        <f t="shared" si="123"/>
        <v>92.786743120370318</v>
      </c>
      <c r="BI39" s="49">
        <f t="shared" si="124"/>
        <v>14.583074257284173</v>
      </c>
      <c r="BJ39" s="49">
        <f t="shared" si="125"/>
        <v>0.60394270503831737</v>
      </c>
      <c r="BL39" s="58">
        <f t="shared" si="40"/>
        <v>6839.4605634363934</v>
      </c>
      <c r="BM39" s="58">
        <f t="shared" si="41"/>
        <v>17.134986975160061</v>
      </c>
      <c r="BN39" s="141">
        <f t="shared" si="42"/>
        <v>73.036014846910291</v>
      </c>
      <c r="BO39" s="58">
        <f t="shared" si="43"/>
        <v>1.8826646547071832</v>
      </c>
      <c r="BP39" s="58">
        <f t="shared" si="44"/>
        <v>1574.2332300635935</v>
      </c>
      <c r="BQ39" s="58">
        <f t="shared" si="45"/>
        <v>92.786743120370318</v>
      </c>
      <c r="BR39" s="58">
        <f t="shared" si="46"/>
        <v>13.774052659035075</v>
      </c>
      <c r="BS39" s="58">
        <f t="shared" si="47"/>
        <v>0.36763205710238323</v>
      </c>
      <c r="BT39" s="58">
        <f t="shared" si="48"/>
        <v>14.149278548407848</v>
      </c>
      <c r="BU39" s="58">
        <f t="shared" si="49"/>
        <v>0.60449342214910773</v>
      </c>
      <c r="BV39" s="55">
        <f t="shared" si="50"/>
        <v>0.97348091720089891</v>
      </c>
      <c r="BW39" s="59">
        <f t="shared" si="51"/>
        <v>5.0374432005235371E-2</v>
      </c>
      <c r="BX39" s="49"/>
      <c r="BY39" s="55">
        <f t="shared" si="101"/>
        <v>0.41871329105624622</v>
      </c>
      <c r="BZ39" s="49">
        <v>0</v>
      </c>
      <c r="CA39" s="49">
        <f t="shared" si="52"/>
        <v>5.7673789200466157</v>
      </c>
      <c r="CB39" s="49">
        <f t="shared" si="53"/>
        <v>0.15393242852711672</v>
      </c>
      <c r="CC39" s="49">
        <f t="shared" si="54"/>
        <v>5.9244909870753961</v>
      </c>
      <c r="CD39" s="49">
        <f t="shared" si="55"/>
        <v>0.25310943020990567</v>
      </c>
      <c r="CE39" s="49">
        <f t="shared" si="56"/>
        <v>8.006673738988459</v>
      </c>
      <c r="CF39" s="49">
        <f t="shared" si="57"/>
        <v>0.39855805343962858</v>
      </c>
      <c r="CG39" s="49">
        <f t="shared" si="58"/>
        <v>8.2247875613324517</v>
      </c>
      <c r="CH39" s="49">
        <f t="shared" si="59"/>
        <v>0.65534470401668954</v>
      </c>
      <c r="CI39" s="57">
        <f t="shared" si="60"/>
        <v>0.97348091720089891</v>
      </c>
      <c r="CJ39" s="57">
        <f t="shared" si="61"/>
        <v>4.9038548271930854E-2</v>
      </c>
      <c r="CL39" s="60">
        <f t="shared" si="62"/>
        <v>1154.4385126683549</v>
      </c>
      <c r="CM39" s="49">
        <v>1</v>
      </c>
      <c r="CN39" s="49">
        <v>1</v>
      </c>
      <c r="CO39" s="141">
        <f t="shared" si="63"/>
        <v>6833.5360724493175</v>
      </c>
      <c r="CP39" s="58">
        <f t="shared" si="64"/>
        <v>17.166008360203197</v>
      </c>
      <c r="CQ39" s="49">
        <v>2</v>
      </c>
      <c r="CR39" s="55">
        <f t="shared" si="65"/>
        <v>99.913377803232791</v>
      </c>
      <c r="CS39" s="55">
        <f t="shared" si="66"/>
        <v>93.563923042255126</v>
      </c>
      <c r="CT39" s="49">
        <f t="shared" si="67"/>
        <v>2.4232420163142097</v>
      </c>
      <c r="CU39" s="55">
        <f t="shared" si="68"/>
        <v>2263.2757617876773</v>
      </c>
      <c r="CV39" s="55">
        <f t="shared" si="69"/>
        <v>33.501024995596126</v>
      </c>
      <c r="CW39" s="55">
        <f t="shared" si="70"/>
        <v>67.002049991192251</v>
      </c>
      <c r="CX39" s="55">
        <f t="shared" si="71"/>
        <v>2.9604015172357885</v>
      </c>
      <c r="CY39" s="55">
        <f t="shared" si="72"/>
        <v>33.398171418286232</v>
      </c>
      <c r="CZ39" s="55">
        <f t="shared" si="73"/>
        <v>66.796342836572464</v>
      </c>
      <c r="DA39" s="55">
        <f t="shared" si="74"/>
        <v>40.090821138800855</v>
      </c>
      <c r="DB39" s="55">
        <f t="shared" si="75"/>
        <v>1.1727062572252975</v>
      </c>
      <c r="DC39" s="153">
        <f t="shared" ref="DC39:DC40" si="132">CU39</f>
        <v>2263.2757617876773</v>
      </c>
      <c r="DD39" s="153">
        <f t="shared" ref="DD39:DD40" si="133">CW39</f>
        <v>67.002049991192251</v>
      </c>
      <c r="DE39" s="151"/>
      <c r="DF39" s="151"/>
      <c r="DG39" s="60"/>
      <c r="DH39" s="60"/>
      <c r="DI39" s="41">
        <f t="shared" si="78"/>
        <v>40.090821138800855</v>
      </c>
      <c r="DJ39" s="41">
        <f t="shared" si="79"/>
        <v>1.1727062572252975</v>
      </c>
      <c r="DK39" s="49" t="str">
        <f t="shared" si="80"/>
        <v>1176-18</v>
      </c>
      <c r="DL39" s="50">
        <f t="shared" si="81"/>
        <v>1.0678622117855205E-2</v>
      </c>
      <c r="DM39" s="50">
        <f t="shared" si="82"/>
        <v>2.7656211286304427E-4</v>
      </c>
      <c r="DN39" s="50">
        <f t="shared" si="83"/>
        <v>8.6622196767206989E-4</v>
      </c>
      <c r="DO39" s="50">
        <f t="shared" si="84"/>
        <v>3.7070797190904817E-5</v>
      </c>
      <c r="DP39" s="50">
        <v>1.0678622117855205E-2</v>
      </c>
      <c r="DQ39" s="50">
        <f t="shared" si="85"/>
        <v>12.327812635084159</v>
      </c>
      <c r="DR39" s="50">
        <f t="shared" si="86"/>
        <v>0.61511730634642847</v>
      </c>
      <c r="DS39" s="50">
        <f t="shared" si="87"/>
        <v>1154.4385126683549</v>
      </c>
      <c r="DT39" s="50">
        <f t="shared" si="88"/>
        <v>49.405299761111422</v>
      </c>
      <c r="DU39" s="50">
        <f t="shared" si="89"/>
        <v>0.85475158156269582</v>
      </c>
      <c r="DV39" s="50">
        <f t="shared" si="90"/>
        <v>1.8252172561943367E-3</v>
      </c>
      <c r="DW39" s="50"/>
      <c r="DX39" s="58">
        <f t="shared" si="91"/>
        <v>4.9896711164788825E-2</v>
      </c>
      <c r="DY39" s="58">
        <f t="shared" si="92"/>
        <v>4.2795955972498377E-2</v>
      </c>
      <c r="DZ39" s="49"/>
      <c r="EA39" s="50">
        <f t="shared" si="93"/>
        <v>111.25890445069615</v>
      </c>
      <c r="EB39" s="50">
        <f t="shared" si="94"/>
        <v>8.0991961859056882</v>
      </c>
      <c r="EC39" s="50">
        <f t="shared" si="95"/>
        <v>0.97348091720089891</v>
      </c>
      <c r="ED39" s="50">
        <f t="shared" si="96"/>
        <v>4.9038548271930847E-2</v>
      </c>
      <c r="EE39" s="50">
        <f t="shared" si="97"/>
        <v>0.49773394931828108</v>
      </c>
      <c r="EF39" s="50">
        <f t="shared" si="98"/>
        <v>1.825217256194336E-3</v>
      </c>
      <c r="EG39" s="49"/>
      <c r="EH39" s="50">
        <f t="shared" si="99"/>
        <v>7.2795936881571655E-2</v>
      </c>
      <c r="EI39" s="50">
        <f t="shared" si="100"/>
        <v>5.0374432005235371E-2</v>
      </c>
      <c r="EJ39" s="76"/>
      <c r="EK39" s="165">
        <v>0.186</v>
      </c>
      <c r="EL39" s="76"/>
      <c r="EN39" s="76"/>
      <c r="EO39" s="76"/>
      <c r="EP39" s="76"/>
      <c r="ER39" s="77"/>
    </row>
    <row r="40" spans="1:148" s="75" customFormat="1" x14ac:dyDescent="0.2">
      <c r="A40" s="75" t="s">
        <v>114</v>
      </c>
      <c r="B40" s="75" t="s">
        <v>96</v>
      </c>
      <c r="C40" s="49" t="s">
        <v>71</v>
      </c>
      <c r="D40" s="75">
        <v>7057.11</v>
      </c>
      <c r="E40" s="75">
        <v>6</v>
      </c>
      <c r="F40" s="75">
        <v>130.71</v>
      </c>
      <c r="G40" s="75">
        <v>1.7</v>
      </c>
      <c r="H40" s="75">
        <v>19.132000000000001</v>
      </c>
      <c r="I40" s="75">
        <v>0.34</v>
      </c>
      <c r="J40" s="75">
        <v>108.648</v>
      </c>
      <c r="K40" s="75">
        <v>0.73</v>
      </c>
      <c r="L40" s="75">
        <v>23.106999999999999</v>
      </c>
      <c r="M40" s="75">
        <v>0.39</v>
      </c>
      <c r="N40" s="49" t="s">
        <v>225</v>
      </c>
      <c r="O40" s="75">
        <v>1583.5809999999999</v>
      </c>
      <c r="P40" s="75">
        <v>6.1210630000000004</v>
      </c>
      <c r="Q40" s="75">
        <v>72.398849999999996</v>
      </c>
      <c r="R40" s="75">
        <v>0.47218100000000002</v>
      </c>
      <c r="S40" s="75">
        <v>1.939368</v>
      </c>
      <c r="T40" s="75">
        <v>0.12976099999999999</v>
      </c>
      <c r="U40" s="75">
        <v>90.568340000000006</v>
      </c>
      <c r="V40" s="75">
        <v>0.444693</v>
      </c>
      <c r="W40" s="75">
        <v>7.6806169999999998</v>
      </c>
      <c r="X40" s="75">
        <v>0.50150799999999995</v>
      </c>
      <c r="Y40" s="49">
        <f t="shared" si="104"/>
        <v>5473.5289999999995</v>
      </c>
      <c r="Z40" s="49">
        <f t="shared" si="105"/>
        <v>8.5713133328544817</v>
      </c>
      <c r="AA40" s="49">
        <f t="shared" si="106"/>
        <v>58.311150000000012</v>
      </c>
      <c r="AB40" s="49">
        <f t="shared" si="107"/>
        <v>1.7643567940643412</v>
      </c>
      <c r="AC40" s="49">
        <f t="shared" si="108"/>
        <v>17.192632000000003</v>
      </c>
      <c r="AD40" s="49">
        <f t="shared" si="109"/>
        <v>0.36392020707979378</v>
      </c>
      <c r="AE40" s="49">
        <f t="shared" si="110"/>
        <v>18.07965999999999</v>
      </c>
      <c r="AF40" s="49"/>
      <c r="AG40" s="49">
        <f t="shared" si="111"/>
        <v>0.85478176410648821</v>
      </c>
      <c r="AH40" s="49">
        <f t="shared" si="112"/>
        <v>15.426383</v>
      </c>
      <c r="AI40" s="49">
        <f t="shared" si="113"/>
        <v>0.63530329297430843</v>
      </c>
      <c r="AJ40" s="49">
        <v>1</v>
      </c>
      <c r="AK40" s="49">
        <v>0</v>
      </c>
      <c r="AL40" s="49">
        <f t="shared" si="114"/>
        <v>5473.5289999999995</v>
      </c>
      <c r="AM40" s="49">
        <f t="shared" si="115"/>
        <v>8.5713133328544817</v>
      </c>
      <c r="AN40" s="75">
        <v>1.001212</v>
      </c>
      <c r="AO40" s="49">
        <f t="shared" si="21"/>
        <v>5473.5289999999995</v>
      </c>
      <c r="AP40" s="49">
        <f t="shared" si="22"/>
        <v>8.5713133328544817</v>
      </c>
      <c r="AQ40" s="49">
        <f t="shared" si="23"/>
        <v>58.240562438324766</v>
      </c>
      <c r="AR40" s="49">
        <f t="shared" si="24"/>
        <v>1.7643567940643412</v>
      </c>
      <c r="AS40" s="49">
        <f t="shared" si="25"/>
        <v>17.1510075089152</v>
      </c>
      <c r="AT40" s="49">
        <f t="shared" si="26"/>
        <v>0.36392020707979378</v>
      </c>
      <c r="AU40" s="49">
        <f t="shared" si="0"/>
        <v>18.014001933816203</v>
      </c>
      <c r="AV40" s="49">
        <f t="shared" si="27"/>
        <v>0.85478176410648821</v>
      </c>
      <c r="AW40" s="49">
        <f t="shared" si="28"/>
        <v>15.351686427461917</v>
      </c>
      <c r="AX40" s="49">
        <f t="shared" si="29"/>
        <v>0.63530329297430843</v>
      </c>
      <c r="AY40" s="75">
        <v>108.00920000000001</v>
      </c>
      <c r="AZ40" s="75">
        <v>1.0016780000000001</v>
      </c>
      <c r="BA40" s="49">
        <f t="shared" si="116"/>
        <v>5473.5289999999995</v>
      </c>
      <c r="BB40" s="49">
        <f t="shared" si="117"/>
        <v>8.5713133328544817</v>
      </c>
      <c r="BC40" s="49">
        <f t="shared" si="118"/>
        <v>58.338290102096281</v>
      </c>
      <c r="BD40" s="49">
        <f t="shared" si="119"/>
        <v>1.7673173847647814</v>
      </c>
      <c r="BE40" s="49">
        <f t="shared" si="120"/>
        <v>17.1510075089152</v>
      </c>
      <c r="BF40" s="49">
        <f t="shared" si="121"/>
        <v>0.36392020707979378</v>
      </c>
      <c r="BG40" s="49">
        <f t="shared" si="122"/>
        <v>1945.6779376699412</v>
      </c>
      <c r="BH40" s="49">
        <f t="shared" si="123"/>
        <v>92.324294515730514</v>
      </c>
      <c r="BI40" s="49">
        <f t="shared" si="124"/>
        <v>15.351686427461917</v>
      </c>
      <c r="BJ40" s="49">
        <f t="shared" si="125"/>
        <v>0.63530329297430843</v>
      </c>
      <c r="BL40" s="58">
        <f t="shared" si="40"/>
        <v>5473.5263159138931</v>
      </c>
      <c r="BM40" s="58">
        <f t="shared" si="41"/>
        <v>8.5713133905766394</v>
      </c>
      <c r="BN40" s="141">
        <f t="shared" si="42"/>
        <v>57.043888940502598</v>
      </c>
      <c r="BO40" s="58">
        <f t="shared" si="43"/>
        <v>1.7691524566848484</v>
      </c>
      <c r="BP40" s="58">
        <f t="shared" si="44"/>
        <v>1945.6779376699412</v>
      </c>
      <c r="BQ40" s="58">
        <f t="shared" si="45"/>
        <v>92.324294515730514</v>
      </c>
      <c r="BR40" s="58">
        <f t="shared" si="46"/>
        <v>16.432474305642828</v>
      </c>
      <c r="BS40" s="58">
        <f t="shared" si="47"/>
        <v>0.36455728561436401</v>
      </c>
      <c r="BT40" s="58">
        <f t="shared" si="48"/>
        <v>14.815535414957589</v>
      </c>
      <c r="BU40" s="58">
        <f t="shared" si="49"/>
        <v>0.63582661842875432</v>
      </c>
      <c r="BV40" s="55">
        <f t="shared" si="50"/>
        <v>1.1091380665900739</v>
      </c>
      <c r="BW40" s="59">
        <f t="shared" si="51"/>
        <v>4.8311312553916519E-2</v>
      </c>
      <c r="BX40" s="49"/>
      <c r="BY40" s="55">
        <f t="shared" si="101"/>
        <v>0.3184493225498346</v>
      </c>
      <c r="BZ40" s="49">
        <v>0</v>
      </c>
      <c r="CA40" s="49">
        <f t="shared" si="52"/>
        <v>5.2329103104495225</v>
      </c>
      <c r="CB40" s="49">
        <f t="shared" si="53"/>
        <v>0.1160930206345008</v>
      </c>
      <c r="CC40" s="49">
        <f t="shared" si="54"/>
        <v>4.7179972161063271</v>
      </c>
      <c r="CD40" s="49">
        <f t="shared" si="55"/>
        <v>0.20247855589778901</v>
      </c>
      <c r="CE40" s="49">
        <f t="shared" si="56"/>
        <v>11.199563995193305</v>
      </c>
      <c r="CF40" s="49">
        <f t="shared" si="57"/>
        <v>0.38259587548032403</v>
      </c>
      <c r="CG40" s="49">
        <f t="shared" si="58"/>
        <v>10.097538198851261</v>
      </c>
      <c r="CH40" s="49">
        <f t="shared" si="59"/>
        <v>0.66728783467181452</v>
      </c>
      <c r="CI40" s="57">
        <f t="shared" si="60"/>
        <v>1.1091380665900739</v>
      </c>
      <c r="CJ40" s="57">
        <f t="shared" si="61"/>
        <v>5.3583915800479734E-2</v>
      </c>
      <c r="CL40" s="60">
        <f t="shared" si="62"/>
        <v>1160.137673932561</v>
      </c>
      <c r="CM40" s="49">
        <v>1</v>
      </c>
      <c r="CN40" s="49">
        <v>1</v>
      </c>
      <c r="CO40" s="141">
        <f t="shared" si="63"/>
        <v>5468.8083186977865</v>
      </c>
      <c r="CP40" s="58">
        <f t="shared" si="64"/>
        <v>8.6318254619215313</v>
      </c>
      <c r="CQ40" s="49">
        <v>2</v>
      </c>
      <c r="CR40" s="55">
        <f t="shared" si="65"/>
        <v>99.913803333650023</v>
      </c>
      <c r="CS40" s="55">
        <f t="shared" si="66"/>
        <v>95.870187328949712</v>
      </c>
      <c r="CT40" s="49">
        <f t="shared" si="67"/>
        <v>2.9771547163593817</v>
      </c>
      <c r="CU40" s="55">
        <f t="shared" si="68"/>
        <v>2294.7849243882656</v>
      </c>
      <c r="CV40" s="55">
        <f t="shared" si="69"/>
        <v>40.408418921017123</v>
      </c>
      <c r="CW40" s="55">
        <f t="shared" si="70"/>
        <v>80.816837842034246</v>
      </c>
      <c r="CX40" s="55">
        <f t="shared" si="71"/>
        <v>3.521760884130702</v>
      </c>
      <c r="CY40" s="55">
        <f t="shared" si="72"/>
        <v>40.322005139819439</v>
      </c>
      <c r="CZ40" s="55">
        <f t="shared" si="73"/>
        <v>80.644010279638877</v>
      </c>
      <c r="DA40" s="55">
        <f t="shared" si="74"/>
        <v>63.441694303849218</v>
      </c>
      <c r="DB40" s="55">
        <f t="shared" si="75"/>
        <v>2.1104181786586569</v>
      </c>
      <c r="DC40" s="153">
        <f t="shared" si="132"/>
        <v>2294.7849243882656</v>
      </c>
      <c r="DD40" s="153">
        <f t="shared" si="133"/>
        <v>80.816837842034246</v>
      </c>
      <c r="DE40" s="151"/>
      <c r="DF40" s="151"/>
      <c r="DG40" s="60"/>
      <c r="DH40" s="60"/>
      <c r="DI40" s="41">
        <f t="shared" si="78"/>
        <v>63.441694303849218</v>
      </c>
      <c r="DJ40" s="41">
        <f t="shared" si="79"/>
        <v>2.1104181786586569</v>
      </c>
      <c r="DK40" s="49" t="str">
        <f t="shared" si="80"/>
        <v>1176-19</v>
      </c>
      <c r="DL40" s="50">
        <f t="shared" si="81"/>
        <v>1.0421780338326227E-2</v>
      </c>
      <c r="DM40" s="50">
        <f t="shared" si="82"/>
        <v>3.2363162427001015E-4</v>
      </c>
      <c r="DN40" s="50">
        <f t="shared" si="83"/>
        <v>8.6196666349974086E-4</v>
      </c>
      <c r="DO40" s="50">
        <f t="shared" si="84"/>
        <v>3.7016959845505343E-5</v>
      </c>
      <c r="DP40" s="50">
        <v>1.0421780338326227E-2</v>
      </c>
      <c r="DQ40" s="50">
        <f t="shared" si="85"/>
        <v>12.090699999941888</v>
      </c>
      <c r="DR40" s="50">
        <f t="shared" si="86"/>
        <v>0.64019793114309476</v>
      </c>
      <c r="DS40" s="50">
        <f t="shared" si="87"/>
        <v>1160.137673932561</v>
      </c>
      <c r="DT40" s="50">
        <f t="shared" si="88"/>
        <v>49.821845217141032</v>
      </c>
      <c r="DU40" s="50">
        <f t="shared" si="89"/>
        <v>0.80997126130121533</v>
      </c>
      <c r="DV40" s="50">
        <f t="shared" si="90"/>
        <v>1.8418010187630481E-3</v>
      </c>
      <c r="DW40" s="50"/>
      <c r="DX40" s="58">
        <f t="shared" si="91"/>
        <v>5.294961674230373E-2</v>
      </c>
      <c r="DY40" s="58">
        <f t="shared" si="92"/>
        <v>4.2944769691219582E-2</v>
      </c>
      <c r="DZ40" s="49"/>
      <c r="EA40" s="50">
        <f t="shared" si="93"/>
        <v>131.32687298668989</v>
      </c>
      <c r="EB40" s="50">
        <f t="shared" si="94"/>
        <v>8.402246779409106</v>
      </c>
      <c r="EC40" s="50">
        <f t="shared" si="95"/>
        <v>1.1091380665900739</v>
      </c>
      <c r="ED40" s="50">
        <f t="shared" si="96"/>
        <v>5.3583915800479734E-2</v>
      </c>
      <c r="EE40" s="50">
        <f t="shared" si="97"/>
        <v>0.59587071593317231</v>
      </c>
      <c r="EF40" s="50">
        <f t="shared" si="98"/>
        <v>1.8418010187630481E-3</v>
      </c>
      <c r="EG40" s="49"/>
      <c r="EH40" s="50">
        <f t="shared" si="99"/>
        <v>6.397964550835443E-2</v>
      </c>
      <c r="EI40" s="50">
        <f t="shared" si="100"/>
        <v>4.8311312553916519E-2</v>
      </c>
      <c r="EJ40" s="76"/>
      <c r="EK40" s="165">
        <v>0.376</v>
      </c>
      <c r="EL40" s="76"/>
      <c r="EN40" s="76"/>
      <c r="EO40" s="76"/>
      <c r="EP40" s="76"/>
      <c r="ER40" s="77"/>
    </row>
    <row r="41" spans="1:148" s="52" customFormat="1" x14ac:dyDescent="0.2">
      <c r="A41" s="52" t="s">
        <v>115</v>
      </c>
      <c r="B41" s="52" t="s">
        <v>96</v>
      </c>
      <c r="C41" s="42" t="s">
        <v>71</v>
      </c>
      <c r="D41" s="52">
        <v>5939.9</v>
      </c>
      <c r="E41" s="52">
        <v>12</v>
      </c>
      <c r="F41" s="52">
        <v>159.22999999999999</v>
      </c>
      <c r="G41" s="52">
        <v>2</v>
      </c>
      <c r="H41" s="52">
        <v>25.885000000000002</v>
      </c>
      <c r="I41" s="52">
        <v>0.41</v>
      </c>
      <c r="J41" s="52">
        <v>121.70699999999999</v>
      </c>
      <c r="K41" s="52">
        <v>0.82</v>
      </c>
      <c r="L41" s="52">
        <v>27.876000000000001</v>
      </c>
      <c r="M41" s="52">
        <v>0.37</v>
      </c>
      <c r="N41" s="42" t="s">
        <v>225</v>
      </c>
      <c r="O41" s="52">
        <v>1605.9690000000001</v>
      </c>
      <c r="P41" s="52">
        <v>6.0572160000000004</v>
      </c>
      <c r="Q41" s="52">
        <v>72.516390000000001</v>
      </c>
      <c r="R41" s="52">
        <v>0.46324599999999999</v>
      </c>
      <c r="S41" s="52">
        <v>1.9788760000000001</v>
      </c>
      <c r="T41" s="52">
        <v>0.133935</v>
      </c>
      <c r="U41" s="52">
        <v>90.762929999999997</v>
      </c>
      <c r="V41" s="52">
        <v>0.45200600000000002</v>
      </c>
      <c r="W41" s="52">
        <v>7.6465129999999997</v>
      </c>
      <c r="X41" s="52">
        <v>0.46542699999999998</v>
      </c>
      <c r="Y41" s="42">
        <f t="shared" si="104"/>
        <v>4333.9309999999996</v>
      </c>
      <c r="Z41" s="42">
        <f t="shared" si="105"/>
        <v>13.442093053935313</v>
      </c>
      <c r="AA41" s="42">
        <f t="shared" si="106"/>
        <v>86.713609999999989</v>
      </c>
      <c r="AB41" s="42">
        <f t="shared" si="107"/>
        <v>2.0529483326464892</v>
      </c>
      <c r="AC41" s="42">
        <f t="shared" si="108"/>
        <v>23.906124000000002</v>
      </c>
      <c r="AD41" s="42">
        <f t="shared" si="109"/>
        <v>0.43132190325208386</v>
      </c>
      <c r="AE41" s="42">
        <f t="shared" si="110"/>
        <v>30.944069999999996</v>
      </c>
      <c r="AF41" s="42"/>
      <c r="AG41" s="42">
        <f t="shared" si="111"/>
        <v>0.93632762644065992</v>
      </c>
      <c r="AH41" s="42">
        <f t="shared" si="112"/>
        <v>20.229487000000002</v>
      </c>
      <c r="AI41" s="42">
        <f t="shared" si="113"/>
        <v>0.59457740650734447</v>
      </c>
      <c r="AJ41" s="42">
        <v>1</v>
      </c>
      <c r="AK41" s="42">
        <v>0</v>
      </c>
      <c r="AL41" s="42">
        <f t="shared" si="114"/>
        <v>4333.9309999999996</v>
      </c>
      <c r="AM41" s="42">
        <f t="shared" si="115"/>
        <v>13.442093053935313</v>
      </c>
      <c r="AN41" s="52">
        <v>1.001212</v>
      </c>
      <c r="AO41" s="42">
        <f t="shared" si="21"/>
        <v>4333.9309999999996</v>
      </c>
      <c r="AP41" s="42">
        <f t="shared" si="22"/>
        <v>13.442093053935313</v>
      </c>
      <c r="AQ41" s="42">
        <f t="shared" si="23"/>
        <v>86.608640327922544</v>
      </c>
      <c r="AR41" s="42">
        <f t="shared" si="24"/>
        <v>2.0529483326464892</v>
      </c>
      <c r="AS41" s="42">
        <f t="shared" si="25"/>
        <v>23.848245703918852</v>
      </c>
      <c r="AT41" s="42">
        <f t="shared" si="26"/>
        <v>0.43132190325208386</v>
      </c>
      <c r="AU41" s="42">
        <f t="shared" si="0"/>
        <v>30.831693561723185</v>
      </c>
      <c r="AV41" s="42">
        <f t="shared" si="27"/>
        <v>0.93632762644065992</v>
      </c>
      <c r="AW41" s="42">
        <f t="shared" si="28"/>
        <v>20.131533167069517</v>
      </c>
      <c r="AX41" s="42">
        <f t="shared" si="29"/>
        <v>0.59457740650734447</v>
      </c>
      <c r="AY41" s="52">
        <v>108.0497</v>
      </c>
      <c r="AZ41" s="52">
        <v>1.0016780000000001</v>
      </c>
      <c r="BA41" s="42">
        <f t="shared" si="116"/>
        <v>4333.9309999999996</v>
      </c>
      <c r="BB41" s="42">
        <f t="shared" si="117"/>
        <v>13.442093053935313</v>
      </c>
      <c r="BC41" s="42">
        <f t="shared" si="118"/>
        <v>86.753969626392802</v>
      </c>
      <c r="BD41" s="42">
        <f t="shared" si="119"/>
        <v>2.0563931799486701</v>
      </c>
      <c r="BE41" s="42">
        <f t="shared" si="120"/>
        <v>23.848245703918852</v>
      </c>
      <c r="BF41" s="42">
        <f t="shared" si="121"/>
        <v>0.43132190325208386</v>
      </c>
      <c r="BG41" s="42">
        <f t="shared" si="122"/>
        <v>3331.3552398361217</v>
      </c>
      <c r="BH41" s="42">
        <f t="shared" si="123"/>
        <v>101.16991913862537</v>
      </c>
      <c r="BI41" s="42">
        <f t="shared" si="124"/>
        <v>20.131533167069517</v>
      </c>
      <c r="BJ41" s="42">
        <f t="shared" si="125"/>
        <v>0.59457740650734447</v>
      </c>
      <c r="BL41" s="45">
        <f t="shared" si="40"/>
        <v>4333.9270222467112</v>
      </c>
      <c r="BM41" s="45">
        <f t="shared" si="41"/>
        <v>13.442093134554684</v>
      </c>
      <c r="BN41" s="141">
        <f t="shared" si="42"/>
        <v>84.537718925987022</v>
      </c>
      <c r="BO41" s="45">
        <f t="shared" si="43"/>
        <v>2.0594291778187594</v>
      </c>
      <c r="BP41" s="45">
        <f t="shared" si="44"/>
        <v>3331.3552398361217</v>
      </c>
      <c r="BQ41" s="45">
        <f t="shared" si="45"/>
        <v>101.16991913862537</v>
      </c>
      <c r="BR41" s="45">
        <f t="shared" si="46"/>
        <v>22.773545389731893</v>
      </c>
      <c r="BS41" s="45">
        <f t="shared" si="47"/>
        <v>0.43207911839105562</v>
      </c>
      <c r="BT41" s="45">
        <f t="shared" si="48"/>
        <v>19.213544917180275</v>
      </c>
      <c r="BU41" s="45">
        <f t="shared" si="49"/>
        <v>0.59527489012690393</v>
      </c>
      <c r="BV41" s="41">
        <f t="shared" si="50"/>
        <v>1.1852859786102434</v>
      </c>
      <c r="BW41" s="46">
        <f t="shared" si="51"/>
        <v>3.6329824816508476E-2</v>
      </c>
      <c r="BX41" s="42"/>
      <c r="BY41" s="41">
        <f t="shared" si="101"/>
        <v>0.26216853022154962</v>
      </c>
      <c r="BZ41" s="42">
        <v>0</v>
      </c>
      <c r="CA41" s="42">
        <f t="shared" si="52"/>
        <v>5.9705069227597578</v>
      </c>
      <c r="CB41" s="42">
        <f t="shared" si="53"/>
        <v>0.11327754740800597</v>
      </c>
      <c r="CC41" s="42">
        <f t="shared" si="54"/>
        <v>5.0371868312828783</v>
      </c>
      <c r="CD41" s="42">
        <f t="shared" si="55"/>
        <v>0.15606234302236485</v>
      </c>
      <c r="CE41" s="42">
        <f t="shared" si="56"/>
        <v>16.803038466972136</v>
      </c>
      <c r="CF41" s="42">
        <f t="shared" si="57"/>
        <v>0.44668128156031439</v>
      </c>
      <c r="CG41" s="42">
        <f t="shared" si="58"/>
        <v>14.176358085897398</v>
      </c>
      <c r="CH41" s="42">
        <f t="shared" si="59"/>
        <v>0.61539227304641042</v>
      </c>
      <c r="CI41" s="44">
        <f t="shared" si="60"/>
        <v>1.1852859786102434</v>
      </c>
      <c r="CJ41" s="44">
        <f t="shared" si="61"/>
        <v>4.3061231960373966E-2</v>
      </c>
      <c r="CL41" s="47">
        <f t="shared" si="62"/>
        <v>860.38639570232897</v>
      </c>
      <c r="CM41" s="42">
        <v>1</v>
      </c>
      <c r="CN41" s="42">
        <v>1</v>
      </c>
      <c r="CO41" s="141">
        <f t="shared" si="63"/>
        <v>4328.889835415428</v>
      </c>
      <c r="CP41" s="45">
        <f t="shared" si="64"/>
        <v>13.480141812790835</v>
      </c>
      <c r="CQ41" s="42">
        <v>2</v>
      </c>
      <c r="CR41" s="41">
        <f t="shared" si="65"/>
        <v>99.883773150645439</v>
      </c>
      <c r="CS41" s="41">
        <f t="shared" si="66"/>
        <v>51.206608013700745</v>
      </c>
      <c r="CT41" s="42">
        <f t="shared" si="67"/>
        <v>1.2575978403227084</v>
      </c>
      <c r="CU41" s="41">
        <f t="shared" si="68"/>
        <v>1557.9530059934932</v>
      </c>
      <c r="CV41" s="41">
        <f t="shared" si="69"/>
        <v>25.712495340974783</v>
      </c>
      <c r="CW41" s="41">
        <f t="shared" si="70"/>
        <v>51.424990681949566</v>
      </c>
      <c r="CX41" s="41">
        <f t="shared" si="71"/>
        <v>3.3008049975908156</v>
      </c>
      <c r="CY41" s="41">
        <f t="shared" si="72"/>
        <v>25.624749445900147</v>
      </c>
      <c r="CZ41" s="41">
        <f t="shared" si="73"/>
        <v>51.249498891800293</v>
      </c>
      <c r="DA41" s="41">
        <f t="shared" si="74"/>
        <v>73.296521657037857</v>
      </c>
      <c r="DB41" s="41">
        <f t="shared" si="75"/>
        <v>1.8531812227004647</v>
      </c>
      <c r="DC41" s="151"/>
      <c r="DD41" s="151"/>
      <c r="DE41" s="153">
        <f t="shared" ref="DE41" si="134">CU41</f>
        <v>1557.9530059934932</v>
      </c>
      <c r="DF41" s="153">
        <f t="shared" ref="DF41" si="135">CW41</f>
        <v>51.424990681949566</v>
      </c>
      <c r="DG41" s="128">
        <f t="shared" ref="DG41:DH43" si="136">DE41</f>
        <v>1557.9530059934932</v>
      </c>
      <c r="DH41" s="128">
        <f t="shared" si="136"/>
        <v>51.424990681949566</v>
      </c>
      <c r="DI41" s="41">
        <f t="shared" si="78"/>
        <v>73.296521657037857</v>
      </c>
      <c r="DJ41" s="41">
        <f t="shared" si="79"/>
        <v>1.8531812227004647</v>
      </c>
      <c r="DK41" s="42" t="str">
        <f t="shared" si="80"/>
        <v>1176-20</v>
      </c>
      <c r="DL41" s="48">
        <f t="shared" si="81"/>
        <v>1.9506031941018378E-2</v>
      </c>
      <c r="DM41" s="48">
        <f t="shared" si="82"/>
        <v>4.7902365381002275E-4</v>
      </c>
      <c r="DN41" s="48">
        <f t="shared" si="83"/>
        <v>1.1622684935455134E-3</v>
      </c>
      <c r="DO41" s="48">
        <f t="shared" si="84"/>
        <v>3.6189445274820178E-5</v>
      </c>
      <c r="DP41" s="48">
        <v>1.9506031941018378E-2</v>
      </c>
      <c r="DQ41" s="48">
        <f t="shared" si="85"/>
        <v>16.782724516187308</v>
      </c>
      <c r="DR41" s="48">
        <f t="shared" si="86"/>
        <v>0.66144988570663499</v>
      </c>
      <c r="DS41" s="48">
        <f t="shared" si="87"/>
        <v>860.38639570232897</v>
      </c>
      <c r="DT41" s="48">
        <f t="shared" si="88"/>
        <v>26.789770655733534</v>
      </c>
      <c r="DU41" s="48">
        <f t="shared" si="89"/>
        <v>0.78218626618354969</v>
      </c>
      <c r="DV41" s="48">
        <f t="shared" si="90"/>
        <v>9.5988703786243973E-4</v>
      </c>
      <c r="DW41" s="48"/>
      <c r="DX41" s="45">
        <f t="shared" si="91"/>
        <v>3.9412545029184745E-2</v>
      </c>
      <c r="DY41" s="45">
        <f t="shared" si="92"/>
        <v>3.1136906382469218E-2</v>
      </c>
      <c r="DZ41" s="42"/>
      <c r="EA41" s="48">
        <f t="shared" si="93"/>
        <v>173.38576791507674</v>
      </c>
      <c r="EB41" s="48">
        <f t="shared" si="94"/>
        <v>7.5221513586683875</v>
      </c>
      <c r="EC41" s="48">
        <f t="shared" si="95"/>
        <v>1.1852859786102434</v>
      </c>
      <c r="ED41" s="48">
        <f t="shared" si="96"/>
        <v>4.3061231960373959E-2</v>
      </c>
      <c r="EE41" s="48">
        <f t="shared" si="97"/>
        <v>0.6090152977283797</v>
      </c>
      <c r="EF41" s="48">
        <f t="shared" si="98"/>
        <v>9.5988703786243951E-4</v>
      </c>
      <c r="EG41" s="42"/>
      <c r="EH41" s="48">
        <f t="shared" si="99"/>
        <v>4.3383903126078316E-2</v>
      </c>
      <c r="EI41" s="48">
        <f t="shared" si="100"/>
        <v>3.6329824816508476E-2</v>
      </c>
      <c r="EJ41" s="53"/>
      <c r="EK41" s="165">
        <v>0.56599999999999995</v>
      </c>
      <c r="EL41" s="53"/>
      <c r="EN41" s="53"/>
      <c r="EO41" s="53"/>
      <c r="EP41" s="53"/>
      <c r="ER41" s="54"/>
    </row>
    <row r="42" spans="1:148" s="52" customFormat="1" x14ac:dyDescent="0.2">
      <c r="A42" s="52" t="s">
        <v>116</v>
      </c>
      <c r="B42" s="52" t="s">
        <v>96</v>
      </c>
      <c r="C42" s="42" t="s">
        <v>71</v>
      </c>
      <c r="D42" s="52">
        <v>5743.9</v>
      </c>
      <c r="E42" s="52">
        <v>11</v>
      </c>
      <c r="F42" s="52">
        <v>150.69999999999999</v>
      </c>
      <c r="G42" s="52">
        <v>1.8</v>
      </c>
      <c r="H42" s="52">
        <v>25.888000000000002</v>
      </c>
      <c r="I42" s="52">
        <v>0.44</v>
      </c>
      <c r="J42" s="52">
        <v>124.646</v>
      </c>
      <c r="K42" s="52">
        <v>0.94</v>
      </c>
      <c r="L42" s="52">
        <v>27.033999999999999</v>
      </c>
      <c r="M42" s="52">
        <v>0.45</v>
      </c>
      <c r="N42" s="42" t="s">
        <v>225</v>
      </c>
      <c r="O42" s="52">
        <v>1714.136</v>
      </c>
      <c r="P42" s="52">
        <v>5.8756490000000001</v>
      </c>
      <c r="Q42" s="52">
        <v>73.106960000000001</v>
      </c>
      <c r="R42" s="52">
        <v>0.44965100000000002</v>
      </c>
      <c r="S42" s="52">
        <v>2.199246</v>
      </c>
      <c r="T42" s="52">
        <v>0.123554</v>
      </c>
      <c r="U42" s="52">
        <v>91.239220000000003</v>
      </c>
      <c r="V42" s="52">
        <v>0.52794399999999997</v>
      </c>
      <c r="W42" s="52">
        <v>7.5607509999999998</v>
      </c>
      <c r="X42" s="52">
        <v>0.60919500000000004</v>
      </c>
      <c r="Y42" s="42">
        <f t="shared" si="104"/>
        <v>4029.7639999999997</v>
      </c>
      <c r="Z42" s="42">
        <f t="shared" si="105"/>
        <v>12.470896165520784</v>
      </c>
      <c r="AA42" s="42">
        <f t="shared" si="106"/>
        <v>77.593039999999988</v>
      </c>
      <c r="AB42" s="42">
        <f t="shared" si="107"/>
        <v>1.8553129174888532</v>
      </c>
      <c r="AC42" s="42">
        <f t="shared" si="108"/>
        <v>23.688754000000003</v>
      </c>
      <c r="AD42" s="42">
        <f t="shared" si="109"/>
        <v>0.45701815162638781</v>
      </c>
      <c r="AE42" s="42">
        <f t="shared" si="110"/>
        <v>33.406779999999998</v>
      </c>
      <c r="AF42" s="42"/>
      <c r="AG42" s="42">
        <f t="shared" si="111"/>
        <v>1.0781117136623644</v>
      </c>
      <c r="AH42" s="42">
        <f t="shared" si="112"/>
        <v>19.473248999999999</v>
      </c>
      <c r="AI42" s="42">
        <f t="shared" si="113"/>
        <v>0.75737609417316576</v>
      </c>
      <c r="AJ42" s="42">
        <v>1</v>
      </c>
      <c r="AK42" s="42">
        <v>0</v>
      </c>
      <c r="AL42" s="42">
        <f t="shared" si="114"/>
        <v>4029.7639999999997</v>
      </c>
      <c r="AM42" s="42">
        <f t="shared" si="115"/>
        <v>12.470896165520784</v>
      </c>
      <c r="AN42" s="52">
        <v>1.001212</v>
      </c>
      <c r="AO42" s="42">
        <f t="shared" si="21"/>
        <v>4029.7639999999997</v>
      </c>
      <c r="AP42" s="42">
        <f t="shared" si="22"/>
        <v>12.470896165520784</v>
      </c>
      <c r="AQ42" s="42">
        <f t="shared" si="23"/>
        <v>77.499111077374209</v>
      </c>
      <c r="AR42" s="42">
        <f t="shared" si="24"/>
        <v>1.8553129174888532</v>
      </c>
      <c r="AS42" s="42">
        <f t="shared" si="25"/>
        <v>23.631401970963196</v>
      </c>
      <c r="AT42" s="42">
        <f t="shared" si="26"/>
        <v>0.45701815162638781</v>
      </c>
      <c r="AU42" s="42">
        <f t="shared" si="0"/>
        <v>33.285459987774807</v>
      </c>
      <c r="AV42" s="42">
        <f t="shared" si="27"/>
        <v>1.0781117136623644</v>
      </c>
      <c r="AW42" s="42">
        <f t="shared" si="28"/>
        <v>19.378956970787407</v>
      </c>
      <c r="AX42" s="42">
        <f t="shared" si="29"/>
        <v>0.75737609417316576</v>
      </c>
      <c r="AY42" s="52">
        <v>108.2116</v>
      </c>
      <c r="AZ42" s="52">
        <v>1.001679</v>
      </c>
      <c r="BA42" s="42">
        <f t="shared" si="116"/>
        <v>4029.7639999999997</v>
      </c>
      <c r="BB42" s="42">
        <f t="shared" si="117"/>
        <v>12.470896165520784</v>
      </c>
      <c r="BC42" s="42">
        <f t="shared" si="118"/>
        <v>77.629232084873124</v>
      </c>
      <c r="BD42" s="42">
        <f t="shared" si="119"/>
        <v>1.8584279878773169</v>
      </c>
      <c r="BE42" s="42">
        <f t="shared" si="120"/>
        <v>23.631401970963196</v>
      </c>
      <c r="BF42" s="42">
        <f t="shared" si="121"/>
        <v>0.45701815162638781</v>
      </c>
      <c r="BG42" s="42">
        <f t="shared" si="122"/>
        <v>3601.8728820130923</v>
      </c>
      <c r="BH42" s="42">
        <f t="shared" si="123"/>
        <v>116.66419351414631</v>
      </c>
      <c r="BI42" s="42">
        <f t="shared" si="124"/>
        <v>19.378956970787407</v>
      </c>
      <c r="BJ42" s="42">
        <f t="shared" si="125"/>
        <v>0.75737609417316576</v>
      </c>
      <c r="BL42" s="45">
        <f t="shared" si="40"/>
        <v>4029.7604600609866</v>
      </c>
      <c r="BM42" s="45">
        <f t="shared" si="41"/>
        <v>12.470896234352116</v>
      </c>
      <c r="BN42" s="141">
        <f t="shared" si="42"/>
        <v>75.233014112656278</v>
      </c>
      <c r="BO42" s="45">
        <f t="shared" si="43"/>
        <v>1.8625493856343522</v>
      </c>
      <c r="BP42" s="45">
        <f t="shared" si="44"/>
        <v>3601.8728820130923</v>
      </c>
      <c r="BQ42" s="45">
        <f t="shared" si="45"/>
        <v>116.66419351414631</v>
      </c>
      <c r="BR42" s="45">
        <f t="shared" si="46"/>
        <v>22.660975695490556</v>
      </c>
      <c r="BS42" s="45">
        <f t="shared" si="47"/>
        <v>0.45761731541743661</v>
      </c>
      <c r="BT42" s="45">
        <f t="shared" si="48"/>
        <v>18.386424879419877</v>
      </c>
      <c r="BU42" s="45">
        <f t="shared" si="49"/>
        <v>0.7580987041825703</v>
      </c>
      <c r="BV42" s="41">
        <f t="shared" si="50"/>
        <v>1.2324840660489267</v>
      </c>
      <c r="BW42" s="46">
        <f t="shared" si="51"/>
        <v>4.5911129026001529E-2</v>
      </c>
      <c r="BX42" s="42"/>
      <c r="BY42" s="41">
        <f t="shared" si="101"/>
        <v>0.22728450402887904</v>
      </c>
      <c r="BZ42" s="42">
        <v>0</v>
      </c>
      <c r="CA42" s="42">
        <f t="shared" si="52"/>
        <v>5.1504886217600534</v>
      </c>
      <c r="CB42" s="42">
        <f t="shared" si="53"/>
        <v>0.10400932456967919</v>
      </c>
      <c r="CC42" s="42">
        <f t="shared" si="54"/>
        <v>4.1789494595831886</v>
      </c>
      <c r="CD42" s="42">
        <f t="shared" si="55"/>
        <v>0.17230408798507138</v>
      </c>
      <c r="CE42" s="42">
        <f t="shared" si="56"/>
        <v>17.510487073730502</v>
      </c>
      <c r="CF42" s="42">
        <f t="shared" si="57"/>
        <v>0.4692883409667265</v>
      </c>
      <c r="CG42" s="42">
        <f t="shared" si="58"/>
        <v>14.207475419836689</v>
      </c>
      <c r="CH42" s="42">
        <f t="shared" si="59"/>
        <v>0.77743317656224287</v>
      </c>
      <c r="CI42" s="44">
        <f t="shared" si="60"/>
        <v>1.2324840660489267</v>
      </c>
      <c r="CJ42" s="44">
        <f t="shared" si="61"/>
        <v>5.6584734978863266E-2</v>
      </c>
      <c r="CL42" s="47">
        <f t="shared" si="62"/>
        <v>964.29987943977619</v>
      </c>
      <c r="CM42" s="42">
        <v>1</v>
      </c>
      <c r="CN42" s="42">
        <v>1</v>
      </c>
      <c r="CO42" s="141">
        <f t="shared" si="63"/>
        <v>4025.5815106014034</v>
      </c>
      <c r="CP42" s="45">
        <f t="shared" si="64"/>
        <v>12.512111795644818</v>
      </c>
      <c r="CQ42" s="42">
        <v>2</v>
      </c>
      <c r="CR42" s="41">
        <f t="shared" si="65"/>
        <v>99.89629781965948</v>
      </c>
      <c r="CS42" s="41">
        <f t="shared" si="66"/>
        <v>53.508177999799017</v>
      </c>
      <c r="CT42" s="42">
        <f t="shared" si="67"/>
        <v>1.3351050316393647</v>
      </c>
      <c r="CU42" s="41">
        <f t="shared" si="68"/>
        <v>1604.2505046446554</v>
      </c>
      <c r="CV42" s="41">
        <f t="shared" si="69"/>
        <v>26.60275173881184</v>
      </c>
      <c r="CW42" s="41">
        <f t="shared" si="70"/>
        <v>53.205503477623679</v>
      </c>
      <c r="CX42" s="41">
        <f t="shared" si="71"/>
        <v>3.3165333795178582</v>
      </c>
      <c r="CY42" s="41">
        <f t="shared" si="72"/>
        <v>26.514784814425141</v>
      </c>
      <c r="CZ42" s="41">
        <f t="shared" si="73"/>
        <v>53.029569628850282</v>
      </c>
      <c r="DA42" s="41">
        <f t="shared" si="74"/>
        <v>89.049782725869989</v>
      </c>
      <c r="DB42" s="41">
        <f t="shared" si="75"/>
        <v>2.2980346180059126</v>
      </c>
      <c r="DC42" s="151"/>
      <c r="DD42" s="151"/>
      <c r="DE42" s="153">
        <f t="shared" ref="DE42:DE43" si="137">CU42</f>
        <v>1604.2505046446554</v>
      </c>
      <c r="DF42" s="153">
        <f t="shared" ref="DF42:DF43" si="138">CW42</f>
        <v>53.205503477623679</v>
      </c>
      <c r="DG42" s="128">
        <f t="shared" si="136"/>
        <v>1604.2505046446554</v>
      </c>
      <c r="DH42" s="128">
        <f t="shared" si="136"/>
        <v>53.205503477623679</v>
      </c>
      <c r="DI42" s="41">
        <f t="shared" si="78"/>
        <v>89.049782725869989</v>
      </c>
      <c r="DJ42" s="41">
        <f t="shared" si="79"/>
        <v>2.2980346180059126</v>
      </c>
      <c r="DK42" s="42" t="str">
        <f t="shared" si="80"/>
        <v>1176-21</v>
      </c>
      <c r="DL42" s="48">
        <f t="shared" si="81"/>
        <v>1.8669351406440098E-2</v>
      </c>
      <c r="DM42" s="48">
        <f t="shared" si="82"/>
        <v>4.6579561608346188E-4</v>
      </c>
      <c r="DN42" s="48">
        <f t="shared" si="83"/>
        <v>1.0370218034051444E-3</v>
      </c>
      <c r="DO42" s="48">
        <f t="shared" si="84"/>
        <v>4.2878167933767639E-5</v>
      </c>
      <c r="DP42" s="48">
        <v>1.8669351406440098E-2</v>
      </c>
      <c r="DQ42" s="48">
        <f t="shared" si="85"/>
        <v>18.002853310449002</v>
      </c>
      <c r="DR42" s="48">
        <f t="shared" si="86"/>
        <v>0.8658126190782135</v>
      </c>
      <c r="DS42" s="48">
        <f t="shared" si="87"/>
        <v>964.29987943977619</v>
      </c>
      <c r="DT42" s="48">
        <f t="shared" si="88"/>
        <v>39.871304569839381</v>
      </c>
      <c r="DU42" s="48">
        <f t="shared" si="89"/>
        <v>0.8549210753510007</v>
      </c>
      <c r="DV42" s="48">
        <f t="shared" si="90"/>
        <v>1.7000313303104091E-3</v>
      </c>
      <c r="DW42" s="48"/>
      <c r="DX42" s="45">
        <f t="shared" si="91"/>
        <v>4.8093077477651215E-2</v>
      </c>
      <c r="DY42" s="45">
        <f t="shared" si="92"/>
        <v>4.1347412169130612E-2</v>
      </c>
      <c r="DZ42" s="42"/>
      <c r="EA42" s="48">
        <f t="shared" si="93"/>
        <v>195.89849063287488</v>
      </c>
      <c r="EB42" s="48">
        <f t="shared" si="94"/>
        <v>10.271387712345387</v>
      </c>
      <c r="EC42" s="48">
        <f t="shared" si="95"/>
        <v>1.2324840660489267</v>
      </c>
      <c r="ED42" s="48">
        <f t="shared" si="96"/>
        <v>5.6584734978863266E-2</v>
      </c>
      <c r="EE42" s="48">
        <f t="shared" si="97"/>
        <v>0.70622147464418095</v>
      </c>
      <c r="EF42" s="48">
        <f t="shared" si="98"/>
        <v>1.7000313303104091E-3</v>
      </c>
      <c r="EG42" s="42"/>
      <c r="EH42" s="48">
        <f t="shared" si="99"/>
        <v>5.2432194240815071E-2</v>
      </c>
      <c r="EI42" s="48">
        <f t="shared" si="100"/>
        <v>4.5911129026001529E-2</v>
      </c>
      <c r="EJ42" s="53"/>
      <c r="EK42" s="165">
        <v>0.73499999999999999</v>
      </c>
      <c r="EL42" s="53"/>
      <c r="EN42" s="53"/>
      <c r="EO42" s="53"/>
      <c r="EP42" s="53"/>
      <c r="ER42" s="54"/>
    </row>
    <row r="43" spans="1:148" s="52" customFormat="1" x14ac:dyDescent="0.2">
      <c r="A43" s="52" t="s">
        <v>117</v>
      </c>
      <c r="B43" s="52" t="s">
        <v>96</v>
      </c>
      <c r="C43" s="42" t="s">
        <v>71</v>
      </c>
      <c r="D43" s="52">
        <v>3553.92</v>
      </c>
      <c r="E43" s="52">
        <v>8.6</v>
      </c>
      <c r="F43" s="52">
        <v>138.77000000000001</v>
      </c>
      <c r="G43" s="52">
        <v>1.8</v>
      </c>
      <c r="H43" s="52">
        <v>11.02</v>
      </c>
      <c r="I43" s="52">
        <v>0.31</v>
      </c>
      <c r="J43" s="52">
        <v>96.840999999999994</v>
      </c>
      <c r="K43" s="52">
        <v>0.74</v>
      </c>
      <c r="L43" s="52">
        <v>16.890999999999998</v>
      </c>
      <c r="M43" s="52">
        <v>0.41</v>
      </c>
      <c r="N43" s="42" t="s">
        <v>225</v>
      </c>
      <c r="O43" s="52">
        <v>1710.1379999999999</v>
      </c>
      <c r="P43" s="52">
        <v>5.9400930000000001</v>
      </c>
      <c r="Q43" s="52">
        <v>73.265479999999997</v>
      </c>
      <c r="R43" s="52">
        <v>0.51824700000000001</v>
      </c>
      <c r="S43" s="52">
        <v>2.2961230000000001</v>
      </c>
      <c r="T43" s="52">
        <v>0.121448</v>
      </c>
      <c r="U43" s="52">
        <v>91.161010000000005</v>
      </c>
      <c r="V43" s="52">
        <v>0.48300300000000002</v>
      </c>
      <c r="W43" s="52">
        <v>7.5723770000000004</v>
      </c>
      <c r="X43" s="52">
        <v>0.54786599999999996</v>
      </c>
      <c r="Y43" s="42">
        <f t="shared" si="104"/>
        <v>1843.7820000000002</v>
      </c>
      <c r="Z43" s="42">
        <f t="shared" si="105"/>
        <v>10.452019175673616</v>
      </c>
      <c r="AA43" s="42">
        <f t="shared" si="106"/>
        <v>65.504520000000014</v>
      </c>
      <c r="AB43" s="42">
        <f t="shared" si="107"/>
        <v>1.8731203786753803</v>
      </c>
      <c r="AC43" s="42">
        <f t="shared" si="108"/>
        <v>8.7238769999999999</v>
      </c>
      <c r="AD43" s="42">
        <f t="shared" si="109"/>
        <v>0.33294086067048007</v>
      </c>
      <c r="AE43" s="42">
        <f t="shared" si="110"/>
        <v>5.6799899999999894</v>
      </c>
      <c r="AF43" s="42"/>
      <c r="AG43" s="42">
        <f t="shared" si="111"/>
        <v>0.88368088018752566</v>
      </c>
      <c r="AH43" s="42">
        <f t="shared" si="112"/>
        <v>9.3186229999999988</v>
      </c>
      <c r="AI43" s="42">
        <f t="shared" si="113"/>
        <v>0.68429317836436154</v>
      </c>
      <c r="AJ43" s="42">
        <v>1</v>
      </c>
      <c r="AK43" s="42">
        <v>0</v>
      </c>
      <c r="AL43" s="42">
        <f t="shared" si="114"/>
        <v>1843.7820000000002</v>
      </c>
      <c r="AM43" s="42">
        <f t="shared" si="115"/>
        <v>10.452019175673616</v>
      </c>
      <c r="AN43" s="52">
        <v>1.001212</v>
      </c>
      <c r="AO43" s="42">
        <f t="shared" si="21"/>
        <v>1843.7820000000002</v>
      </c>
      <c r="AP43" s="42">
        <f t="shared" si="22"/>
        <v>10.452019175673616</v>
      </c>
      <c r="AQ43" s="42">
        <f t="shared" si="23"/>
        <v>65.425224627751177</v>
      </c>
      <c r="AR43" s="42">
        <f t="shared" si="24"/>
        <v>1.8731203786753803</v>
      </c>
      <c r="AS43" s="42">
        <f t="shared" si="25"/>
        <v>8.7027559208998699</v>
      </c>
      <c r="AT43" s="42">
        <f t="shared" si="26"/>
        <v>0.33294086067048007</v>
      </c>
      <c r="AU43" s="42">
        <f t="shared" si="0"/>
        <v>5.6593625568211214</v>
      </c>
      <c r="AV43" s="42">
        <f t="shared" si="27"/>
        <v>0.88368088018752566</v>
      </c>
      <c r="AW43" s="42">
        <f t="shared" si="28"/>
        <v>9.2735010035556904</v>
      </c>
      <c r="AX43" s="42">
        <f t="shared" si="29"/>
        <v>0.68429317836436154</v>
      </c>
      <c r="AY43" s="52">
        <v>108.25230000000001</v>
      </c>
      <c r="AZ43" s="52">
        <v>1.001679</v>
      </c>
      <c r="BA43" s="42">
        <f t="shared" si="116"/>
        <v>1843.7820000000002</v>
      </c>
      <c r="BB43" s="42">
        <f t="shared" si="117"/>
        <v>10.452019175673616</v>
      </c>
      <c r="BC43" s="42">
        <f t="shared" si="118"/>
        <v>65.535073579901166</v>
      </c>
      <c r="BD43" s="42">
        <f t="shared" si="119"/>
        <v>1.8762653477911762</v>
      </c>
      <c r="BE43" s="42">
        <f t="shared" si="120"/>
        <v>8.7027559208998699</v>
      </c>
      <c r="BF43" s="42">
        <f t="shared" si="121"/>
        <v>0.33294086067048007</v>
      </c>
      <c r="BG43" s="42">
        <f t="shared" si="122"/>
        <v>612.63901330976717</v>
      </c>
      <c r="BH43" s="42">
        <f t="shared" si="123"/>
        <v>95.660487746324094</v>
      </c>
      <c r="BI43" s="42">
        <f t="shared" si="124"/>
        <v>9.2735010035556904</v>
      </c>
      <c r="BJ43" s="42">
        <f t="shared" si="125"/>
        <v>0.68429317836436154</v>
      </c>
      <c r="BL43" s="45">
        <f t="shared" si="40"/>
        <v>1843.778935555591</v>
      </c>
      <c r="BM43" s="45">
        <f t="shared" si="41"/>
        <v>10.452019237316977</v>
      </c>
      <c r="BN43" s="141">
        <f t="shared" si="42"/>
        <v>65.127503223516584</v>
      </c>
      <c r="BO43" s="45">
        <f t="shared" si="43"/>
        <v>1.8774160713995214</v>
      </c>
      <c r="BP43" s="45">
        <f t="shared" si="44"/>
        <v>612.63901330976717</v>
      </c>
      <c r="BQ43" s="45">
        <f t="shared" si="45"/>
        <v>95.660487746324094</v>
      </c>
      <c r="BR43" s="45">
        <f t="shared" si="46"/>
        <v>7.9177817478943702</v>
      </c>
      <c r="BS43" s="45">
        <f t="shared" si="47"/>
        <v>0.33371021870431633</v>
      </c>
      <c r="BT43" s="45">
        <f t="shared" si="48"/>
        <v>9.1046821970480512</v>
      </c>
      <c r="BU43" s="45">
        <f t="shared" si="49"/>
        <v>0.6848020126580886</v>
      </c>
      <c r="BV43" s="41">
        <f t="shared" si="50"/>
        <v>0.86963845376849047</v>
      </c>
      <c r="BW43" s="46">
        <f t="shared" si="51"/>
        <v>8.6218038648293999E-2</v>
      </c>
      <c r="BX43" s="42"/>
      <c r="BY43" s="41">
        <f t="shared" si="101"/>
        <v>0.49546307925462646</v>
      </c>
      <c r="BZ43" s="42">
        <v>0</v>
      </c>
      <c r="CA43" s="42">
        <f t="shared" si="52"/>
        <v>3.9229685256778231</v>
      </c>
      <c r="CB43" s="42">
        <f t="shared" si="53"/>
        <v>0.16534109253797541</v>
      </c>
      <c r="CC43" s="42">
        <f t="shared" si="54"/>
        <v>4.5110338769842055</v>
      </c>
      <c r="CD43" s="42">
        <f t="shared" si="55"/>
        <v>0.33929411387134228</v>
      </c>
      <c r="CE43" s="42">
        <f t="shared" si="56"/>
        <v>3.9948132222165471</v>
      </c>
      <c r="CF43" s="42">
        <f t="shared" si="57"/>
        <v>0.3724247399802193</v>
      </c>
      <c r="CG43" s="42">
        <f t="shared" si="58"/>
        <v>4.5936483200638456</v>
      </c>
      <c r="CH43" s="42">
        <f t="shared" si="59"/>
        <v>0.76424753336095785</v>
      </c>
      <c r="CI43" s="44">
        <f t="shared" si="60"/>
        <v>0.86963845376849036</v>
      </c>
      <c r="CJ43" s="44">
        <f t="shared" si="61"/>
        <v>7.4978521817054333E-2</v>
      </c>
      <c r="CL43" s="47">
        <f t="shared" si="62"/>
        <v>408.72646622379744</v>
      </c>
      <c r="CM43" s="42">
        <v>1</v>
      </c>
      <c r="CN43" s="42">
        <v>1</v>
      </c>
      <c r="CO43" s="141">
        <f t="shared" si="63"/>
        <v>1839.2679016786069</v>
      </c>
      <c r="CP43" s="45">
        <f t="shared" si="64"/>
        <v>10.505228537873505</v>
      </c>
      <c r="CQ43" s="42">
        <v>2</v>
      </c>
      <c r="CR43" s="41">
        <f t="shared" si="65"/>
        <v>99.755337595522278</v>
      </c>
      <c r="CS43" s="41">
        <f t="shared" si="66"/>
        <v>28.241031985615475</v>
      </c>
      <c r="CT43" s="42">
        <f t="shared" si="67"/>
        <v>0.82992407933946022</v>
      </c>
      <c r="CU43" s="41">
        <f t="shared" si="68"/>
        <v>1016.2418513383946</v>
      </c>
      <c r="CV43" s="41">
        <f t="shared" si="69"/>
        <v>22.887584870722865</v>
      </c>
      <c r="CW43" s="41">
        <f t="shared" si="70"/>
        <v>45.77516974144573</v>
      </c>
      <c r="CX43" s="41">
        <f t="shared" si="71"/>
        <v>4.5043578633530634</v>
      </c>
      <c r="CY43" s="41">
        <f t="shared" si="72"/>
        <v>22.832950140101154</v>
      </c>
      <c r="CZ43" s="41">
        <f t="shared" si="73"/>
        <v>45.665900280202308</v>
      </c>
      <c r="DA43" s="41">
        <f t="shared" si="74"/>
        <v>17.496579914101595</v>
      </c>
      <c r="DB43" s="41">
        <f t="shared" si="75"/>
        <v>0.9309584289708237</v>
      </c>
      <c r="DC43" s="151"/>
      <c r="DD43" s="151"/>
      <c r="DE43" s="153">
        <f t="shared" si="137"/>
        <v>1016.2418513383946</v>
      </c>
      <c r="DF43" s="153">
        <f t="shared" si="138"/>
        <v>45.77516974144573</v>
      </c>
      <c r="DG43" s="128">
        <f t="shared" si="136"/>
        <v>1016.2418513383946</v>
      </c>
      <c r="DH43" s="128">
        <f t="shared" si="136"/>
        <v>45.77516974144573</v>
      </c>
      <c r="DI43" s="41">
        <f t="shared" si="78"/>
        <v>17.496579914101595</v>
      </c>
      <c r="DJ43" s="41">
        <f t="shared" si="79"/>
        <v>0.9309584289708237</v>
      </c>
      <c r="DK43" s="42" t="str">
        <f t="shared" si="80"/>
        <v>1176-22</v>
      </c>
      <c r="DL43" s="48">
        <f t="shared" si="81"/>
        <v>3.532283722717091E-2</v>
      </c>
      <c r="DM43" s="48">
        <f t="shared" si="82"/>
        <v>1.0377453121175183E-3</v>
      </c>
      <c r="DN43" s="48">
        <f t="shared" si="83"/>
        <v>2.4466240447773005E-3</v>
      </c>
      <c r="DO43" s="48">
        <f t="shared" si="84"/>
        <v>1.8454295856798139E-4</v>
      </c>
      <c r="DP43" s="48">
        <v>3.532283722717091E-2</v>
      </c>
      <c r="DQ43" s="48">
        <f t="shared" si="85"/>
        <v>14.437378436859966</v>
      </c>
      <c r="DR43" s="48">
        <f t="shared" si="86"/>
        <v>1.1629188988427912</v>
      </c>
      <c r="DS43" s="48">
        <f t="shared" si="87"/>
        <v>408.72646622379744</v>
      </c>
      <c r="DT43" s="48">
        <f t="shared" si="88"/>
        <v>30.829252856803897</v>
      </c>
      <c r="DU43" s="48">
        <f t="shared" si="89"/>
        <v>0.93112748558888392</v>
      </c>
      <c r="DV43" s="48">
        <f t="shared" si="90"/>
        <v>5.657186207173856E-3</v>
      </c>
      <c r="DW43" s="48"/>
      <c r="DX43" s="45">
        <f t="shared" si="91"/>
        <v>8.0549173378579003E-2</v>
      </c>
      <c r="DY43" s="45">
        <f t="shared" si="92"/>
        <v>7.5427591321975698E-2</v>
      </c>
      <c r="DZ43" s="42"/>
      <c r="EA43" s="48">
        <f t="shared" si="93"/>
        <v>67.288346814389513</v>
      </c>
      <c r="EB43" s="48">
        <f t="shared" si="94"/>
        <v>11.662146258611708</v>
      </c>
      <c r="EC43" s="48">
        <f t="shared" si="95"/>
        <v>0.86963845376849047</v>
      </c>
      <c r="ED43" s="48">
        <f t="shared" si="96"/>
        <v>7.4978521817054347E-2</v>
      </c>
      <c r="EE43" s="48">
        <f t="shared" si="97"/>
        <v>0.37858526747054633</v>
      </c>
      <c r="EF43" s="48">
        <f t="shared" si="98"/>
        <v>5.657186207173856E-3</v>
      </c>
      <c r="EG43" s="42"/>
      <c r="EH43" s="48">
        <f t="shared" si="99"/>
        <v>0.17331598725082328</v>
      </c>
      <c r="EI43" s="48">
        <f t="shared" si="100"/>
        <v>8.6218038648293999E-2</v>
      </c>
      <c r="EJ43" s="53"/>
      <c r="EK43" s="165">
        <v>0.90400000000000003</v>
      </c>
      <c r="EL43" s="53"/>
      <c r="EN43" s="53"/>
      <c r="EO43" s="53"/>
      <c r="EP43" s="53"/>
      <c r="ER43" s="54"/>
    </row>
    <row r="44" spans="1:148" s="75" customFormat="1" x14ac:dyDescent="0.2">
      <c r="A44" s="75" t="s">
        <v>118</v>
      </c>
      <c r="B44" s="75" t="s">
        <v>96</v>
      </c>
      <c r="C44" s="49" t="s">
        <v>71</v>
      </c>
      <c r="D44" s="75">
        <v>5570.2</v>
      </c>
      <c r="E44" s="75">
        <v>10</v>
      </c>
      <c r="F44" s="75">
        <v>113.182</v>
      </c>
      <c r="G44" s="75">
        <v>0.84</v>
      </c>
      <c r="H44" s="75">
        <v>12.475</v>
      </c>
      <c r="I44" s="75">
        <v>0.3</v>
      </c>
      <c r="J44" s="75">
        <v>101.18300000000001</v>
      </c>
      <c r="K44" s="75">
        <v>0.75</v>
      </c>
      <c r="L44" s="75">
        <v>17.289000000000001</v>
      </c>
      <c r="M44" s="75">
        <v>0.37</v>
      </c>
      <c r="N44" s="49" t="s">
        <v>225</v>
      </c>
      <c r="O44" s="75">
        <v>1731.7570000000001</v>
      </c>
      <c r="P44" s="75">
        <v>5.7363619999999997</v>
      </c>
      <c r="Q44" s="75">
        <v>73.413030000000006</v>
      </c>
      <c r="R44" s="75">
        <v>0.46407399999999999</v>
      </c>
      <c r="S44" s="75">
        <v>2.3512249999999999</v>
      </c>
      <c r="T44" s="75">
        <v>0.121422</v>
      </c>
      <c r="U44" s="75">
        <v>90.997060000000005</v>
      </c>
      <c r="V44" s="75">
        <v>0.47624699999999998</v>
      </c>
      <c r="W44" s="75">
        <v>7.5967469999999997</v>
      </c>
      <c r="X44" s="75">
        <v>0.58943999999999996</v>
      </c>
      <c r="Y44" s="49">
        <f t="shared" si="104"/>
        <v>3838.4429999999998</v>
      </c>
      <c r="Z44" s="49">
        <f t="shared" si="105"/>
        <v>11.528479908255207</v>
      </c>
      <c r="AA44" s="49">
        <f t="shared" si="106"/>
        <v>39.768969999999996</v>
      </c>
      <c r="AB44" s="49">
        <f t="shared" si="107"/>
        <v>0.95966904580485446</v>
      </c>
      <c r="AC44" s="49">
        <f t="shared" si="108"/>
        <v>10.123775</v>
      </c>
      <c r="AD44" s="49">
        <f t="shared" si="109"/>
        <v>0.32364069905375004</v>
      </c>
      <c r="AE44" s="49">
        <f t="shared" si="110"/>
        <v>10.185940000000002</v>
      </c>
      <c r="AF44" s="49"/>
      <c r="AG44" s="49">
        <f t="shared" si="111"/>
        <v>0.88843187977976112</v>
      </c>
      <c r="AH44" s="49">
        <f t="shared" si="112"/>
        <v>9.6922530000000009</v>
      </c>
      <c r="AI44" s="49">
        <f t="shared" si="113"/>
        <v>0.69594505070443591</v>
      </c>
      <c r="AJ44" s="49">
        <v>1</v>
      </c>
      <c r="AK44" s="49">
        <v>0</v>
      </c>
      <c r="AL44" s="49">
        <f t="shared" si="114"/>
        <v>3838.4429999999998</v>
      </c>
      <c r="AM44" s="49">
        <f t="shared" si="115"/>
        <v>11.528479908255207</v>
      </c>
      <c r="AN44" s="75">
        <v>1.001212</v>
      </c>
      <c r="AO44" s="49">
        <f t="shared" si="21"/>
        <v>3838.4429999999998</v>
      </c>
      <c r="AP44" s="49">
        <f t="shared" si="22"/>
        <v>11.528479908255207</v>
      </c>
      <c r="AQ44" s="49">
        <f t="shared" si="23"/>
        <v>39.720828356032484</v>
      </c>
      <c r="AR44" s="49">
        <f t="shared" si="24"/>
        <v>0.95966904580485446</v>
      </c>
      <c r="AS44" s="49">
        <f t="shared" si="25"/>
        <v>10.099264675912794</v>
      </c>
      <c r="AT44" s="49">
        <f t="shared" si="26"/>
        <v>0.32364069905375004</v>
      </c>
      <c r="AU44" s="49">
        <f t="shared" si="0"/>
        <v>10.148948755548277</v>
      </c>
      <c r="AV44" s="49">
        <f t="shared" si="27"/>
        <v>0.88843187977976112</v>
      </c>
      <c r="AW44" s="49">
        <f t="shared" si="28"/>
        <v>9.6453218380243158</v>
      </c>
      <c r="AX44" s="49">
        <f t="shared" si="29"/>
        <v>0.69594505070443591</v>
      </c>
      <c r="AY44" s="75">
        <v>108.33759999999999</v>
      </c>
      <c r="AZ44" s="75">
        <v>1.001679</v>
      </c>
      <c r="BA44" s="49">
        <f t="shared" si="116"/>
        <v>3838.4429999999998</v>
      </c>
      <c r="BB44" s="49">
        <f t="shared" si="117"/>
        <v>11.528479908255207</v>
      </c>
      <c r="BC44" s="49">
        <f t="shared" si="118"/>
        <v>39.787519626842261</v>
      </c>
      <c r="BD44" s="49">
        <f t="shared" si="119"/>
        <v>0.96128033013276082</v>
      </c>
      <c r="BE44" s="49">
        <f t="shared" si="120"/>
        <v>10.099264675912794</v>
      </c>
      <c r="BF44" s="49">
        <f t="shared" si="121"/>
        <v>0.32364069905375004</v>
      </c>
      <c r="BG44" s="49">
        <f t="shared" si="122"/>
        <v>1099.5127506990871</v>
      </c>
      <c r="BH44" s="49">
        <f t="shared" si="123"/>
        <v>96.250577618827847</v>
      </c>
      <c r="BI44" s="49">
        <f t="shared" si="124"/>
        <v>9.6453218380243158</v>
      </c>
      <c r="BJ44" s="49">
        <f t="shared" si="125"/>
        <v>0.69594505070443591</v>
      </c>
      <c r="BL44" s="58">
        <f t="shared" si="40"/>
        <v>3838.4411622958305</v>
      </c>
      <c r="BM44" s="58">
        <f t="shared" si="41"/>
        <v>11.528479928321131</v>
      </c>
      <c r="BN44" s="141">
        <f t="shared" si="42"/>
        <v>39.056046779184676</v>
      </c>
      <c r="BO44" s="58">
        <f t="shared" si="43"/>
        <v>0.96386086512337388</v>
      </c>
      <c r="BP44" s="58">
        <f t="shared" si="44"/>
        <v>1099.5127506990871</v>
      </c>
      <c r="BQ44" s="58">
        <f t="shared" si="45"/>
        <v>96.250577618827847</v>
      </c>
      <c r="BR44" s="58">
        <f t="shared" si="46"/>
        <v>9.6124251618404468</v>
      </c>
      <c r="BS44" s="58">
        <f t="shared" si="47"/>
        <v>0.32386146036600588</v>
      </c>
      <c r="BT44" s="58">
        <f t="shared" si="48"/>
        <v>9.342340104441675</v>
      </c>
      <c r="BU44" s="58">
        <f t="shared" si="49"/>
        <v>0.6964543872890322</v>
      </c>
      <c r="BV44" s="55">
        <f t="shared" si="50"/>
        <v>1.0289097864538632</v>
      </c>
      <c r="BW44" s="59">
        <f t="shared" si="51"/>
        <v>8.1808180495041821E-2</v>
      </c>
      <c r="BX44" s="49"/>
      <c r="BY44" s="55">
        <f t="shared" si="101"/>
        <v>0.37774590801636126</v>
      </c>
      <c r="BZ44" s="49">
        <v>0</v>
      </c>
      <c r="CA44" s="49">
        <f t="shared" si="52"/>
        <v>3.6310542709987379</v>
      </c>
      <c r="CB44" s="49">
        <f t="shared" si="53"/>
        <v>0.12233734141746169</v>
      </c>
      <c r="CC44" s="49">
        <f t="shared" si="54"/>
        <v>3.5290307457499877</v>
      </c>
      <c r="CD44" s="49">
        <f t="shared" si="55"/>
        <v>0.26308279491847397</v>
      </c>
      <c r="CE44" s="49">
        <f t="shared" si="56"/>
        <v>5.9813708908417089</v>
      </c>
      <c r="CF44" s="49">
        <f t="shared" si="57"/>
        <v>0.34619744455367457</v>
      </c>
      <c r="CG44" s="49">
        <f t="shared" si="58"/>
        <v>5.8133093586916873</v>
      </c>
      <c r="CH44" s="49">
        <f t="shared" si="59"/>
        <v>0.7444872534545216</v>
      </c>
      <c r="CI44" s="94">
        <f t="shared" si="60"/>
        <v>1.0289097864538634</v>
      </c>
      <c r="CJ44" s="94">
        <f t="shared" si="61"/>
        <v>8.4173237523332597E-2</v>
      </c>
      <c r="CL44" s="60">
        <f t="shared" si="62"/>
        <v>1087.675749756067</v>
      </c>
      <c r="CM44" s="49">
        <v>1</v>
      </c>
      <c r="CN44" s="49">
        <v>1</v>
      </c>
      <c r="CO44" s="141">
        <f t="shared" si="63"/>
        <v>3834.9121315500806</v>
      </c>
      <c r="CP44" s="58">
        <f t="shared" si="64"/>
        <v>11.574759695764111</v>
      </c>
      <c r="CQ44" s="49">
        <v>2</v>
      </c>
      <c r="CR44" s="55">
        <f t="shared" si="65"/>
        <v>99.908060835205319</v>
      </c>
      <c r="CS44" s="55">
        <f t="shared" si="66"/>
        <v>98.189971791869539</v>
      </c>
      <c r="CT44" s="49">
        <f t="shared" si="67"/>
        <v>2.4412774723580934</v>
      </c>
      <c r="CU44" s="55">
        <f t="shared" si="68"/>
        <v>2325.933185423617</v>
      </c>
      <c r="CV44" s="55">
        <f t="shared" si="69"/>
        <v>32.606805264686031</v>
      </c>
      <c r="CW44" s="55">
        <f t="shared" si="70"/>
        <v>65.213610529372062</v>
      </c>
      <c r="CX44" s="55">
        <f t="shared" si="71"/>
        <v>2.8037611285680528</v>
      </c>
      <c r="CY44" s="55">
        <f t="shared" si="72"/>
        <v>32.498218660406806</v>
      </c>
      <c r="CZ44" s="55">
        <f t="shared" si="73"/>
        <v>64.996437320813612</v>
      </c>
      <c r="DA44" s="55">
        <f t="shared" si="74"/>
        <v>52.363049641528384</v>
      </c>
      <c r="DB44" s="55">
        <f t="shared" si="75"/>
        <v>1.6935280754406064</v>
      </c>
      <c r="DC44" s="153">
        <f t="shared" ref="DC44" si="139">CU44</f>
        <v>2325.933185423617</v>
      </c>
      <c r="DD44" s="153">
        <f t="shared" ref="DD44" si="140">CW44</f>
        <v>65.213610529372062</v>
      </c>
      <c r="DE44" s="151"/>
      <c r="DF44" s="151"/>
      <c r="DG44" s="60"/>
      <c r="DH44" s="60"/>
      <c r="DI44" s="41">
        <f t="shared" si="78"/>
        <v>52.363049641528384</v>
      </c>
      <c r="DJ44" s="41">
        <f t="shared" si="79"/>
        <v>1.6935280754406064</v>
      </c>
      <c r="DK44" s="49" t="str">
        <f t="shared" si="80"/>
        <v>1176-23</v>
      </c>
      <c r="DL44" s="50">
        <f t="shared" si="81"/>
        <v>1.0174976019646646E-2</v>
      </c>
      <c r="DM44" s="50">
        <f t="shared" si="82"/>
        <v>2.5296010127964173E-4</v>
      </c>
      <c r="DN44" s="50">
        <f t="shared" si="83"/>
        <v>9.193916479467983E-4</v>
      </c>
      <c r="DO44" s="50">
        <f t="shared" si="84"/>
        <v>6.859456989112931E-5</v>
      </c>
      <c r="DP44" s="50">
        <v>1.0174976019646646E-2</v>
      </c>
      <c r="DQ44" s="50">
        <f t="shared" si="85"/>
        <v>11.067074670919169</v>
      </c>
      <c r="DR44" s="50">
        <f t="shared" si="86"/>
        <v>0.8690634142941781</v>
      </c>
      <c r="DS44" s="50">
        <f t="shared" si="87"/>
        <v>1087.675749756067</v>
      </c>
      <c r="DT44" s="50">
        <f t="shared" si="88"/>
        <v>81.150019583217201</v>
      </c>
      <c r="DU44" s="50">
        <f t="shared" si="89"/>
        <v>0.94856304193044461</v>
      </c>
      <c r="DV44" s="50">
        <f t="shared" si="90"/>
        <v>5.5574301129312567E-3</v>
      </c>
      <c r="DW44" s="50"/>
      <c r="DX44" s="58">
        <f t="shared" si="91"/>
        <v>7.8526931473391653E-2</v>
      </c>
      <c r="DY44" s="58">
        <f t="shared" si="92"/>
        <v>7.4608650235529025E-2</v>
      </c>
      <c r="DZ44" s="49"/>
      <c r="EA44" s="50">
        <f t="shared" si="93"/>
        <v>117.69136409156634</v>
      </c>
      <c r="EB44" s="50">
        <f t="shared" si="94"/>
        <v>13.532234381698302</v>
      </c>
      <c r="EC44" s="50">
        <f t="shared" si="95"/>
        <v>1.0289097864538632</v>
      </c>
      <c r="ED44" s="50">
        <f t="shared" si="96"/>
        <v>8.4173237523332584E-2</v>
      </c>
      <c r="EE44" s="50">
        <f t="shared" si="97"/>
        <v>0.59081615459599335</v>
      </c>
      <c r="EF44" s="50">
        <f t="shared" si="98"/>
        <v>5.5574301129312567E-3</v>
      </c>
      <c r="EG44" s="49"/>
      <c r="EH44" s="50">
        <f t="shared" si="99"/>
        <v>0.11498069111655415</v>
      </c>
      <c r="EI44" s="50">
        <f t="shared" si="100"/>
        <v>8.1808180495041821E-2</v>
      </c>
      <c r="EJ44" s="76"/>
      <c r="EK44" s="165">
        <v>1.08</v>
      </c>
      <c r="EL44" s="76"/>
      <c r="EN44" s="76"/>
      <c r="EO44" s="76"/>
      <c r="EP44" s="76"/>
      <c r="ER44" s="77"/>
    </row>
    <row r="45" spans="1:148" s="75" customFormat="1" x14ac:dyDescent="0.2">
      <c r="A45" s="87" t="s">
        <v>119</v>
      </c>
      <c r="B45" s="87" t="s">
        <v>96</v>
      </c>
      <c r="C45" s="88" t="s">
        <v>71</v>
      </c>
      <c r="D45" s="87">
        <v>36921.5</v>
      </c>
      <c r="E45" s="87">
        <v>39</v>
      </c>
      <c r="F45" s="87">
        <v>95.347999999999999</v>
      </c>
      <c r="G45" s="87">
        <v>0.69</v>
      </c>
      <c r="H45" s="87">
        <v>24.064</v>
      </c>
      <c r="I45" s="87">
        <v>0.4</v>
      </c>
      <c r="J45" s="87">
        <v>95.561000000000007</v>
      </c>
      <c r="K45" s="87">
        <v>0.71</v>
      </c>
      <c r="L45" s="87">
        <v>106</v>
      </c>
      <c r="M45" s="87">
        <v>1.8</v>
      </c>
      <c r="N45" s="88" t="s">
        <v>225</v>
      </c>
      <c r="O45" s="87">
        <v>1755.114</v>
      </c>
      <c r="P45" s="87">
        <v>5.6216629999999999</v>
      </c>
      <c r="Q45" s="87">
        <v>73.403019999999998</v>
      </c>
      <c r="R45" s="87">
        <v>0.47251199999999999</v>
      </c>
      <c r="S45" s="87">
        <v>2.3131360000000001</v>
      </c>
      <c r="T45" s="87">
        <v>0.13234699999999999</v>
      </c>
      <c r="U45" s="87">
        <v>90.918890000000005</v>
      </c>
      <c r="V45" s="87">
        <v>0.51577899999999999</v>
      </c>
      <c r="W45" s="87">
        <v>7.6083670000000003</v>
      </c>
      <c r="X45" s="87">
        <v>0.68075399999999997</v>
      </c>
      <c r="Y45" s="88">
        <f t="shared" si="104"/>
        <v>35166.385999999999</v>
      </c>
      <c r="Z45" s="88">
        <f t="shared" si="105"/>
        <v>39.403084839712349</v>
      </c>
      <c r="AA45" s="88">
        <f t="shared" si="106"/>
        <v>21.944980000000001</v>
      </c>
      <c r="AB45" s="88">
        <f t="shared" si="107"/>
        <v>0.83628200395799501</v>
      </c>
      <c r="AC45" s="88">
        <f t="shared" si="108"/>
        <v>21.750864</v>
      </c>
      <c r="AD45" s="88">
        <f t="shared" si="109"/>
        <v>0.42132615443264382</v>
      </c>
      <c r="AE45" s="88">
        <f t="shared" si="110"/>
        <v>4.6421100000000024</v>
      </c>
      <c r="AF45" s="88"/>
      <c r="AG45" s="88">
        <f t="shared" si="111"/>
        <v>0.87756935728237462</v>
      </c>
      <c r="AH45" s="88">
        <f t="shared" si="112"/>
        <v>98.391632999999999</v>
      </c>
      <c r="AI45" s="88">
        <f t="shared" si="113"/>
        <v>1.9244287486202236</v>
      </c>
      <c r="AJ45" s="88">
        <v>1</v>
      </c>
      <c r="AK45" s="88">
        <v>0</v>
      </c>
      <c r="AL45" s="88">
        <f t="shared" si="114"/>
        <v>35166.385999999999</v>
      </c>
      <c r="AM45" s="88">
        <f t="shared" si="115"/>
        <v>39.403084839712349</v>
      </c>
      <c r="AN45" s="87">
        <v>1.001212</v>
      </c>
      <c r="AO45" s="88">
        <f t="shared" si="21"/>
        <v>35166.385999999999</v>
      </c>
      <c r="AP45" s="88">
        <f t="shared" si="22"/>
        <v>39.403084839712349</v>
      </c>
      <c r="AQ45" s="88">
        <f t="shared" si="23"/>
        <v>21.918414881164029</v>
      </c>
      <c r="AR45" s="88">
        <f t="shared" si="24"/>
        <v>0.83628200395799501</v>
      </c>
      <c r="AS45" s="88">
        <f t="shared" si="25"/>
        <v>21.698203729911349</v>
      </c>
      <c r="AT45" s="88">
        <f t="shared" si="26"/>
        <v>0.42132615443264382</v>
      </c>
      <c r="AU45" s="88">
        <f t="shared" si="0"/>
        <v>4.6252517202750285</v>
      </c>
      <c r="AV45" s="88">
        <f t="shared" si="27"/>
        <v>0.87756935728237462</v>
      </c>
      <c r="AW45" s="88">
        <f t="shared" si="28"/>
        <v>97.915207790569838</v>
      </c>
      <c r="AX45" s="88">
        <f t="shared" si="29"/>
        <v>1.9244287486202236</v>
      </c>
      <c r="AY45" s="87">
        <v>108.3783</v>
      </c>
      <c r="AZ45" s="87">
        <v>1.001679</v>
      </c>
      <c r="BA45" s="88">
        <f t="shared" si="116"/>
        <v>35166.385999999999</v>
      </c>
      <c r="BB45" s="88">
        <f t="shared" si="117"/>
        <v>39.403084839712349</v>
      </c>
      <c r="BC45" s="88">
        <f t="shared" si="118"/>
        <v>21.955215899749504</v>
      </c>
      <c r="BD45" s="88">
        <f t="shared" si="119"/>
        <v>0.83768612144264043</v>
      </c>
      <c r="BE45" s="88">
        <f t="shared" si="120"/>
        <v>21.698203729911349</v>
      </c>
      <c r="BF45" s="88">
        <f t="shared" si="121"/>
        <v>0.42132615443264382</v>
      </c>
      <c r="BG45" s="88">
        <f t="shared" si="122"/>
        <v>501.27691851548309</v>
      </c>
      <c r="BH45" s="88">
        <f t="shared" si="123"/>
        <v>95.109475074356382</v>
      </c>
      <c r="BI45" s="88">
        <f t="shared" si="124"/>
        <v>97.915207790569838</v>
      </c>
      <c r="BJ45" s="88">
        <f t="shared" si="125"/>
        <v>1.9244287486202236</v>
      </c>
      <c r="BK45" s="87"/>
      <c r="BL45" s="89">
        <f t="shared" si="40"/>
        <v>35166.38498263267</v>
      </c>
      <c r="BM45" s="89">
        <f t="shared" si="41"/>
        <v>39.403084841523487</v>
      </c>
      <c r="BN45" s="145">
        <f t="shared" si="42"/>
        <v>21.62173140416871</v>
      </c>
      <c r="BO45" s="89">
        <f t="shared" si="43"/>
        <v>0.84017970012292742</v>
      </c>
      <c r="BP45" s="89">
        <f t="shared" si="44"/>
        <v>501.27691851548309</v>
      </c>
      <c r="BQ45" s="89">
        <f t="shared" si="45"/>
        <v>95.109475074356382</v>
      </c>
      <c r="BR45" s="89">
        <f t="shared" si="46"/>
        <v>21.431048116428656</v>
      </c>
      <c r="BS45" s="89">
        <f t="shared" si="47"/>
        <v>0.42145141670600184</v>
      </c>
      <c r="BT45" s="89">
        <f t="shared" si="48"/>
        <v>97.777075922903705</v>
      </c>
      <c r="BU45" s="89">
        <f t="shared" si="49"/>
        <v>1.9246075132880021</v>
      </c>
      <c r="BV45" s="90">
        <f t="shared" si="50"/>
        <v>0.21918274722519657</v>
      </c>
      <c r="BW45" s="91">
        <f t="shared" si="51"/>
        <v>2.7824009281545152E-2</v>
      </c>
      <c r="BX45" s="88"/>
      <c r="BY45" s="90">
        <f t="shared" si="101"/>
        <v>0.97621378623414889</v>
      </c>
      <c r="BZ45" s="88">
        <v>0</v>
      </c>
      <c r="CA45" s="88">
        <f t="shared" si="52"/>
        <v>20.921284624705041</v>
      </c>
      <c r="CB45" s="88">
        <f t="shared" si="53"/>
        <v>0.41142668321631204</v>
      </c>
      <c r="CC45" s="88">
        <f t="shared" si="54"/>
        <v>95.451329493601662</v>
      </c>
      <c r="CD45" s="88">
        <f t="shared" si="55"/>
        <v>1.8788283875615703</v>
      </c>
      <c r="CE45" s="88">
        <f t="shared" si="56"/>
        <v>0.50976349172361424</v>
      </c>
      <c r="CF45" s="88">
        <f t="shared" si="57"/>
        <v>0.58897641065315298</v>
      </c>
      <c r="CG45" s="88">
        <f t="shared" si="58"/>
        <v>2.3257464293020433</v>
      </c>
      <c r="CH45" s="88">
        <f t="shared" si="59"/>
        <v>2.6896301214315392</v>
      </c>
      <c r="CI45" s="95">
        <f t="shared" si="60"/>
        <v>0.21918274722519654</v>
      </c>
      <c r="CJ45" s="95">
        <f t="shared" si="61"/>
        <v>6.0985427931484334E-3</v>
      </c>
      <c r="CK45" s="87"/>
      <c r="CL45" s="92">
        <f t="shared" si="62"/>
        <v>368.42215995524668</v>
      </c>
      <c r="CM45" s="88">
        <v>1</v>
      </c>
      <c r="CN45" s="88">
        <v>1</v>
      </c>
      <c r="CO45" s="145">
        <f t="shared" si="63"/>
        <v>35070.933653139065</v>
      </c>
      <c r="CP45" s="89">
        <f t="shared" si="64"/>
        <v>39.460525733170421</v>
      </c>
      <c r="CQ45" s="88">
        <v>2</v>
      </c>
      <c r="CR45" s="90">
        <f t="shared" si="65"/>
        <v>99.728572244372742</v>
      </c>
      <c r="CS45" s="90">
        <f t="shared" si="66"/>
        <v>1622.0224457314887</v>
      </c>
      <c r="CT45" s="88">
        <f t="shared" si="67"/>
        <v>63.055149937476031</v>
      </c>
      <c r="CU45" s="90">
        <f t="shared" si="68"/>
        <v>6845.2256271418546</v>
      </c>
      <c r="CV45" s="90">
        <f t="shared" si="69"/>
        <v>68.648338051942744</v>
      </c>
      <c r="CW45" s="90">
        <f t="shared" si="70"/>
        <v>137.29667610388549</v>
      </c>
      <c r="CX45" s="90">
        <f t="shared" si="71"/>
        <v>2.0057290085441952</v>
      </c>
      <c r="CY45" s="90">
        <f t="shared" si="72"/>
        <v>68.554548695486673</v>
      </c>
      <c r="CZ45" s="90">
        <f t="shared" si="73"/>
        <v>137.10909739097335</v>
      </c>
      <c r="DA45" s="90">
        <f t="shared" si="74"/>
        <v>43.12212796515616</v>
      </c>
      <c r="DB45" s="90">
        <f t="shared" si="75"/>
        <v>3.2280041788904041</v>
      </c>
      <c r="DC45" s="153">
        <f t="shared" ref="DC45" si="141">CU45</f>
        <v>6845.2256271418546</v>
      </c>
      <c r="DD45" s="153">
        <f t="shared" ref="DD45" si="142">CW45</f>
        <v>137.29667610388549</v>
      </c>
      <c r="DE45" s="156"/>
      <c r="DF45" s="156"/>
      <c r="DG45" s="83"/>
      <c r="DH45" s="83"/>
      <c r="DI45" s="41">
        <f t="shared" si="78"/>
        <v>43.12212796515616</v>
      </c>
      <c r="DJ45" s="41">
        <f t="shared" si="79"/>
        <v>3.2280041788904041</v>
      </c>
      <c r="DK45" s="88" t="str">
        <f t="shared" si="80"/>
        <v>1176-24</v>
      </c>
      <c r="DL45" s="93">
        <f t="shared" si="81"/>
        <v>6.1484088895821549E-4</v>
      </c>
      <c r="DM45" s="93">
        <f t="shared" si="82"/>
        <v>2.3901487628952669E-5</v>
      </c>
      <c r="DN45" s="93">
        <f t="shared" si="83"/>
        <v>2.7142775562726002E-3</v>
      </c>
      <c r="DO45" s="93">
        <f t="shared" si="84"/>
        <v>5.3513318954803393E-5</v>
      </c>
      <c r="DP45" s="93">
        <v>6.1484088895821549E-4</v>
      </c>
      <c r="DQ45" s="93">
        <f t="shared" si="85"/>
        <v>0.22652100833878974</v>
      </c>
      <c r="DR45" s="93">
        <f t="shared" si="86"/>
        <v>9.8670590503273543E-3</v>
      </c>
      <c r="DS45" s="93">
        <f t="shared" si="87"/>
        <v>368.42215995524668</v>
      </c>
      <c r="DT45" s="93">
        <f t="shared" si="88"/>
        <v>7.2636243519535793</v>
      </c>
      <c r="DU45" s="93">
        <f t="shared" si="89"/>
        <v>0.45115252296817748</v>
      </c>
      <c r="DV45" s="93">
        <f t="shared" si="90"/>
        <v>3.8744518060031556E-4</v>
      </c>
      <c r="DW45" s="93"/>
      <c r="DX45" s="89">
        <f t="shared" si="91"/>
        <v>4.3559134416221418E-2</v>
      </c>
      <c r="DY45" s="89">
        <f t="shared" si="92"/>
        <v>1.9715492555702711E-2</v>
      </c>
      <c r="DZ45" s="88"/>
      <c r="EA45" s="93">
        <f t="shared" si="93"/>
        <v>5.1267325575448295</v>
      </c>
      <c r="EB45" s="93">
        <f t="shared" si="94"/>
        <v>0.97793800958742683</v>
      </c>
      <c r="EC45" s="93">
        <f t="shared" si="95"/>
        <v>0.21918274722519657</v>
      </c>
      <c r="ED45" s="93">
        <f t="shared" si="96"/>
        <v>6.0985427931484343E-3</v>
      </c>
      <c r="EE45" s="93">
        <f t="shared" si="97"/>
        <v>7.2999500737645454E-2</v>
      </c>
      <c r="EF45" s="93">
        <f t="shared" si="98"/>
        <v>3.8744518060031556E-4</v>
      </c>
      <c r="EG45" s="88"/>
      <c r="EH45" s="93">
        <f t="shared" si="99"/>
        <v>0.19075268674747434</v>
      </c>
      <c r="EI45" s="93">
        <f t="shared" si="100"/>
        <v>2.7824009281545152E-2</v>
      </c>
      <c r="EJ45" s="76"/>
      <c r="EK45" s="165">
        <v>1.256</v>
      </c>
      <c r="EL45" s="76"/>
      <c r="EN45" s="76"/>
      <c r="EO45" s="76"/>
      <c r="EP45" s="76"/>
      <c r="ER45" s="77"/>
    </row>
    <row r="46" spans="1:148" s="9" customFormat="1" x14ac:dyDescent="0.2">
      <c r="A46" s="9" t="s">
        <v>120</v>
      </c>
      <c r="B46" s="9" t="s">
        <v>96</v>
      </c>
      <c r="C46" s="42" t="s">
        <v>71</v>
      </c>
      <c r="D46" s="9">
        <v>3456.11</v>
      </c>
      <c r="E46" s="9">
        <v>9.9</v>
      </c>
      <c r="F46" s="9">
        <v>219.79</v>
      </c>
      <c r="G46" s="9">
        <v>2.1</v>
      </c>
      <c r="H46" s="9">
        <v>26.992000000000001</v>
      </c>
      <c r="I46" s="9">
        <v>0.43</v>
      </c>
      <c r="J46" s="9">
        <v>124.595</v>
      </c>
      <c r="K46" s="9">
        <v>0.83</v>
      </c>
      <c r="L46" s="9">
        <v>26.71</v>
      </c>
      <c r="M46" s="9">
        <v>0.41</v>
      </c>
      <c r="N46" s="42" t="s">
        <v>225</v>
      </c>
      <c r="O46" s="9">
        <v>1768.778</v>
      </c>
      <c r="P46" s="9">
        <v>5.976877</v>
      </c>
      <c r="Q46" s="9">
        <v>73.308369999999996</v>
      </c>
      <c r="R46" s="9">
        <v>0.52309700000000003</v>
      </c>
      <c r="S46" s="9">
        <v>2.0770940000000002</v>
      </c>
      <c r="T46" s="9">
        <v>0.14555999999999999</v>
      </c>
      <c r="U46" s="9">
        <v>89.675610000000006</v>
      </c>
      <c r="V46" s="9">
        <v>0.62628899999999998</v>
      </c>
      <c r="W46" s="9">
        <v>7.4721599999999997</v>
      </c>
      <c r="X46" s="9">
        <v>0.52324400000000004</v>
      </c>
      <c r="Y46" s="42">
        <f t="shared" si="104"/>
        <v>1687.3320000000001</v>
      </c>
      <c r="Z46" s="42">
        <f t="shared" si="105"/>
        <v>11.564301045594108</v>
      </c>
      <c r="AA46" s="42">
        <f t="shared" si="106"/>
        <v>146.48163</v>
      </c>
      <c r="AB46" s="42">
        <f t="shared" si="107"/>
        <v>2.1641696956128462</v>
      </c>
      <c r="AC46" s="42">
        <f t="shared" si="108"/>
        <v>24.914906000000002</v>
      </c>
      <c r="AD46" s="42">
        <f t="shared" si="109"/>
        <v>0.45396884650821578</v>
      </c>
      <c r="AE46" s="42">
        <f t="shared" si="110"/>
        <v>34.919389999999993</v>
      </c>
      <c r="AF46" s="42"/>
      <c r="AG46" s="42">
        <f t="shared" si="111"/>
        <v>1.0397778183443807</v>
      </c>
      <c r="AH46" s="42">
        <f t="shared" si="112"/>
        <v>19.237840000000002</v>
      </c>
      <c r="AI46" s="42">
        <f t="shared" si="113"/>
        <v>0.66474377284484587</v>
      </c>
      <c r="AJ46" s="42">
        <v>1</v>
      </c>
      <c r="AK46" s="42">
        <v>0</v>
      </c>
      <c r="AL46" s="42">
        <f t="shared" si="114"/>
        <v>1687.3320000000001</v>
      </c>
      <c r="AM46" s="42">
        <f t="shared" si="115"/>
        <v>11.564301045594108</v>
      </c>
      <c r="AN46" s="9">
        <v>0.99997100000000005</v>
      </c>
      <c r="AO46" s="42">
        <f t="shared" si="21"/>
        <v>1687.3320000000001</v>
      </c>
      <c r="AP46" s="42">
        <f t="shared" si="22"/>
        <v>11.564301045594108</v>
      </c>
      <c r="AQ46" s="42">
        <f t="shared" si="23"/>
        <v>146.48587809046461</v>
      </c>
      <c r="AR46" s="42">
        <f t="shared" si="24"/>
        <v>2.1641696956128462</v>
      </c>
      <c r="AS46" s="42">
        <f t="shared" si="25"/>
        <v>24.916351106456091</v>
      </c>
      <c r="AT46" s="42">
        <f t="shared" si="26"/>
        <v>0.45396884650821578</v>
      </c>
      <c r="AU46" s="42">
        <f t="shared" si="0"/>
        <v>34.922428075034162</v>
      </c>
      <c r="AV46" s="42">
        <f t="shared" si="27"/>
        <v>1.0397778183443807</v>
      </c>
      <c r="AW46" s="42">
        <f t="shared" si="28"/>
        <v>19.240071654157976</v>
      </c>
      <c r="AX46" s="42">
        <f t="shared" si="29"/>
        <v>0.66474377284484587</v>
      </c>
      <c r="AY46" s="9">
        <v>109.94159999999999</v>
      </c>
      <c r="AZ46" s="9">
        <v>1.001684</v>
      </c>
      <c r="BA46" s="42">
        <f t="shared" si="116"/>
        <v>1687.3320000000001</v>
      </c>
      <c r="BB46" s="42">
        <f t="shared" si="117"/>
        <v>11.564301045594108</v>
      </c>
      <c r="BC46" s="42">
        <f t="shared" si="118"/>
        <v>146.73256030916895</v>
      </c>
      <c r="BD46" s="42">
        <f t="shared" si="119"/>
        <v>2.1678141573802585</v>
      </c>
      <c r="BE46" s="42">
        <f t="shared" si="120"/>
        <v>24.916351106456091</v>
      </c>
      <c r="BF46" s="42">
        <f t="shared" si="121"/>
        <v>0.45396884650821578</v>
      </c>
      <c r="BG46" s="42">
        <f t="shared" si="122"/>
        <v>3839.4276184541754</v>
      </c>
      <c r="BH46" s="42">
        <f t="shared" si="123"/>
        <v>114.31483699329056</v>
      </c>
      <c r="BI46" s="42">
        <f t="shared" si="124"/>
        <v>19.240071654157976</v>
      </c>
      <c r="BJ46" s="42">
        <f t="shared" si="125"/>
        <v>0.66474377284484587</v>
      </c>
      <c r="BL46" s="45">
        <f t="shared" si="40"/>
        <v>1687.325215978248</v>
      </c>
      <c r="BM46" s="45">
        <f t="shared" si="41"/>
        <v>11.5643013174394</v>
      </c>
      <c r="BN46" s="141">
        <f t="shared" si="42"/>
        <v>144.17830429743992</v>
      </c>
      <c r="BO46" s="45">
        <f t="shared" si="43"/>
        <v>2.1715852438662835</v>
      </c>
      <c r="BP46" s="45">
        <f t="shared" si="44"/>
        <v>3839.4276184541754</v>
      </c>
      <c r="BQ46" s="45">
        <f t="shared" si="45"/>
        <v>114.31483699329056</v>
      </c>
      <c r="BR46" s="45">
        <f t="shared" si="46"/>
        <v>23.123974382135952</v>
      </c>
      <c r="BS46" s="45">
        <f t="shared" si="47"/>
        <v>0.45481982183396047</v>
      </c>
      <c r="BT46" s="45">
        <f t="shared" si="48"/>
        <v>18.182078979616744</v>
      </c>
      <c r="BU46" s="45">
        <f t="shared" si="49"/>
        <v>0.66554231224027816</v>
      </c>
      <c r="BV46" s="41">
        <f t="shared" si="50"/>
        <v>1.2718003484672673</v>
      </c>
      <c r="BW46" s="46">
        <f t="shared" si="51"/>
        <v>4.1554000012435949E-2</v>
      </c>
      <c r="BX46" s="42"/>
      <c r="BY46" s="41">
        <f t="shared" si="101"/>
        <v>0.19822590652825775</v>
      </c>
      <c r="BZ46" s="42">
        <v>0</v>
      </c>
      <c r="CA46" s="42">
        <f t="shared" si="52"/>
        <v>4.5837707844351083</v>
      </c>
      <c r="CB46" s="42">
        <f t="shared" si="53"/>
        <v>9.01570714900575E-2</v>
      </c>
      <c r="CC46" s="42">
        <f t="shared" si="54"/>
        <v>3.6041590883029087</v>
      </c>
      <c r="CD46" s="42">
        <f t="shared" si="55"/>
        <v>0.13192772817674192</v>
      </c>
      <c r="CE46" s="42">
        <f t="shared" si="56"/>
        <v>18.540203597700845</v>
      </c>
      <c r="CF46" s="42">
        <f t="shared" si="57"/>
        <v>0.46366945971536544</v>
      </c>
      <c r="CG46" s="42">
        <f t="shared" si="58"/>
        <v>14.577919891313835</v>
      </c>
      <c r="CH46" s="42">
        <f t="shared" si="59"/>
        <v>0.67849207426764546</v>
      </c>
      <c r="CI46" s="44">
        <f t="shared" si="60"/>
        <v>1.2718003484672675</v>
      </c>
      <c r="CJ46" s="44">
        <f t="shared" si="61"/>
        <v>5.2848391696024878E-2</v>
      </c>
      <c r="CL46" s="47">
        <f t="shared" si="62"/>
        <v>468.16058188284893</v>
      </c>
      <c r="CM46" s="42">
        <v>1</v>
      </c>
      <c r="CN46" s="42">
        <v>1</v>
      </c>
      <c r="CO46" s="141">
        <f t="shared" si="63"/>
        <v>1683.7210568899452</v>
      </c>
      <c r="CP46" s="45">
        <f t="shared" si="64"/>
        <v>11.608207005648742</v>
      </c>
      <c r="CQ46" s="42">
        <v>2</v>
      </c>
      <c r="CR46" s="41">
        <f t="shared" si="65"/>
        <v>99.786398078202524</v>
      </c>
      <c r="CS46" s="41">
        <f t="shared" si="66"/>
        <v>11.678047297715665</v>
      </c>
      <c r="CT46" s="42">
        <f t="shared" si="67"/>
        <v>0.19344372287214412</v>
      </c>
      <c r="CU46" s="41">
        <f t="shared" si="68"/>
        <v>491.01296745249323</v>
      </c>
      <c r="CV46" s="41">
        <f t="shared" si="69"/>
        <v>7.1740847324133217</v>
      </c>
      <c r="CW46" s="41">
        <f t="shared" si="70"/>
        <v>14.348169464826643</v>
      </c>
      <c r="CX46" s="41">
        <f t="shared" si="71"/>
        <v>2.9221569318767258</v>
      </c>
      <c r="CY46" s="41">
        <f t="shared" si="72"/>
        <v>7.1205961509050422</v>
      </c>
      <c r="CZ46" s="41">
        <f t="shared" si="73"/>
        <v>14.241192301810084</v>
      </c>
      <c r="DA46" s="41">
        <f t="shared" si="74"/>
        <v>49.531275909530663</v>
      </c>
      <c r="DB46" s="41">
        <f t="shared" si="75"/>
        <v>0.78993914786418407</v>
      </c>
      <c r="DC46" s="151"/>
      <c r="DD46" s="151"/>
      <c r="DE46" s="153">
        <f t="shared" ref="DE46:DE48" si="143">CU46</f>
        <v>491.01296745249323</v>
      </c>
      <c r="DF46" s="153">
        <f t="shared" ref="DF46:DF48" si="144">CW46</f>
        <v>14.348169464826643</v>
      </c>
      <c r="DG46" s="128"/>
      <c r="DH46" s="128"/>
      <c r="DI46" s="41">
        <f t="shared" si="78"/>
        <v>49.531275909530663</v>
      </c>
      <c r="DJ46" s="41">
        <f t="shared" si="79"/>
        <v>0.78993914786418407</v>
      </c>
      <c r="DK46" s="42" t="str">
        <f t="shared" si="80"/>
        <v>1176-25</v>
      </c>
      <c r="DL46" s="48">
        <f t="shared" si="81"/>
        <v>8.544784546104868E-2</v>
      </c>
      <c r="DM46" s="48">
        <f t="shared" si="82"/>
        <v>1.4139750533779642E-3</v>
      </c>
      <c r="DN46" s="48">
        <f t="shared" si="83"/>
        <v>2.1360192179747353E-3</v>
      </c>
      <c r="DO46" s="48">
        <f t="shared" si="84"/>
        <v>7.9546203624329285E-5</v>
      </c>
      <c r="DP46" s="48">
        <v>8.544784546104868E-2</v>
      </c>
      <c r="DQ46" s="48">
        <f t="shared" si="85"/>
        <v>40.003313051680301</v>
      </c>
      <c r="DR46" s="48">
        <f t="shared" si="86"/>
        <v>1.5834101899793274</v>
      </c>
      <c r="DS46" s="48">
        <f t="shared" si="87"/>
        <v>468.16058188284893</v>
      </c>
      <c r="DT46" s="48">
        <f t="shared" si="88"/>
        <v>17.434485917522331</v>
      </c>
      <c r="DU46" s="48">
        <f t="shared" si="89"/>
        <v>0.9089761455305706</v>
      </c>
      <c r="DV46" s="48">
        <f t="shared" si="90"/>
        <v>1.3398749340976384E-3</v>
      </c>
      <c r="DW46" s="48"/>
      <c r="DX46" s="45">
        <f t="shared" si="91"/>
        <v>3.9581976321154171E-2</v>
      </c>
      <c r="DY46" s="45">
        <f t="shared" si="92"/>
        <v>3.7240396975337584E-2</v>
      </c>
      <c r="DZ46" s="42"/>
      <c r="EA46" s="48">
        <f t="shared" si="93"/>
        <v>211.16549008275763</v>
      </c>
      <c r="EB46" s="48">
        <f t="shared" si="94"/>
        <v>9.9637036357314326</v>
      </c>
      <c r="EC46" s="48">
        <f t="shared" si="95"/>
        <v>1.2718003484672673</v>
      </c>
      <c r="ED46" s="48">
        <f t="shared" si="96"/>
        <v>5.2848391696024871E-2</v>
      </c>
      <c r="EE46" s="48">
        <f t="shared" si="97"/>
        <v>0.68336631974845952</v>
      </c>
      <c r="EF46" s="48">
        <f t="shared" si="98"/>
        <v>1.3398749340976384E-3</v>
      </c>
      <c r="EG46" s="42"/>
      <c r="EH46" s="48">
        <f t="shared" si="99"/>
        <v>4.7184336947417728E-2</v>
      </c>
      <c r="EI46" s="48">
        <f t="shared" si="100"/>
        <v>4.1554000012435949E-2</v>
      </c>
      <c r="EJ46" s="15"/>
      <c r="EK46" s="165">
        <v>0</v>
      </c>
      <c r="EL46" s="15"/>
      <c r="EN46" s="15"/>
      <c r="EO46" s="15"/>
      <c r="EP46" s="15"/>
      <c r="ER46" s="18"/>
    </row>
    <row r="47" spans="1:148" s="9" customFormat="1" x14ac:dyDescent="0.2">
      <c r="A47" s="9" t="s">
        <v>121</v>
      </c>
      <c r="B47" s="9" t="s">
        <v>96</v>
      </c>
      <c r="C47" s="42" t="s">
        <v>71</v>
      </c>
      <c r="D47" s="9">
        <v>3208.42</v>
      </c>
      <c r="E47" s="9">
        <v>9.1</v>
      </c>
      <c r="F47" s="9">
        <v>208.12</v>
      </c>
      <c r="G47" s="9">
        <v>2.1</v>
      </c>
      <c r="H47" s="9">
        <v>30.803999999999998</v>
      </c>
      <c r="I47" s="9">
        <v>0.97</v>
      </c>
      <c r="J47" s="9">
        <v>130.77000000000001</v>
      </c>
      <c r="K47" s="9">
        <v>1.9</v>
      </c>
      <c r="L47" s="9">
        <v>28.03</v>
      </c>
      <c r="M47" s="9">
        <v>0.43</v>
      </c>
      <c r="N47" s="42" t="s">
        <v>225</v>
      </c>
      <c r="O47" s="9">
        <v>1712.2270000000001</v>
      </c>
      <c r="P47" s="9">
        <v>5.1329789999999997</v>
      </c>
      <c r="Q47" s="9">
        <v>73.365560000000002</v>
      </c>
      <c r="R47" s="9">
        <v>0.50047699999999995</v>
      </c>
      <c r="S47" s="9">
        <v>2.1288119999999999</v>
      </c>
      <c r="T47" s="9">
        <v>0.13138</v>
      </c>
      <c r="U47" s="9">
        <v>89.698130000000006</v>
      </c>
      <c r="V47" s="9">
        <v>0.57851600000000003</v>
      </c>
      <c r="W47" s="9">
        <v>7.3131440000000003</v>
      </c>
      <c r="X47" s="9">
        <v>0.46532899999999999</v>
      </c>
      <c r="Y47" s="42">
        <f t="shared" si="104"/>
        <v>1496.193</v>
      </c>
      <c r="Z47" s="42">
        <f t="shared" si="105"/>
        <v>10.447845395795296</v>
      </c>
      <c r="AA47" s="42">
        <f t="shared" si="106"/>
        <v>134.75443999999999</v>
      </c>
      <c r="AB47" s="42">
        <f t="shared" si="107"/>
        <v>2.1588138473543754</v>
      </c>
      <c r="AC47" s="42">
        <f t="shared" si="108"/>
        <v>28.675187999999999</v>
      </c>
      <c r="AD47" s="42">
        <f t="shared" si="109"/>
        <v>0.97885683549740821</v>
      </c>
      <c r="AE47" s="42">
        <f t="shared" si="110"/>
        <v>41.071870000000004</v>
      </c>
      <c r="AF47" s="42"/>
      <c r="AG47" s="42">
        <f t="shared" si="111"/>
        <v>1.9861220411283895</v>
      </c>
      <c r="AH47" s="42">
        <f t="shared" si="112"/>
        <v>20.716856</v>
      </c>
      <c r="AI47" s="42">
        <f t="shared" si="113"/>
        <v>0.63358588860627252</v>
      </c>
      <c r="AJ47" s="42">
        <v>1</v>
      </c>
      <c r="AK47" s="42">
        <v>0</v>
      </c>
      <c r="AL47" s="42">
        <f t="shared" si="114"/>
        <v>1496.193</v>
      </c>
      <c r="AM47" s="42">
        <f t="shared" si="115"/>
        <v>10.447845395795296</v>
      </c>
      <c r="AN47" s="9">
        <v>0.99997100000000005</v>
      </c>
      <c r="AO47" s="42">
        <f t="shared" si="21"/>
        <v>1496.193</v>
      </c>
      <c r="AP47" s="42">
        <f t="shared" si="22"/>
        <v>10.447845395795296</v>
      </c>
      <c r="AQ47" s="42">
        <f t="shared" si="23"/>
        <v>134.75834799209176</v>
      </c>
      <c r="AR47" s="42">
        <f t="shared" si="24"/>
        <v>2.1588138473543754</v>
      </c>
      <c r="AS47" s="42">
        <f t="shared" si="25"/>
        <v>28.676851209137066</v>
      </c>
      <c r="AT47" s="42">
        <f t="shared" si="26"/>
        <v>0.97885683549740821</v>
      </c>
      <c r="AU47" s="42">
        <f t="shared" si="0"/>
        <v>41.075443356317329</v>
      </c>
      <c r="AV47" s="42">
        <f t="shared" si="27"/>
        <v>1.9861220411283895</v>
      </c>
      <c r="AW47" s="42">
        <f t="shared" si="28"/>
        <v>20.719259224989528</v>
      </c>
      <c r="AX47" s="42">
        <f t="shared" si="29"/>
        <v>0.63358588860627252</v>
      </c>
      <c r="AY47" s="9">
        <v>109.983</v>
      </c>
      <c r="AZ47" s="9">
        <v>1.001684</v>
      </c>
      <c r="BA47" s="42">
        <f t="shared" si="116"/>
        <v>1496.193</v>
      </c>
      <c r="BB47" s="42">
        <f t="shared" si="117"/>
        <v>10.447845395795296</v>
      </c>
      <c r="BC47" s="42">
        <f t="shared" si="118"/>
        <v>134.98528105011044</v>
      </c>
      <c r="BD47" s="42">
        <f t="shared" si="119"/>
        <v>2.1624492898733201</v>
      </c>
      <c r="BE47" s="42">
        <f t="shared" si="120"/>
        <v>28.676851209137066</v>
      </c>
      <c r="BF47" s="42">
        <f t="shared" si="121"/>
        <v>0.97885683549740821</v>
      </c>
      <c r="BG47" s="42">
        <f t="shared" si="122"/>
        <v>4517.6004866578487</v>
      </c>
      <c r="BH47" s="42">
        <f t="shared" si="123"/>
        <v>218.43966044942368</v>
      </c>
      <c r="BI47" s="42">
        <f t="shared" si="124"/>
        <v>20.719259224989528</v>
      </c>
      <c r="BJ47" s="42">
        <f t="shared" si="125"/>
        <v>0.63358588860627252</v>
      </c>
      <c r="BL47" s="45">
        <f t="shared" si="40"/>
        <v>1496.1867899517897</v>
      </c>
      <c r="BM47" s="45">
        <f t="shared" si="41"/>
        <v>10.447845648009011</v>
      </c>
      <c r="BN47" s="141">
        <f t="shared" si="42"/>
        <v>131.97985697435158</v>
      </c>
      <c r="BO47" s="45">
        <f t="shared" si="43"/>
        <v>2.1707035122812051</v>
      </c>
      <c r="BP47" s="45">
        <f t="shared" si="44"/>
        <v>4517.6004866578487</v>
      </c>
      <c r="BQ47" s="45">
        <f t="shared" si="45"/>
        <v>218.43966044942368</v>
      </c>
      <c r="BR47" s="45">
        <f t="shared" si="46"/>
        <v>27.01406223591583</v>
      </c>
      <c r="BS47" s="45">
        <f t="shared" si="47"/>
        <v>0.97926327514997424</v>
      </c>
      <c r="BT47" s="45">
        <f t="shared" si="48"/>
        <v>19.474389234886093</v>
      </c>
      <c r="BU47" s="45">
        <f t="shared" si="49"/>
        <v>0.63651489678234385</v>
      </c>
      <c r="BV47" s="41">
        <f t="shared" si="50"/>
        <v>1.3871583806861214</v>
      </c>
      <c r="BW47" s="46">
        <f t="shared" si="51"/>
        <v>4.8809452528271305E-2</v>
      </c>
      <c r="BX47" s="42"/>
      <c r="BY47" s="41">
        <f t="shared" si="101"/>
        <v>0.11296498101543136</v>
      </c>
      <c r="BZ47" s="42">
        <v>0</v>
      </c>
      <c r="CA47" s="42">
        <f t="shared" si="52"/>
        <v>3.0516430276299129</v>
      </c>
      <c r="CB47" s="42">
        <f t="shared" si="53"/>
        <v>0.11062245728642597</v>
      </c>
      <c r="CC47" s="42">
        <f t="shared" si="54"/>
        <v>2.1999240102060282</v>
      </c>
      <c r="CD47" s="42">
        <f t="shared" si="55"/>
        <v>7.1903893231056712E-2</v>
      </c>
      <c r="CE47" s="42">
        <f t="shared" si="56"/>
        <v>23.962419208285915</v>
      </c>
      <c r="CF47" s="42">
        <f t="shared" si="57"/>
        <v>0.98549169966750161</v>
      </c>
      <c r="CG47" s="42">
        <f t="shared" si="58"/>
        <v>17.274465224680064</v>
      </c>
      <c r="CH47" s="42">
        <f t="shared" si="59"/>
        <v>0.64056333308082902</v>
      </c>
      <c r="CI47" s="44">
        <f t="shared" si="60"/>
        <v>1.3871583806861216</v>
      </c>
      <c r="CJ47" s="44">
        <f t="shared" si="61"/>
        <v>6.7706441131292955E-2</v>
      </c>
      <c r="CL47" s="47">
        <f t="shared" si="62"/>
        <v>680.10839602212809</v>
      </c>
      <c r="CM47" s="42">
        <v>1</v>
      </c>
      <c r="CN47" s="42">
        <v>1</v>
      </c>
      <c r="CO47" s="141">
        <f t="shared" si="63"/>
        <v>1493.9868659415836</v>
      </c>
      <c r="CP47" s="45">
        <f t="shared" si="64"/>
        <v>10.495839597406327</v>
      </c>
      <c r="CQ47" s="42">
        <v>2</v>
      </c>
      <c r="CR47" s="41">
        <f t="shared" si="65"/>
        <v>99.852964614780674</v>
      </c>
      <c r="CS47" s="41">
        <f t="shared" si="66"/>
        <v>11.31980970574865</v>
      </c>
      <c r="CT47" s="42">
        <f t="shared" si="67"/>
        <v>0.20245301137886457</v>
      </c>
      <c r="CU47" s="41">
        <f t="shared" si="68"/>
        <v>477.77793754071996</v>
      </c>
      <c r="CV47" s="41">
        <f t="shared" si="69"/>
        <v>7.5554968352845906</v>
      </c>
      <c r="CW47" s="41">
        <f t="shared" si="70"/>
        <v>15.110993670569181</v>
      </c>
      <c r="CX47" s="41">
        <f t="shared" si="71"/>
        <v>3.1627650595066052</v>
      </c>
      <c r="CY47" s="41">
        <f t="shared" si="72"/>
        <v>7.5070967975075309</v>
      </c>
      <c r="CZ47" s="41">
        <f t="shared" si="73"/>
        <v>15.014193595015062</v>
      </c>
      <c r="DA47" s="41">
        <f t="shared" si="74"/>
        <v>63.666813238148556</v>
      </c>
      <c r="DB47" s="41">
        <f t="shared" si="75"/>
        <v>1.195996918699634</v>
      </c>
      <c r="DC47" s="151"/>
      <c r="DD47" s="151"/>
      <c r="DE47" s="153">
        <f t="shared" si="143"/>
        <v>477.77793754071996</v>
      </c>
      <c r="DF47" s="153">
        <f t="shared" si="144"/>
        <v>15.110993670569181</v>
      </c>
      <c r="DG47" s="128"/>
      <c r="DH47" s="128"/>
      <c r="DI47" s="41">
        <f t="shared" si="78"/>
        <v>63.666813238148556</v>
      </c>
      <c r="DJ47" s="41">
        <f t="shared" si="79"/>
        <v>1.195996918699634</v>
      </c>
      <c r="DK47" s="42" t="str">
        <f t="shared" si="80"/>
        <v>1176-26</v>
      </c>
      <c r="DL47" s="48">
        <f t="shared" si="81"/>
        <v>8.8210815561741623E-2</v>
      </c>
      <c r="DM47" s="48">
        <f t="shared" si="82"/>
        <v>1.5761708522095508E-3</v>
      </c>
      <c r="DN47" s="48">
        <f t="shared" si="83"/>
        <v>1.4703538521930904E-3</v>
      </c>
      <c r="DO47" s="48">
        <f t="shared" si="84"/>
        <v>4.9142665053349581E-5</v>
      </c>
      <c r="DP47" s="48">
        <v>8.8210815561741623E-2</v>
      </c>
      <c r="DQ47" s="48">
        <f t="shared" si="85"/>
        <v>59.992916283499873</v>
      </c>
      <c r="DR47" s="48">
        <f t="shared" si="86"/>
        <v>2.1951195724536725</v>
      </c>
      <c r="DS47" s="48">
        <f t="shared" si="87"/>
        <v>680.10839602212809</v>
      </c>
      <c r="DT47" s="48">
        <f t="shared" si="88"/>
        <v>22.730813440475938</v>
      </c>
      <c r="DU47" s="48">
        <f t="shared" si="89"/>
        <v>0.87356334519310441</v>
      </c>
      <c r="DV47" s="48">
        <f t="shared" si="90"/>
        <v>1.0682907115816412E-3</v>
      </c>
      <c r="DW47" s="48"/>
      <c r="DX47" s="45">
        <f t="shared" si="91"/>
        <v>3.6589646052219107E-2</v>
      </c>
      <c r="DY47" s="45">
        <f t="shared" si="92"/>
        <v>3.3422339105686275E-2</v>
      </c>
      <c r="DZ47" s="42"/>
      <c r="EA47" s="48">
        <f t="shared" si="93"/>
        <v>231.97649138927014</v>
      </c>
      <c r="EB47" s="48">
        <f t="shared" si="94"/>
        <v>13.538975546415127</v>
      </c>
      <c r="EC47" s="48">
        <f t="shared" si="95"/>
        <v>1.3871583806861214</v>
      </c>
      <c r="ED47" s="48">
        <f t="shared" si="96"/>
        <v>6.7706441131292941E-2</v>
      </c>
      <c r="EE47" s="48">
        <f t="shared" si="97"/>
        <v>0.37501072435620275</v>
      </c>
      <c r="EF47" s="48">
        <f t="shared" si="98"/>
        <v>1.0682907115816412E-3</v>
      </c>
      <c r="EG47" s="42"/>
      <c r="EH47" s="48">
        <f t="shared" si="99"/>
        <v>5.8363567210333971E-2</v>
      </c>
      <c r="EI47" s="48">
        <f t="shared" si="100"/>
        <v>4.8809452528271305E-2</v>
      </c>
      <c r="EJ47" s="15"/>
      <c r="EK47" s="165">
        <v>0.17599999999999999</v>
      </c>
      <c r="EL47" s="15"/>
      <c r="EN47" s="15"/>
      <c r="EO47" s="15"/>
      <c r="EP47" s="15"/>
      <c r="ER47" s="18"/>
    </row>
    <row r="48" spans="1:148" s="101" customFormat="1" x14ac:dyDescent="0.2">
      <c r="A48" s="101" t="s">
        <v>122</v>
      </c>
      <c r="B48" s="101" t="s">
        <v>96</v>
      </c>
      <c r="C48" s="102" t="s">
        <v>71</v>
      </c>
      <c r="D48" s="101">
        <v>2288.88</v>
      </c>
      <c r="E48" s="101">
        <v>8.5</v>
      </c>
      <c r="F48" s="101">
        <v>130.72999999999999</v>
      </c>
      <c r="G48" s="101">
        <v>1.6</v>
      </c>
      <c r="H48" s="101">
        <v>5.79</v>
      </c>
      <c r="I48" s="101">
        <v>0.24</v>
      </c>
      <c r="J48" s="101">
        <v>86.546000000000006</v>
      </c>
      <c r="K48" s="101">
        <v>0.66</v>
      </c>
      <c r="L48" s="101">
        <v>15.766999999999999</v>
      </c>
      <c r="M48" s="101">
        <v>0.37</v>
      </c>
      <c r="N48" s="102" t="s">
        <v>225</v>
      </c>
      <c r="O48" s="101">
        <v>1655.6759999999999</v>
      </c>
      <c r="P48" s="101">
        <v>4.9303600000000003</v>
      </c>
      <c r="Q48" s="101">
        <v>73.422749999999994</v>
      </c>
      <c r="R48" s="101">
        <v>0.48138300000000001</v>
      </c>
      <c r="S48" s="101">
        <v>2.1805310000000002</v>
      </c>
      <c r="T48" s="101">
        <v>0.13577800000000001</v>
      </c>
      <c r="U48" s="101">
        <v>89.720650000000006</v>
      </c>
      <c r="V48" s="101">
        <v>0.53800000000000003</v>
      </c>
      <c r="W48" s="101">
        <v>7.154128</v>
      </c>
      <c r="X48" s="101">
        <v>0.47139900000000001</v>
      </c>
      <c r="Y48" s="102">
        <f t="shared" si="104"/>
        <v>633.20400000000018</v>
      </c>
      <c r="Z48" s="102">
        <f t="shared" si="105"/>
        <v>9.8264159147473507</v>
      </c>
      <c r="AA48" s="102">
        <f t="shared" si="106"/>
        <v>57.307249999999996</v>
      </c>
      <c r="AB48" s="102">
        <f t="shared" si="107"/>
        <v>1.6708469686626004</v>
      </c>
      <c r="AC48" s="102">
        <f t="shared" si="108"/>
        <v>3.6094689999999998</v>
      </c>
      <c r="AD48" s="102">
        <f t="shared" si="109"/>
        <v>0.27574565324588524</v>
      </c>
      <c r="AE48" s="103">
        <v>0.1</v>
      </c>
      <c r="AF48" s="103">
        <v>-3.1746499999999997</v>
      </c>
      <c r="AG48" s="102">
        <f t="shared" si="111"/>
        <v>0.85149515559397049</v>
      </c>
      <c r="AH48" s="102">
        <f t="shared" si="112"/>
        <v>8.6128719999999994</v>
      </c>
      <c r="AI48" s="102">
        <f t="shared" si="113"/>
        <v>0.59926372925532545</v>
      </c>
      <c r="AJ48" s="102">
        <v>1</v>
      </c>
      <c r="AK48" s="102">
        <v>0</v>
      </c>
      <c r="AL48" s="102">
        <f t="shared" si="114"/>
        <v>633.20400000000018</v>
      </c>
      <c r="AM48" s="102">
        <f t="shared" si="115"/>
        <v>9.8264159147473507</v>
      </c>
      <c r="AN48" s="101">
        <v>0.99997100000000005</v>
      </c>
      <c r="AO48" s="102">
        <f t="shared" si="21"/>
        <v>633.20400000000018</v>
      </c>
      <c r="AP48" s="102">
        <f t="shared" si="22"/>
        <v>9.8264159147473507</v>
      </c>
      <c r="AQ48" s="102">
        <f t="shared" si="23"/>
        <v>57.308911958446792</v>
      </c>
      <c r="AR48" s="102">
        <f t="shared" si="24"/>
        <v>1.6708469686626004</v>
      </c>
      <c r="AS48" s="102">
        <f t="shared" si="25"/>
        <v>3.6096783552733029</v>
      </c>
      <c r="AT48" s="102">
        <f t="shared" si="26"/>
        <v>0.27574565324588524</v>
      </c>
      <c r="AU48" s="103">
        <f t="shared" si="0"/>
        <v>0.10000870025230731</v>
      </c>
      <c r="AV48" s="102">
        <f t="shared" si="27"/>
        <v>0.85149515559397049</v>
      </c>
      <c r="AW48" s="102">
        <f t="shared" si="28"/>
        <v>8.6138711221265414</v>
      </c>
      <c r="AX48" s="102">
        <f t="shared" si="29"/>
        <v>0.59926372925532545</v>
      </c>
      <c r="AY48" s="101">
        <v>110.0243</v>
      </c>
      <c r="AZ48" s="101">
        <v>1.0016849999999999</v>
      </c>
      <c r="BA48" s="102">
        <f t="shared" si="116"/>
        <v>633.20400000000018</v>
      </c>
      <c r="BB48" s="102">
        <f t="shared" si="117"/>
        <v>9.8264159147473507</v>
      </c>
      <c r="BC48" s="102">
        <f t="shared" si="118"/>
        <v>57.405477475096774</v>
      </c>
      <c r="BD48" s="102">
        <f t="shared" si="119"/>
        <v>1.6736623458047968</v>
      </c>
      <c r="BE48" s="102">
        <f t="shared" si="120"/>
        <v>3.6096783552733029</v>
      </c>
      <c r="BF48" s="102">
        <f t="shared" si="121"/>
        <v>0.27574565324588524</v>
      </c>
      <c r="BG48" s="102">
        <f t="shared" si="122"/>
        <v>11.003387239169934</v>
      </c>
      <c r="BH48" s="102">
        <f t="shared" si="123"/>
        <v>93.685158447617681</v>
      </c>
      <c r="BI48" s="102">
        <f t="shared" si="124"/>
        <v>8.6138711221265414</v>
      </c>
      <c r="BJ48" s="102">
        <f t="shared" si="125"/>
        <v>0.59926372925532545</v>
      </c>
      <c r="BL48" s="104">
        <f t="shared" si="40"/>
        <v>633.20129924450703</v>
      </c>
      <c r="BM48" s="104">
        <f t="shared" si="41"/>
        <v>9.8264159656831431</v>
      </c>
      <c r="BN48" s="146">
        <f t="shared" si="42"/>
        <v>57.398157251668174</v>
      </c>
      <c r="BO48" s="104">
        <f t="shared" si="43"/>
        <v>1.6748224549602342</v>
      </c>
      <c r="BP48" s="104">
        <f t="shared" si="44"/>
        <v>11.003387239169934</v>
      </c>
      <c r="BQ48" s="104">
        <f t="shared" si="45"/>
        <v>93.685158447617681</v>
      </c>
      <c r="BR48" s="104">
        <f t="shared" si="46"/>
        <v>2.9294977869744905</v>
      </c>
      <c r="BS48" s="104">
        <f t="shared" si="47"/>
        <v>0.27648408921670142</v>
      </c>
      <c r="BT48" s="104">
        <f t="shared" si="48"/>
        <v>8.6108390287389156</v>
      </c>
      <c r="BU48" s="104">
        <f t="shared" si="49"/>
        <v>0.59981953748846495</v>
      </c>
      <c r="BV48" s="105">
        <f t="shared" si="50"/>
        <v>0.34021049251962671</v>
      </c>
      <c r="BW48" s="106">
        <f t="shared" si="51"/>
        <v>0.11730213379985353</v>
      </c>
      <c r="BX48" s="102"/>
      <c r="BY48" s="105">
        <f t="shared" si="101"/>
        <v>0.88676238542525743</v>
      </c>
      <c r="BZ48" s="102">
        <v>0</v>
      </c>
      <c r="CA48" s="102">
        <f t="shared" si="52"/>
        <v>2.5977684456755119</v>
      </c>
      <c r="CB48" s="102">
        <f t="shared" si="53"/>
        <v>0.24517569048593185</v>
      </c>
      <c r="CC48" s="102">
        <f t="shared" si="54"/>
        <v>7.6357681576374272</v>
      </c>
      <c r="CD48" s="102">
        <f t="shared" si="55"/>
        <v>0.53189740388794571</v>
      </c>
      <c r="CE48" s="102">
        <f t="shared" si="56"/>
        <v>0.33172934129897858</v>
      </c>
      <c r="CF48" s="102">
        <f t="shared" si="57"/>
        <v>0.36953290894755553</v>
      </c>
      <c r="CG48" s="102">
        <f t="shared" si="58"/>
        <v>0.97507087110148838</v>
      </c>
      <c r="CH48" s="102">
        <f t="shared" si="59"/>
        <v>0.80168467979350366</v>
      </c>
      <c r="CI48" s="107">
        <f t="shared" si="60"/>
        <v>0.34021049251962671</v>
      </c>
      <c r="CJ48" s="107">
        <f t="shared" si="61"/>
        <v>3.990741671365132E-2</v>
      </c>
      <c r="CL48" s="108">
        <f t="shared" si="62"/>
        <v>82.925684249746126</v>
      </c>
      <c r="CM48" s="102">
        <v>1</v>
      </c>
      <c r="CN48" s="102">
        <v>1</v>
      </c>
      <c r="CO48" s="146">
        <f t="shared" si="63"/>
        <v>625.56553108686956</v>
      </c>
      <c r="CP48" s="104">
        <f t="shared" si="64"/>
        <v>9.8914794433843571</v>
      </c>
      <c r="CQ48" s="102">
        <v>2</v>
      </c>
      <c r="CR48" s="105">
        <f t="shared" si="65"/>
        <v>98.794100996515965</v>
      </c>
      <c r="CS48" s="105">
        <f t="shared" si="66"/>
        <v>10.898704088077473</v>
      </c>
      <c r="CT48" s="102">
        <f t="shared" si="67"/>
        <v>0.36170513656934256</v>
      </c>
      <c r="CU48" s="105">
        <f t="shared" si="68"/>
        <v>462.09508335251508</v>
      </c>
      <c r="CV48" s="105">
        <f t="shared" si="69"/>
        <v>13.554765680819637</v>
      </c>
      <c r="CW48" s="105">
        <f t="shared" si="70"/>
        <v>27.109531361639274</v>
      </c>
      <c r="CX48" s="105">
        <f t="shared" si="71"/>
        <v>5.8666565255268956</v>
      </c>
      <c r="CY48" s="105">
        <f t="shared" si="72"/>
        <v>13.52937627729643</v>
      </c>
      <c r="CZ48" s="105">
        <f t="shared" si="73"/>
        <v>27.058752554592861</v>
      </c>
      <c r="DA48" s="105">
        <f t="shared" si="74"/>
        <v>0.35656720084443583</v>
      </c>
      <c r="DB48" s="105">
        <f t="shared" si="75"/>
        <v>25.858597329670562</v>
      </c>
      <c r="DC48" s="157"/>
      <c r="DD48" s="157"/>
      <c r="DE48" s="153">
        <f t="shared" si="143"/>
        <v>462.09508335251508</v>
      </c>
      <c r="DF48" s="153">
        <f t="shared" si="144"/>
        <v>27.109531361639274</v>
      </c>
      <c r="DG48" s="128"/>
      <c r="DH48" s="128"/>
      <c r="DI48" s="41">
        <f t="shared" si="78"/>
        <v>0.35656720084443583</v>
      </c>
      <c r="DJ48" s="41">
        <f t="shared" si="79"/>
        <v>25.858597329670562</v>
      </c>
      <c r="DK48" s="102" t="str">
        <f t="shared" si="80"/>
        <v>1176-27</v>
      </c>
      <c r="DL48" s="109">
        <f t="shared" si="81"/>
        <v>9.064756708514618E-2</v>
      </c>
      <c r="DM48" s="109">
        <f t="shared" si="82"/>
        <v>2.9958212279821567E-3</v>
      </c>
      <c r="DN48" s="109">
        <f t="shared" si="83"/>
        <v>1.2058990034840279E-2</v>
      </c>
      <c r="DO48" s="109">
        <f t="shared" si="84"/>
        <v>8.6060621469027595E-4</v>
      </c>
      <c r="DP48" s="109">
        <v>9.064756708514618E-2</v>
      </c>
      <c r="DQ48" s="109">
        <f t="shared" si="85"/>
        <v>7.5170115261105126</v>
      </c>
      <c r="DR48" s="109">
        <f t="shared" si="86"/>
        <v>0.56770833396356923</v>
      </c>
      <c r="DS48" s="109">
        <f t="shared" si="87"/>
        <v>82.925684249746126</v>
      </c>
      <c r="DT48" s="109">
        <f t="shared" si="88"/>
        <v>5.9181041709618016</v>
      </c>
      <c r="DU48" s="109">
        <f t="shared" si="89"/>
        <v>0.90027808575873025</v>
      </c>
      <c r="DV48" s="109">
        <f t="shared" si="90"/>
        <v>4.8523293865767427E-3</v>
      </c>
      <c r="DW48" s="109"/>
      <c r="DX48" s="104">
        <f t="shared" si="91"/>
        <v>7.5523142673337831E-2</v>
      </c>
      <c r="DY48" s="104">
        <f t="shared" si="92"/>
        <v>7.1366359222775053E-2</v>
      </c>
      <c r="DZ48" s="102"/>
      <c r="EA48" s="109">
        <f t="shared" si="93"/>
        <v>1.2778530875383713</v>
      </c>
      <c r="EB48" s="109">
        <f t="shared" si="94"/>
        <v>10.880274680524492</v>
      </c>
      <c r="EC48" s="109">
        <f t="shared" si="95"/>
        <v>0.34021049251962671</v>
      </c>
      <c r="ED48" s="109">
        <f t="shared" si="96"/>
        <v>3.990741671365132E-2</v>
      </c>
      <c r="EE48" s="109">
        <f t="shared" si="97"/>
        <v>4.8583123035371174E-3</v>
      </c>
      <c r="EF48" s="109">
        <f t="shared" si="98"/>
        <v>4.8523293865767427E-3</v>
      </c>
      <c r="EG48" s="102"/>
      <c r="EH48" s="109">
        <f t="shared" si="99"/>
        <v>8.514495748086361</v>
      </c>
      <c r="EI48" s="109">
        <f t="shared" si="100"/>
        <v>0.11730213379985353</v>
      </c>
      <c r="EJ48" s="110"/>
      <c r="EK48" s="166">
        <v>0.48399999999999999</v>
      </c>
      <c r="EL48" s="110"/>
      <c r="EN48" s="110"/>
      <c r="EO48" s="110"/>
      <c r="EP48" s="110"/>
      <c r="ER48" s="111"/>
    </row>
    <row r="49" spans="1:148" s="101" customFormat="1" x14ac:dyDescent="0.2">
      <c r="A49" s="101" t="s">
        <v>123</v>
      </c>
      <c r="B49" s="101" t="s">
        <v>96</v>
      </c>
      <c r="C49" s="102" t="s">
        <v>71</v>
      </c>
      <c r="D49" s="101">
        <v>2572.13</v>
      </c>
      <c r="E49" s="101">
        <v>7</v>
      </c>
      <c r="F49" s="101">
        <v>125.041</v>
      </c>
      <c r="G49" s="101">
        <v>0.82</v>
      </c>
      <c r="H49" s="101">
        <v>7.0910000000000002</v>
      </c>
      <c r="I49" s="101">
        <v>0.23</v>
      </c>
      <c r="J49" s="101">
        <v>89.328999999999994</v>
      </c>
      <c r="K49" s="101">
        <v>0.62</v>
      </c>
      <c r="L49" s="101">
        <v>14.939</v>
      </c>
      <c r="M49" s="101">
        <v>0.34</v>
      </c>
      <c r="N49" s="102" t="s">
        <v>225</v>
      </c>
      <c r="O49" s="101">
        <v>1599.16</v>
      </c>
      <c r="P49" s="101">
        <v>5.4406369999999997</v>
      </c>
      <c r="Q49" s="101">
        <v>73.479910000000004</v>
      </c>
      <c r="R49" s="101">
        <v>0.46625899999999998</v>
      </c>
      <c r="S49" s="101">
        <v>2.232218</v>
      </c>
      <c r="T49" s="101">
        <v>0.15718499999999999</v>
      </c>
      <c r="U49" s="101">
        <v>89.743160000000003</v>
      </c>
      <c r="V49" s="101">
        <v>0.50650200000000001</v>
      </c>
      <c r="W49" s="101">
        <v>6.995209</v>
      </c>
      <c r="X49" s="101">
        <v>0.53923900000000002</v>
      </c>
      <c r="Y49" s="102">
        <f t="shared" si="104"/>
        <v>972.97</v>
      </c>
      <c r="Z49" s="102">
        <f t="shared" si="105"/>
        <v>8.8656940487346496</v>
      </c>
      <c r="AA49" s="102">
        <f t="shared" si="106"/>
        <v>51.561089999999993</v>
      </c>
      <c r="AB49" s="102">
        <f t="shared" si="107"/>
        <v>0.94329075850503263</v>
      </c>
      <c r="AC49" s="102">
        <f t="shared" si="108"/>
        <v>4.8587819999999997</v>
      </c>
      <c r="AD49" s="102">
        <f t="shared" si="109"/>
        <v>0.27858055248886271</v>
      </c>
      <c r="AE49" s="103">
        <v>0.1</v>
      </c>
      <c r="AF49" s="103">
        <v>-0.41416000000000963</v>
      </c>
      <c r="AG49" s="102">
        <f t="shared" si="111"/>
        <v>0.80058995497320606</v>
      </c>
      <c r="AH49" s="102">
        <f t="shared" si="112"/>
        <v>7.943791</v>
      </c>
      <c r="AI49" s="102">
        <f t="shared" si="113"/>
        <v>0.63747839110122007</v>
      </c>
      <c r="AJ49" s="102">
        <v>1</v>
      </c>
      <c r="AK49" s="102">
        <v>0</v>
      </c>
      <c r="AL49" s="102">
        <f t="shared" si="114"/>
        <v>972.97</v>
      </c>
      <c r="AM49" s="102">
        <f t="shared" si="115"/>
        <v>8.8656940487346496</v>
      </c>
      <c r="AN49" s="101">
        <v>0.99997100000000005</v>
      </c>
      <c r="AO49" s="102">
        <f t="shared" si="21"/>
        <v>972.97</v>
      </c>
      <c r="AP49" s="102">
        <f t="shared" si="22"/>
        <v>8.8656940487346496</v>
      </c>
      <c r="AQ49" s="102">
        <f t="shared" si="23"/>
        <v>51.562585314974129</v>
      </c>
      <c r="AR49" s="102">
        <f t="shared" si="24"/>
        <v>0.94329075850503263</v>
      </c>
      <c r="AS49" s="102">
        <f t="shared" si="25"/>
        <v>4.8590638175287086</v>
      </c>
      <c r="AT49" s="102">
        <f t="shared" si="26"/>
        <v>0.27858055248886271</v>
      </c>
      <c r="AU49" s="103">
        <f t="shared" si="0"/>
        <v>0.10000870025230731</v>
      </c>
      <c r="AV49" s="102">
        <f t="shared" si="27"/>
        <v>0.80058995497320606</v>
      </c>
      <c r="AW49" s="102">
        <f t="shared" si="28"/>
        <v>7.9447125064796893</v>
      </c>
      <c r="AX49" s="102">
        <f t="shared" si="29"/>
        <v>0.63747839110122007</v>
      </c>
      <c r="AY49" s="101">
        <v>110.0656</v>
      </c>
      <c r="AZ49" s="101">
        <v>1.0016849999999999</v>
      </c>
      <c r="BA49" s="102">
        <f t="shared" si="116"/>
        <v>972.97</v>
      </c>
      <c r="BB49" s="102">
        <f t="shared" si="117"/>
        <v>8.8656940487346496</v>
      </c>
      <c r="BC49" s="102">
        <f t="shared" si="118"/>
        <v>51.649468271229857</v>
      </c>
      <c r="BD49" s="102">
        <f t="shared" si="119"/>
        <v>0.94488020343311352</v>
      </c>
      <c r="BE49" s="102">
        <f t="shared" si="120"/>
        <v>4.8590638175287086</v>
      </c>
      <c r="BF49" s="102">
        <f t="shared" si="121"/>
        <v>0.27858055248886271</v>
      </c>
      <c r="BG49" s="102">
        <f t="shared" si="122"/>
        <v>11.007517598490356</v>
      </c>
      <c r="BH49" s="102">
        <f t="shared" si="123"/>
        <v>88.117413748098912</v>
      </c>
      <c r="BI49" s="102">
        <f t="shared" si="124"/>
        <v>7.9447125064796893</v>
      </c>
      <c r="BJ49" s="102">
        <f t="shared" si="125"/>
        <v>0.63747839110122007</v>
      </c>
      <c r="BL49" s="104">
        <f t="shared" si="40"/>
        <v>972.96757008213717</v>
      </c>
      <c r="BM49" s="104">
        <f t="shared" si="41"/>
        <v>8.8656940942632385</v>
      </c>
      <c r="BN49" s="146">
        <f t="shared" si="42"/>
        <v>51.642145299997111</v>
      </c>
      <c r="BO49" s="104">
        <f t="shared" si="43"/>
        <v>0.94669699992434075</v>
      </c>
      <c r="BP49" s="104">
        <f t="shared" si="44"/>
        <v>11.007517598490356</v>
      </c>
      <c r="BQ49" s="104">
        <f t="shared" si="45"/>
        <v>88.117413748098912</v>
      </c>
      <c r="BR49" s="104">
        <f t="shared" si="46"/>
        <v>4.2470688759703998</v>
      </c>
      <c r="BS49" s="104">
        <f t="shared" si="47"/>
        <v>0.27882732072122335</v>
      </c>
      <c r="BT49" s="104">
        <f t="shared" si="48"/>
        <v>7.9416792749302489</v>
      </c>
      <c r="BU49" s="104">
        <f t="shared" si="49"/>
        <v>0.63794066924120596</v>
      </c>
      <c r="BV49" s="105">
        <f t="shared" si="50"/>
        <v>0.53478222035196721</v>
      </c>
      <c r="BW49" s="106">
        <f t="shared" si="51"/>
        <v>0.10374374032442289</v>
      </c>
      <c r="BX49" s="102"/>
      <c r="BY49" s="105">
        <f t="shared" si="101"/>
        <v>0.74295475214193119</v>
      </c>
      <c r="BZ49" s="102">
        <v>0</v>
      </c>
      <c r="CA49" s="102">
        <f t="shared" si="52"/>
        <v>3.1553800040762985</v>
      </c>
      <c r="CB49" s="102">
        <f t="shared" si="53"/>
        <v>0.20715608295683524</v>
      </c>
      <c r="CC49" s="102">
        <f t="shared" si="54"/>
        <v>5.9003083572965149</v>
      </c>
      <c r="CD49" s="102">
        <f t="shared" si="55"/>
        <v>0.47396105179735787</v>
      </c>
      <c r="CE49" s="102">
        <f t="shared" si="56"/>
        <v>1.0916888718941014</v>
      </c>
      <c r="CF49" s="102">
        <f t="shared" si="57"/>
        <v>0.34735906132789335</v>
      </c>
      <c r="CG49" s="102">
        <f t="shared" si="58"/>
        <v>2.041370917633734</v>
      </c>
      <c r="CH49" s="102">
        <f t="shared" si="59"/>
        <v>0.79473730005126564</v>
      </c>
      <c r="CI49" s="107">
        <f t="shared" si="60"/>
        <v>0.53478222035196721</v>
      </c>
      <c r="CJ49" s="107">
        <f t="shared" si="61"/>
        <v>5.548030779831279E-2</v>
      </c>
      <c r="CL49" s="108">
        <f t="shared" si="62"/>
        <v>164.9011392563803</v>
      </c>
      <c r="CM49" s="102">
        <v>1</v>
      </c>
      <c r="CN49" s="102">
        <v>1</v>
      </c>
      <c r="CO49" s="146">
        <f t="shared" si="63"/>
        <v>967.06726172484071</v>
      </c>
      <c r="CP49" s="104">
        <f t="shared" si="64"/>
        <v>8.934493318128057</v>
      </c>
      <c r="CQ49" s="102">
        <v>2</v>
      </c>
      <c r="CR49" s="105">
        <f t="shared" si="65"/>
        <v>99.39357605137873</v>
      </c>
      <c r="CS49" s="105">
        <f t="shared" si="66"/>
        <v>18.72631851575877</v>
      </c>
      <c r="CT49" s="102">
        <f t="shared" si="67"/>
        <v>0.38441985108041771</v>
      </c>
      <c r="CU49" s="105">
        <f t="shared" si="68"/>
        <v>733.41749211578883</v>
      </c>
      <c r="CV49" s="105">
        <f t="shared" si="69"/>
        <v>12.431838895702638</v>
      </c>
      <c r="CW49" s="105">
        <f t="shared" si="70"/>
        <v>24.863677791405276</v>
      </c>
      <c r="CX49" s="105">
        <f t="shared" si="71"/>
        <v>3.3901124610046671</v>
      </c>
      <c r="CY49" s="105">
        <f t="shared" si="72"/>
        <v>12.371250939247965</v>
      </c>
      <c r="CZ49" s="105">
        <f t="shared" si="73"/>
        <v>24.742501878495929</v>
      </c>
      <c r="DA49" s="105">
        <f t="shared" si="74"/>
        <v>0.39645879570369452</v>
      </c>
      <c r="DB49" s="105">
        <f t="shared" si="75"/>
        <v>25.413646377768387</v>
      </c>
      <c r="DC49" s="157"/>
      <c r="DD49" s="157"/>
      <c r="DE49" s="153">
        <f t="shared" ref="DE49" si="145">CU49</f>
        <v>733.41749211578883</v>
      </c>
      <c r="DF49" s="153">
        <f t="shared" ref="DF49" si="146">CW49</f>
        <v>24.863677791405276</v>
      </c>
      <c r="DG49" s="128"/>
      <c r="DH49" s="128"/>
      <c r="DI49" s="41">
        <f t="shared" si="78"/>
        <v>0.39645879570369452</v>
      </c>
      <c r="DJ49" s="41">
        <f t="shared" si="79"/>
        <v>25.413646377768387</v>
      </c>
      <c r="DK49" s="102" t="str">
        <f t="shared" si="80"/>
        <v>1176-28</v>
      </c>
      <c r="DL49" s="109">
        <f t="shared" si="81"/>
        <v>5.3076944070846593E-2</v>
      </c>
      <c r="DM49" s="109">
        <f t="shared" si="82"/>
        <v>1.0865696867821131E-3</v>
      </c>
      <c r="DN49" s="109">
        <f t="shared" si="83"/>
        <v>6.0642394862126959E-3</v>
      </c>
      <c r="DO49" s="109">
        <f t="shared" si="84"/>
        <v>4.9025338300564831E-4</v>
      </c>
      <c r="DP49" s="109">
        <v>5.3076944070846593E-2</v>
      </c>
      <c r="DQ49" s="109">
        <f t="shared" si="85"/>
        <v>8.7524485455297842</v>
      </c>
      <c r="DR49" s="109">
        <f t="shared" si="86"/>
        <v>0.72114410416918517</v>
      </c>
      <c r="DS49" s="109">
        <f t="shared" si="87"/>
        <v>164.9011392563803</v>
      </c>
      <c r="DT49" s="109">
        <f t="shared" si="88"/>
        <v>13.331159095172067</v>
      </c>
      <c r="DU49" s="109">
        <f t="shared" si="89"/>
        <v>0.96872196012848799</v>
      </c>
      <c r="DV49" s="109">
        <f t="shared" si="90"/>
        <v>6.4526170471430055E-3</v>
      </c>
      <c r="DW49" s="109"/>
      <c r="DX49" s="104">
        <f t="shared" si="91"/>
        <v>8.2393412588240983E-2</v>
      </c>
      <c r="DY49" s="104">
        <f t="shared" si="92"/>
        <v>8.0843341381925976E-2</v>
      </c>
      <c r="DZ49" s="102"/>
      <c r="EA49" s="109">
        <f t="shared" si="93"/>
        <v>1.3860440868265904</v>
      </c>
      <c r="EB49" s="109">
        <f t="shared" si="94"/>
        <v>11.096122986894445</v>
      </c>
      <c r="EC49" s="109">
        <f t="shared" si="95"/>
        <v>0.53478222035196721</v>
      </c>
      <c r="ED49" s="109">
        <f t="shared" si="96"/>
        <v>5.548030779831279E-2</v>
      </c>
      <c r="EE49" s="109">
        <f t="shared" si="97"/>
        <v>7.7692620861819833E-3</v>
      </c>
      <c r="EF49" s="109">
        <f t="shared" si="98"/>
        <v>6.4526170471430055E-3</v>
      </c>
      <c r="EG49" s="102"/>
      <c r="EH49" s="109">
        <f t="shared" si="99"/>
        <v>8.0056060931651256</v>
      </c>
      <c r="EI49" s="109">
        <f t="shared" si="100"/>
        <v>0.10374374032442289</v>
      </c>
      <c r="EJ49" s="110"/>
      <c r="EK49" s="166">
        <v>0.72399999999999998</v>
      </c>
      <c r="EL49" s="110"/>
      <c r="EN49" s="110"/>
      <c r="EO49" s="110"/>
      <c r="EP49" s="110"/>
      <c r="ER49" s="111"/>
    </row>
    <row r="50" spans="1:148" s="9" customFormat="1" x14ac:dyDescent="0.2">
      <c r="A50" s="9" t="s">
        <v>124</v>
      </c>
      <c r="B50" s="9" t="s">
        <v>96</v>
      </c>
      <c r="C50" s="42" t="s">
        <v>71</v>
      </c>
      <c r="D50" s="9">
        <v>2441.6999999999998</v>
      </c>
      <c r="E50" s="9">
        <v>8.1999999999999993</v>
      </c>
      <c r="F50" s="9">
        <v>124.51</v>
      </c>
      <c r="G50" s="9">
        <v>1.7</v>
      </c>
      <c r="H50" s="9">
        <v>8.8849999999999998</v>
      </c>
      <c r="I50" s="9">
        <v>0.27</v>
      </c>
      <c r="J50" s="9">
        <v>89.918000000000006</v>
      </c>
      <c r="K50" s="9">
        <v>0.73</v>
      </c>
      <c r="L50" s="9">
        <v>18.45</v>
      </c>
      <c r="M50" s="9">
        <v>0.4</v>
      </c>
      <c r="N50" s="42" t="s">
        <v>225</v>
      </c>
      <c r="O50" s="9">
        <v>1597.7629999999999</v>
      </c>
      <c r="P50" s="9">
        <v>5.3197429999999999</v>
      </c>
      <c r="Q50" s="9">
        <v>73.599829999999997</v>
      </c>
      <c r="R50" s="9">
        <v>0.44903300000000002</v>
      </c>
      <c r="S50" s="9">
        <v>2.3944350000000001</v>
      </c>
      <c r="T50" s="9">
        <v>0.16323799999999999</v>
      </c>
      <c r="U50" s="9">
        <v>89.790379999999999</v>
      </c>
      <c r="V50" s="9">
        <v>0.47698099999999999</v>
      </c>
      <c r="W50" s="9">
        <v>6.651084</v>
      </c>
      <c r="X50" s="9">
        <v>0.52903299999999998</v>
      </c>
      <c r="Y50" s="42">
        <f t="shared" si="104"/>
        <v>843.9369999999999</v>
      </c>
      <c r="Z50" s="42">
        <f t="shared" si="105"/>
        <v>9.7744394000908823</v>
      </c>
      <c r="AA50" s="42">
        <f t="shared" si="106"/>
        <v>50.910170000000008</v>
      </c>
      <c r="AB50" s="42">
        <f t="shared" si="107"/>
        <v>1.7583033398958781</v>
      </c>
      <c r="AC50" s="42">
        <f t="shared" si="108"/>
        <v>6.4905650000000001</v>
      </c>
      <c r="AD50" s="42">
        <f t="shared" si="109"/>
        <v>0.31551013397987709</v>
      </c>
      <c r="AE50" s="42">
        <f t="shared" si="110"/>
        <v>0.12762000000000739</v>
      </c>
      <c r="AF50" s="42"/>
      <c r="AG50" s="42">
        <f t="shared" si="111"/>
        <v>0.87201540947451139</v>
      </c>
      <c r="AH50" s="42">
        <f t="shared" si="112"/>
        <v>11.798915999999998</v>
      </c>
      <c r="AI50" s="42">
        <f t="shared" si="113"/>
        <v>0.66323141895495275</v>
      </c>
      <c r="AJ50" s="42">
        <v>1</v>
      </c>
      <c r="AK50" s="42">
        <v>0</v>
      </c>
      <c r="AL50" s="42">
        <f t="shared" si="114"/>
        <v>843.9369999999999</v>
      </c>
      <c r="AM50" s="42">
        <f t="shared" si="115"/>
        <v>9.7744394000908823</v>
      </c>
      <c r="AN50" s="9">
        <v>0.99997100000000005</v>
      </c>
      <c r="AO50" s="42">
        <f t="shared" si="21"/>
        <v>843.9369999999999</v>
      </c>
      <c r="AP50" s="42">
        <f t="shared" si="22"/>
        <v>9.7744394000908823</v>
      </c>
      <c r="AQ50" s="42">
        <f t="shared" si="23"/>
        <v>50.911646437746704</v>
      </c>
      <c r="AR50" s="42">
        <f t="shared" si="24"/>
        <v>1.7583033398958781</v>
      </c>
      <c r="AS50" s="42">
        <f t="shared" si="25"/>
        <v>6.4909414636874478</v>
      </c>
      <c r="AT50" s="42">
        <f t="shared" si="26"/>
        <v>0.31551013397987709</v>
      </c>
      <c r="AU50" s="42">
        <f t="shared" si="0"/>
        <v>0.12763110326200197</v>
      </c>
      <c r="AV50" s="42">
        <f t="shared" si="27"/>
        <v>0.87201540947451139</v>
      </c>
      <c r="AW50" s="42">
        <f t="shared" si="28"/>
        <v>11.800284713948704</v>
      </c>
      <c r="AX50" s="42">
        <f t="shared" si="29"/>
        <v>0.66323141895495275</v>
      </c>
      <c r="AY50" s="9">
        <v>110.1524</v>
      </c>
      <c r="AZ50" s="9">
        <v>1.0016849999999999</v>
      </c>
      <c r="BA50" s="42">
        <f t="shared" si="116"/>
        <v>843.9369999999999</v>
      </c>
      <c r="BB50" s="42">
        <f t="shared" si="117"/>
        <v>9.7744394000908823</v>
      </c>
      <c r="BC50" s="42">
        <f t="shared" si="118"/>
        <v>50.997432561994302</v>
      </c>
      <c r="BD50" s="42">
        <f t="shared" si="119"/>
        <v>1.7612660810236025</v>
      </c>
      <c r="BE50" s="42">
        <f t="shared" si="120"/>
        <v>6.4909414636874478</v>
      </c>
      <c r="BF50" s="42">
        <f t="shared" si="121"/>
        <v>0.31551013397987709</v>
      </c>
      <c r="BG50" s="42">
        <f t="shared" si="122"/>
        <v>14.058872338957347</v>
      </c>
      <c r="BH50" s="42">
        <f t="shared" si="123"/>
        <v>96.054590190600166</v>
      </c>
      <c r="BI50" s="42">
        <f t="shared" si="124"/>
        <v>11.800284713948704</v>
      </c>
      <c r="BJ50" s="42">
        <f t="shared" si="125"/>
        <v>0.66323141895495275</v>
      </c>
      <c r="BL50" s="45">
        <f t="shared" si="40"/>
        <v>843.93460085788968</v>
      </c>
      <c r="BM50" s="45">
        <f t="shared" si="41"/>
        <v>9.7744394406000161</v>
      </c>
      <c r="BN50" s="141">
        <f t="shared" si="42"/>
        <v>50.988079615993364</v>
      </c>
      <c r="BO50" s="45">
        <f t="shared" si="43"/>
        <v>1.762424990163163</v>
      </c>
      <c r="BP50" s="45">
        <f t="shared" si="44"/>
        <v>14.058872338957347</v>
      </c>
      <c r="BQ50" s="45">
        <f t="shared" si="45"/>
        <v>96.054590190600166</v>
      </c>
      <c r="BR50" s="45">
        <f t="shared" si="46"/>
        <v>5.8866274757770398</v>
      </c>
      <c r="BS50" s="45">
        <f t="shared" si="47"/>
        <v>0.31621956228626197</v>
      </c>
      <c r="BT50" s="45">
        <f t="shared" si="48"/>
        <v>11.796410651086982</v>
      </c>
      <c r="BU50" s="45">
        <f t="shared" si="49"/>
        <v>0.66375937925807948</v>
      </c>
      <c r="BV50" s="41">
        <f t="shared" si="50"/>
        <v>0.49901852774467598</v>
      </c>
      <c r="BW50" s="46">
        <f t="shared" si="51"/>
        <v>7.779288171297831E-2</v>
      </c>
      <c r="BX50" s="42"/>
      <c r="BY50" s="41">
        <f t="shared" si="101"/>
        <v>0.76938763655234599</v>
      </c>
      <c r="BZ50" s="42">
        <v>0</v>
      </c>
      <c r="CA50" s="42">
        <f t="shared" si="52"/>
        <v>4.5290984008521988</v>
      </c>
      <c r="CB50" s="42">
        <f t="shared" si="53"/>
        <v>0.24329542165904444</v>
      </c>
      <c r="CC50" s="42">
        <f t="shared" si="54"/>
        <v>9.0760125106407337</v>
      </c>
      <c r="CD50" s="42">
        <f t="shared" si="55"/>
        <v>0.51068826004682599</v>
      </c>
      <c r="CE50" s="42">
        <f t="shared" si="56"/>
        <v>1.357529074924841</v>
      </c>
      <c r="CF50" s="42">
        <f t="shared" si="57"/>
        <v>0.39898304948051033</v>
      </c>
      <c r="CG50" s="42">
        <f t="shared" si="58"/>
        <v>2.7203981404462478</v>
      </c>
      <c r="CH50" s="42">
        <f t="shared" si="59"/>
        <v>0.8374837386497278</v>
      </c>
      <c r="CI50" s="44">
        <f t="shared" si="60"/>
        <v>0.49901852774467592</v>
      </c>
      <c r="CJ50" s="44">
        <f t="shared" si="61"/>
        <v>3.8820089301426157E-2</v>
      </c>
      <c r="CL50" s="47">
        <f t="shared" si="62"/>
        <v>92.985173815974719</v>
      </c>
      <c r="CM50" s="42">
        <v>1</v>
      </c>
      <c r="CN50" s="42">
        <v>1</v>
      </c>
      <c r="CO50" s="141">
        <f t="shared" si="63"/>
        <v>834.858588347249</v>
      </c>
      <c r="CP50" s="45">
        <f t="shared" si="64"/>
        <v>9.8387229291665097</v>
      </c>
      <c r="CQ50" s="42">
        <v>2</v>
      </c>
      <c r="CR50" s="41">
        <f t="shared" si="65"/>
        <v>98.924559734674403</v>
      </c>
      <c r="CS50" s="41">
        <f t="shared" si="66"/>
        <v>16.373603293844784</v>
      </c>
      <c r="CT50" s="42">
        <f t="shared" si="67"/>
        <v>0.59795109947295277</v>
      </c>
      <c r="CU50" s="41">
        <f t="shared" si="68"/>
        <v>656.0686201901957</v>
      </c>
      <c r="CV50" s="41">
        <f t="shared" si="69"/>
        <v>20.117143396605858</v>
      </c>
      <c r="CW50" s="41">
        <f t="shared" si="70"/>
        <v>40.234286793211716</v>
      </c>
      <c r="CX50" s="41">
        <f t="shared" si="71"/>
        <v>6.1326339280710771</v>
      </c>
      <c r="CY50" s="41">
        <f t="shared" si="72"/>
        <v>20.086007884700557</v>
      </c>
      <c r="CZ50" s="41">
        <f t="shared" si="73"/>
        <v>40.172015769401114</v>
      </c>
      <c r="DA50" s="41">
        <f t="shared" si="74"/>
        <v>0.51285521532484601</v>
      </c>
      <c r="DB50" s="41">
        <f t="shared" si="75"/>
        <v>23.958052429573822</v>
      </c>
      <c r="DC50" s="151"/>
      <c r="DD50" s="151"/>
      <c r="DE50" s="153">
        <f t="shared" ref="DE50" si="147">CU50</f>
        <v>656.0686201901957</v>
      </c>
      <c r="DF50" s="153">
        <f t="shared" ref="DF50" si="148">CW50</f>
        <v>40.234286793211716</v>
      </c>
      <c r="DG50" s="128"/>
      <c r="DH50" s="128"/>
      <c r="DI50" s="41">
        <f t="shared" si="78"/>
        <v>0.51285521532484601</v>
      </c>
      <c r="DJ50" s="41">
        <f t="shared" si="79"/>
        <v>23.958052429573822</v>
      </c>
      <c r="DK50" s="42" t="str">
        <f t="shared" si="80"/>
        <v>1176-29</v>
      </c>
      <c r="DL50" s="48">
        <f t="shared" si="81"/>
        <v>6.0417098154480403E-2</v>
      </c>
      <c r="DM50" s="48">
        <f t="shared" si="82"/>
        <v>2.2024592991416532E-3</v>
      </c>
      <c r="DN50" s="48">
        <f t="shared" si="83"/>
        <v>1.0754402653256121E-2</v>
      </c>
      <c r="DO50" s="48">
        <f t="shared" si="84"/>
        <v>6.1781400693648313E-4</v>
      </c>
      <c r="DP50" s="48">
        <v>6.0417098154480403E-2</v>
      </c>
      <c r="DQ50" s="48">
        <f t="shared" si="85"/>
        <v>5.6178943733511657</v>
      </c>
      <c r="DR50" s="48">
        <f t="shared" si="86"/>
        <v>0.37098725163500379</v>
      </c>
      <c r="DS50" s="48">
        <f t="shared" si="87"/>
        <v>92.985173815974719</v>
      </c>
      <c r="DT50" s="48">
        <f t="shared" si="88"/>
        <v>5.3417697545050764</v>
      </c>
      <c r="DU50" s="48">
        <f t="shared" si="89"/>
        <v>0.83457371512986334</v>
      </c>
      <c r="DV50" s="48">
        <f t="shared" si="90"/>
        <v>3.1660777570107529E-3</v>
      </c>
      <c r="DW50" s="48"/>
      <c r="DX50" s="45">
        <f t="shared" si="91"/>
        <v>6.6036708236239736E-2</v>
      </c>
      <c r="DY50" s="45">
        <f t="shared" si="92"/>
        <v>5.7447542820932687E-2</v>
      </c>
      <c r="DZ50" s="42"/>
      <c r="EA50" s="48">
        <f t="shared" si="93"/>
        <v>1.1917923811563724</v>
      </c>
      <c r="EB50" s="48">
        <f t="shared" si="94"/>
        <v>8.1429725025358231</v>
      </c>
      <c r="EC50" s="48">
        <f t="shared" si="95"/>
        <v>0.49901852774467598</v>
      </c>
      <c r="ED50" s="48">
        <f t="shared" si="96"/>
        <v>3.8820089301426164E-2</v>
      </c>
      <c r="EE50" s="48">
        <f t="shared" si="97"/>
        <v>5.9566125701270107E-3</v>
      </c>
      <c r="EF50" s="48">
        <f t="shared" si="98"/>
        <v>3.1660777570107529E-3</v>
      </c>
      <c r="EG50" s="42"/>
      <c r="EH50" s="48">
        <f t="shared" si="99"/>
        <v>6.83254284159365</v>
      </c>
      <c r="EI50" s="48">
        <f t="shared" si="100"/>
        <v>7.779288171297831E-2</v>
      </c>
      <c r="EJ50" s="15"/>
      <c r="EK50" s="165">
        <v>0.96499999999999997</v>
      </c>
      <c r="EL50" s="15"/>
      <c r="EN50" s="15"/>
      <c r="EO50" s="15"/>
      <c r="EP50" s="15"/>
      <c r="ER50" s="18"/>
    </row>
    <row r="51" spans="1:148" s="120" customFormat="1" x14ac:dyDescent="0.2">
      <c r="A51" s="120" t="s">
        <v>125</v>
      </c>
      <c r="B51" s="120" t="s">
        <v>96</v>
      </c>
      <c r="C51" s="120" t="s">
        <v>71</v>
      </c>
      <c r="D51" s="120">
        <v>3150.21</v>
      </c>
      <c r="E51" s="120">
        <v>8.3000000000000007</v>
      </c>
      <c r="F51" s="120">
        <v>91.067999999999998</v>
      </c>
      <c r="G51" s="120">
        <v>0.68</v>
      </c>
      <c r="H51" s="120">
        <v>5.8680000000000003</v>
      </c>
      <c r="I51" s="120">
        <v>0.23</v>
      </c>
      <c r="J51" s="120">
        <v>88.725999999999999</v>
      </c>
      <c r="K51" s="120">
        <v>0.68</v>
      </c>
      <c r="L51" s="120">
        <v>12.868</v>
      </c>
      <c r="M51" s="120">
        <v>0.33</v>
      </c>
      <c r="N51" s="120" t="s">
        <v>225</v>
      </c>
      <c r="O51" s="120">
        <v>1648.173</v>
      </c>
      <c r="P51" s="120">
        <v>4.7887110000000002</v>
      </c>
      <c r="Q51" s="120">
        <v>73.657020000000003</v>
      </c>
      <c r="R51" s="120">
        <v>0.44825700000000002</v>
      </c>
      <c r="S51" s="120">
        <v>2.4952429999999999</v>
      </c>
      <c r="T51" s="120">
        <v>0.145902</v>
      </c>
      <c r="U51" s="120">
        <v>89.812910000000002</v>
      </c>
      <c r="V51" s="120">
        <v>0.482431</v>
      </c>
      <c r="W51" s="120">
        <v>6.4822870000000004</v>
      </c>
      <c r="X51" s="120">
        <v>0.46679700000000002</v>
      </c>
      <c r="Y51" s="120">
        <f t="shared" si="104"/>
        <v>1502.037</v>
      </c>
      <c r="Z51" s="120">
        <f t="shared" si="105"/>
        <v>9.5823667766121865</v>
      </c>
      <c r="AA51" s="120">
        <f t="shared" si="106"/>
        <v>17.410979999999995</v>
      </c>
      <c r="AB51" s="120">
        <f t="shared" si="107"/>
        <v>0.81445339832859687</v>
      </c>
      <c r="AC51" s="120">
        <f t="shared" si="108"/>
        <v>3.3727570000000004</v>
      </c>
      <c r="AD51" s="120">
        <f t="shared" si="109"/>
        <v>0.27237362868677284</v>
      </c>
      <c r="AE51" s="121">
        <v>0.1</v>
      </c>
      <c r="AF51" s="121">
        <v>-1.0869100000000032</v>
      </c>
      <c r="AG51" s="120">
        <f t="shared" si="111"/>
        <v>0.83375036417443327</v>
      </c>
      <c r="AH51" s="120">
        <f t="shared" si="112"/>
        <v>6.385713</v>
      </c>
      <c r="AI51" s="120">
        <f t="shared" si="113"/>
        <v>0.57166374662820796</v>
      </c>
      <c r="AJ51" s="120">
        <v>1</v>
      </c>
      <c r="AK51" s="120">
        <v>0</v>
      </c>
      <c r="AL51" s="120">
        <f t="shared" si="114"/>
        <v>1502.037</v>
      </c>
      <c r="AM51" s="120">
        <f t="shared" si="115"/>
        <v>9.5823667766121865</v>
      </c>
      <c r="AN51" s="120">
        <v>0.99997100000000005</v>
      </c>
      <c r="AO51" s="120">
        <f t="shared" si="21"/>
        <v>1502.037</v>
      </c>
      <c r="AP51" s="120">
        <f t="shared" si="22"/>
        <v>9.5823667766121865</v>
      </c>
      <c r="AQ51" s="120">
        <f t="shared" si="23"/>
        <v>17.411484933063054</v>
      </c>
      <c r="AR51" s="120">
        <f t="shared" si="24"/>
        <v>0.81445339832859687</v>
      </c>
      <c r="AS51" s="120">
        <f t="shared" si="25"/>
        <v>3.3729526255791424</v>
      </c>
      <c r="AT51" s="120">
        <f t="shared" si="26"/>
        <v>0.27237362868677284</v>
      </c>
      <c r="AU51" s="121">
        <f t="shared" si="0"/>
        <v>0.10000870025230731</v>
      </c>
      <c r="AV51" s="120">
        <f t="shared" si="27"/>
        <v>0.83375036417443327</v>
      </c>
      <c r="AW51" s="120">
        <f t="shared" si="28"/>
        <v>6.3864537641901622</v>
      </c>
      <c r="AX51" s="120">
        <f t="shared" si="29"/>
        <v>0.57166374662820796</v>
      </c>
      <c r="AY51" s="120">
        <v>110.1938</v>
      </c>
      <c r="AZ51" s="120">
        <v>1.0016849999999999</v>
      </c>
      <c r="BA51" s="120">
        <f t="shared" si="116"/>
        <v>1502.037</v>
      </c>
      <c r="BB51" s="120">
        <f t="shared" si="117"/>
        <v>9.5823667766121865</v>
      </c>
      <c r="BC51" s="120">
        <f t="shared" si="118"/>
        <v>17.440823285175263</v>
      </c>
      <c r="BD51" s="120">
        <f t="shared" si="119"/>
        <v>0.81582575230478049</v>
      </c>
      <c r="BE51" s="120">
        <f t="shared" si="120"/>
        <v>3.3729526255791424</v>
      </c>
      <c r="BF51" s="120">
        <f t="shared" si="121"/>
        <v>0.27237362868677284</v>
      </c>
      <c r="BG51" s="120">
        <f t="shared" si="122"/>
        <v>11.020338713862701</v>
      </c>
      <c r="BH51" s="120">
        <f t="shared" si="123"/>
        <v>91.874120879764661</v>
      </c>
      <c r="BI51" s="120">
        <f t="shared" si="124"/>
        <v>6.3864537641901622</v>
      </c>
      <c r="BJ51" s="120">
        <f t="shared" si="125"/>
        <v>0.57166374662820796</v>
      </c>
      <c r="BL51" s="122">
        <f t="shared" si="40"/>
        <v>1502.0361797019111</v>
      </c>
      <c r="BM51" s="122">
        <f t="shared" si="41"/>
        <v>9.5823667814781839</v>
      </c>
      <c r="BN51" s="146">
        <f t="shared" si="42"/>
        <v>17.433491784439092</v>
      </c>
      <c r="BO51" s="122">
        <f t="shared" si="43"/>
        <v>0.81811217673290615</v>
      </c>
      <c r="BP51" s="122">
        <f t="shared" si="44"/>
        <v>11.020338713862701</v>
      </c>
      <c r="BQ51" s="122">
        <f t="shared" si="45"/>
        <v>91.874120879764661</v>
      </c>
      <c r="BR51" s="122">
        <f t="shared" si="46"/>
        <v>3.1661931115913431</v>
      </c>
      <c r="BS51" s="122">
        <f t="shared" si="47"/>
        <v>0.27255515771614192</v>
      </c>
      <c r="BT51" s="122">
        <f t="shared" si="48"/>
        <v>6.3834169996541705</v>
      </c>
      <c r="BU51" s="122">
        <f t="shared" si="49"/>
        <v>0.57222406608440102</v>
      </c>
      <c r="BV51" s="123">
        <f t="shared" si="50"/>
        <v>0.49600286363289059</v>
      </c>
      <c r="BW51" s="124">
        <f t="shared" si="51"/>
        <v>0.12428197104975469</v>
      </c>
      <c r="BY51" s="123">
        <f t="shared" si="101"/>
        <v>0.77161650877096044</v>
      </c>
      <c r="BZ51" s="120">
        <v>0</v>
      </c>
      <c r="CA51" s="120">
        <f t="shared" si="52"/>
        <v>2.4430868748607759</v>
      </c>
      <c r="CB51" s="120">
        <f t="shared" si="53"/>
        <v>0.2103080592444479</v>
      </c>
      <c r="CC51" s="120">
        <f t="shared" si="54"/>
        <v>4.9255499393023499</v>
      </c>
      <c r="CD51" s="120">
        <f t="shared" si="55"/>
        <v>0.44153753610676882</v>
      </c>
      <c r="CE51" s="120">
        <f t="shared" si="56"/>
        <v>0.72310623673056718</v>
      </c>
      <c r="CF51" s="120">
        <f t="shared" si="57"/>
        <v>0.34426122898292977</v>
      </c>
      <c r="CG51" s="120">
        <f t="shared" si="58"/>
        <v>1.4578670603518207</v>
      </c>
      <c r="CH51" s="120">
        <f t="shared" si="59"/>
        <v>0.72276951900132114</v>
      </c>
      <c r="CI51" s="125">
        <f t="shared" si="60"/>
        <v>0.49600286363289059</v>
      </c>
      <c r="CJ51" s="125">
        <f t="shared" si="61"/>
        <v>6.1644213538618334E-2</v>
      </c>
      <c r="CL51" s="126">
        <f t="shared" si="62"/>
        <v>304.9479140830025</v>
      </c>
      <c r="CM51" s="120">
        <v>1</v>
      </c>
      <c r="CN51" s="120">
        <v>1</v>
      </c>
      <c r="CO51" s="146">
        <f t="shared" si="63"/>
        <v>1497.1106297626088</v>
      </c>
      <c r="CP51" s="122">
        <f t="shared" si="64"/>
        <v>9.6445170190408085</v>
      </c>
      <c r="CQ51" s="120">
        <v>2</v>
      </c>
      <c r="CR51" s="123">
        <f t="shared" si="65"/>
        <v>99.672075146666586</v>
      </c>
      <c r="CS51" s="123">
        <f t="shared" si="66"/>
        <v>85.875546234456039</v>
      </c>
      <c r="CT51" s="120">
        <f t="shared" si="67"/>
        <v>4.0677293390814784</v>
      </c>
      <c r="CU51" s="123">
        <f t="shared" si="68"/>
        <v>2154.0717568786263</v>
      </c>
      <c r="CV51" s="123">
        <f t="shared" si="69"/>
        <v>59.616524970875282</v>
      </c>
      <c r="CW51" s="123">
        <f t="shared" si="70"/>
        <v>119.23304994175056</v>
      </c>
      <c r="CX51" s="123">
        <f t="shared" si="71"/>
        <v>5.5352403911801948</v>
      </c>
      <c r="CY51" s="123">
        <f t="shared" si="72"/>
        <v>59.561628672087494</v>
      </c>
      <c r="CZ51" s="123">
        <f t="shared" si="73"/>
        <v>119.12325734417499</v>
      </c>
      <c r="DA51" s="123">
        <f t="shared" si="74"/>
        <v>1.1757730614862092</v>
      </c>
      <c r="DB51" s="123">
        <f t="shared" si="75"/>
        <v>81.77360595446541</v>
      </c>
      <c r="DC51" s="153">
        <f t="shared" ref="DC51" si="149">CU51</f>
        <v>2154.0717568786263</v>
      </c>
      <c r="DD51" s="153">
        <f t="shared" ref="DD51" si="150">CW51</f>
        <v>119.23304994175056</v>
      </c>
      <c r="DE51" s="157"/>
      <c r="DF51" s="157"/>
      <c r="DG51" s="126"/>
      <c r="DH51" s="126"/>
      <c r="DI51" s="41">
        <f t="shared" si="78"/>
        <v>1.1757730614862092</v>
      </c>
      <c r="DJ51" s="41">
        <f t="shared" si="79"/>
        <v>81.77360595446541</v>
      </c>
      <c r="DK51" s="120" t="str">
        <f t="shared" si="80"/>
        <v>1176-30</v>
      </c>
      <c r="DL51" s="127">
        <f t="shared" si="81"/>
        <v>1.1606572478100282E-2</v>
      </c>
      <c r="DM51" s="127">
        <f t="shared" si="82"/>
        <v>5.4967875307938244E-4</v>
      </c>
      <c r="DN51" s="127">
        <f t="shared" si="83"/>
        <v>3.2792485333341687E-3</v>
      </c>
      <c r="DO51" s="127">
        <f t="shared" si="84"/>
        <v>2.9470279811346381E-4</v>
      </c>
      <c r="DP51" s="127">
        <v>1.1606572478100282E-2</v>
      </c>
      <c r="DQ51" s="127">
        <f t="shared" si="85"/>
        <v>3.5394000668498662</v>
      </c>
      <c r="DR51" s="127">
        <f t="shared" si="86"/>
        <v>0.35812607084514764</v>
      </c>
      <c r="DS51" s="127">
        <f t="shared" si="87"/>
        <v>304.9479140830025</v>
      </c>
      <c r="DT51" s="127">
        <f t="shared" si="88"/>
        <v>27.405365176073094</v>
      </c>
      <c r="DU51" s="127">
        <f t="shared" si="89"/>
        <v>0.88370964866722745</v>
      </c>
      <c r="DV51" s="127">
        <f t="shared" si="90"/>
        <v>8.035738701884048E-3</v>
      </c>
      <c r="DW51" s="127"/>
      <c r="DX51" s="122">
        <f t="shared" si="91"/>
        <v>0.10118270443609012</v>
      </c>
      <c r="DY51" s="122">
        <f t="shared" si="92"/>
        <v>8.9869003559124985E-2</v>
      </c>
      <c r="EA51" s="127">
        <f t="shared" si="93"/>
        <v>1.7264011914715491</v>
      </c>
      <c r="EB51" s="127">
        <f t="shared" si="94"/>
        <v>14.393456032925556</v>
      </c>
      <c r="EC51" s="127">
        <f t="shared" si="95"/>
        <v>0.49600286363289059</v>
      </c>
      <c r="ED51" s="127">
        <f t="shared" si="96"/>
        <v>6.1644213538618334E-2</v>
      </c>
      <c r="EE51" s="127">
        <f t="shared" si="97"/>
        <v>7.7552234497501584E-3</v>
      </c>
      <c r="EF51" s="127">
        <f t="shared" si="98"/>
        <v>8.035738701884048E-3</v>
      </c>
      <c r="EH51" s="127">
        <f t="shared" si="99"/>
        <v>8.3372602521531327</v>
      </c>
      <c r="EI51" s="127">
        <f t="shared" si="100"/>
        <v>0.12428197104975469</v>
      </c>
      <c r="EJ51" s="127"/>
      <c r="EK51" s="166">
        <v>1.206</v>
      </c>
      <c r="EL51" s="127"/>
      <c r="EN51" s="127"/>
      <c r="EO51" s="127"/>
      <c r="EP51" s="127"/>
      <c r="ER51" s="123"/>
    </row>
    <row r="52" spans="1:148" s="75" customFormat="1" x14ac:dyDescent="0.2">
      <c r="A52" s="75" t="s">
        <v>126</v>
      </c>
      <c r="B52" s="75" t="s">
        <v>96</v>
      </c>
      <c r="C52" s="49" t="s">
        <v>71</v>
      </c>
      <c r="D52" s="75">
        <v>7406.6</v>
      </c>
      <c r="E52" s="75">
        <v>11</v>
      </c>
      <c r="F52" s="75">
        <v>104.08499999999999</v>
      </c>
      <c r="G52" s="75">
        <v>0.75</v>
      </c>
      <c r="H52" s="75">
        <v>9.27</v>
      </c>
      <c r="I52" s="75">
        <v>0.27</v>
      </c>
      <c r="J52" s="75">
        <v>92.563999999999993</v>
      </c>
      <c r="K52" s="75">
        <v>0.67</v>
      </c>
      <c r="L52" s="75">
        <v>17.244</v>
      </c>
      <c r="M52" s="75">
        <v>0.33</v>
      </c>
      <c r="N52" s="49" t="s">
        <v>225</v>
      </c>
      <c r="O52" s="75">
        <v>1698.5509999999999</v>
      </c>
      <c r="P52" s="75">
        <v>4.9589629999999998</v>
      </c>
      <c r="Q52" s="75">
        <v>73.714179999999999</v>
      </c>
      <c r="R52" s="75">
        <v>0.452374</v>
      </c>
      <c r="S52" s="75">
        <v>2.59599</v>
      </c>
      <c r="T52" s="75">
        <v>0.138019</v>
      </c>
      <c r="U52" s="75">
        <v>89.835419999999999</v>
      </c>
      <c r="V52" s="75">
        <v>0.50027500000000003</v>
      </c>
      <c r="W52" s="75">
        <v>6.313593</v>
      </c>
      <c r="X52" s="75">
        <v>0.470113</v>
      </c>
      <c r="Y52" s="49">
        <f t="shared" si="104"/>
        <v>5708.0490000000009</v>
      </c>
      <c r="Z52" s="49">
        <f t="shared" si="105"/>
        <v>12.066122576675948</v>
      </c>
      <c r="AA52" s="49">
        <f t="shared" si="106"/>
        <v>30.370819999999995</v>
      </c>
      <c r="AB52" s="49">
        <f t="shared" si="107"/>
        <v>0.87586656282563957</v>
      </c>
      <c r="AC52" s="49">
        <f t="shared" si="108"/>
        <v>6.6740099999999991</v>
      </c>
      <c r="AD52" s="49">
        <f t="shared" si="109"/>
        <v>0.30323133802593688</v>
      </c>
      <c r="AE52" s="49">
        <f t="shared" si="110"/>
        <v>2.7285799999999938</v>
      </c>
      <c r="AF52" s="49"/>
      <c r="AG52" s="49">
        <f t="shared" si="111"/>
        <v>0.8361668945999956</v>
      </c>
      <c r="AH52" s="49">
        <f t="shared" si="112"/>
        <v>10.930406999999999</v>
      </c>
      <c r="AI52" s="49">
        <f t="shared" si="113"/>
        <v>0.5743746449565823</v>
      </c>
      <c r="AJ52" s="49">
        <v>1</v>
      </c>
      <c r="AK52" s="49">
        <v>0</v>
      </c>
      <c r="AL52" s="49">
        <f t="shared" si="114"/>
        <v>5708.0490000000009</v>
      </c>
      <c r="AM52" s="49">
        <f t="shared" si="115"/>
        <v>12.06612257667595</v>
      </c>
      <c r="AN52" s="75">
        <v>0.99997100000000005</v>
      </c>
      <c r="AO52" s="49">
        <f t="shared" si="21"/>
        <v>5708.0490000000009</v>
      </c>
      <c r="AP52" s="49">
        <f t="shared" si="22"/>
        <v>12.06612257667595</v>
      </c>
      <c r="AQ52" s="49">
        <f t="shared" si="23"/>
        <v>30.371700779322595</v>
      </c>
      <c r="AR52" s="49">
        <f t="shared" si="24"/>
        <v>0.87586656282563957</v>
      </c>
      <c r="AS52" s="49">
        <f t="shared" si="25"/>
        <v>6.6743971038060099</v>
      </c>
      <c r="AT52" s="49">
        <f t="shared" si="26"/>
        <v>0.30323133802593688</v>
      </c>
      <c r="AU52" s="49">
        <f t="shared" si="0"/>
        <v>2.7288173933444004</v>
      </c>
      <c r="AV52" s="49">
        <f t="shared" si="27"/>
        <v>0.8361668945999956</v>
      </c>
      <c r="AW52" s="49">
        <f t="shared" si="28"/>
        <v>10.931674963982955</v>
      </c>
      <c r="AX52" s="49">
        <f t="shared" si="29"/>
        <v>0.5743746449565823</v>
      </c>
      <c r="AY52" s="75">
        <v>110.23520000000001</v>
      </c>
      <c r="AZ52" s="75">
        <v>1.0016849999999999</v>
      </c>
      <c r="BA52" s="49">
        <f t="shared" si="116"/>
        <v>5708.0490000000009</v>
      </c>
      <c r="BB52" s="49">
        <f t="shared" si="117"/>
        <v>12.06612257667595</v>
      </c>
      <c r="BC52" s="49">
        <f t="shared" si="118"/>
        <v>30.42287709513575</v>
      </c>
      <c r="BD52" s="49">
        <f t="shared" si="119"/>
        <v>0.87734239798400071</v>
      </c>
      <c r="BE52" s="49">
        <f t="shared" si="120"/>
        <v>6.6743971038060099</v>
      </c>
      <c r="BF52" s="49">
        <f t="shared" si="121"/>
        <v>0.30323133802593688</v>
      </c>
      <c r="BG52" s="49">
        <f t="shared" si="122"/>
        <v>300.81173111879866</v>
      </c>
      <c r="BH52" s="49">
        <f t="shared" si="123"/>
        <v>92.175024859609437</v>
      </c>
      <c r="BI52" s="49">
        <f t="shared" si="124"/>
        <v>10.931674963982955</v>
      </c>
      <c r="BJ52" s="49">
        <f t="shared" si="125"/>
        <v>0.5743746449565823</v>
      </c>
      <c r="BL52" s="58">
        <f t="shared" si="40"/>
        <v>5708.0475779286589</v>
      </c>
      <c r="BM52" s="58">
        <f t="shared" si="41"/>
        <v>12.066122588176228</v>
      </c>
      <c r="BN52" s="141">
        <f t="shared" si="42"/>
        <v>30.222756074774345</v>
      </c>
      <c r="BO52" s="58">
        <f t="shared" si="43"/>
        <v>0.87951971596578127</v>
      </c>
      <c r="BP52" s="58">
        <f t="shared" si="44"/>
        <v>300.81173111879866</v>
      </c>
      <c r="BQ52" s="58">
        <f t="shared" si="45"/>
        <v>92.175024859609437</v>
      </c>
      <c r="BR52" s="58">
        <f t="shared" si="46"/>
        <v>6.3097625829417368</v>
      </c>
      <c r="BS52" s="58">
        <f t="shared" si="47"/>
        <v>0.30342201107985373</v>
      </c>
      <c r="BT52" s="58">
        <f t="shared" si="48"/>
        <v>10.848783283355859</v>
      </c>
      <c r="BU52" s="58">
        <f t="shared" si="49"/>
        <v>0.57493635277323707</v>
      </c>
      <c r="BV52" s="55">
        <f t="shared" si="50"/>
        <v>0.5816101601570508</v>
      </c>
      <c r="BW52" s="59">
        <f t="shared" si="51"/>
        <v>7.1560793712104956E-2</v>
      </c>
      <c r="BX52" s="49"/>
      <c r="BY52" s="55">
        <f t="shared" si="101"/>
        <v>0.70834430143603044</v>
      </c>
      <c r="BZ52" s="49">
        <v>0</v>
      </c>
      <c r="CA52" s="49">
        <f t="shared" si="52"/>
        <v>4.4694843690410675</v>
      </c>
      <c r="CB52" s="49">
        <f t="shared" si="53"/>
        <v>0.21492725247867447</v>
      </c>
      <c r="CC52" s="49">
        <f t="shared" si="54"/>
        <v>7.6846738162795907</v>
      </c>
      <c r="CD52" s="49">
        <f t="shared" si="55"/>
        <v>0.40725288917533781</v>
      </c>
      <c r="CE52" s="49">
        <f t="shared" si="56"/>
        <v>1.8402782139006693</v>
      </c>
      <c r="CF52" s="49">
        <f t="shared" si="57"/>
        <v>0.37183146809512341</v>
      </c>
      <c r="CG52" s="49">
        <f t="shared" si="58"/>
        <v>3.1641094670762682</v>
      </c>
      <c r="CH52" s="49">
        <f t="shared" si="59"/>
        <v>0.70456137098328919</v>
      </c>
      <c r="CI52" s="57">
        <f t="shared" si="60"/>
        <v>0.5816101601570508</v>
      </c>
      <c r="CJ52" s="57">
        <f t="shared" si="61"/>
        <v>4.1620484691863038E-2</v>
      </c>
      <c r="CL52" s="60">
        <f t="shared" si="62"/>
        <v>742.78332618834781</v>
      </c>
      <c r="CM52" s="49">
        <v>1</v>
      </c>
      <c r="CN52" s="49">
        <v>1</v>
      </c>
      <c r="CO52" s="141">
        <f t="shared" si="63"/>
        <v>5700.3629041123795</v>
      </c>
      <c r="CP52" s="58">
        <f t="shared" si="64"/>
        <v>12.114337341705417</v>
      </c>
      <c r="CQ52" s="49">
        <v>2</v>
      </c>
      <c r="CR52" s="55">
        <f t="shared" si="65"/>
        <v>99.865371237513969</v>
      </c>
      <c r="CS52" s="55">
        <f t="shared" si="66"/>
        <v>188.61161735247009</v>
      </c>
      <c r="CT52" s="49">
        <f t="shared" si="67"/>
        <v>5.5034486798938884</v>
      </c>
      <c r="CU52" s="55">
        <f t="shared" si="68"/>
        <v>3248.085351056905</v>
      </c>
      <c r="CV52" s="55">
        <f t="shared" si="69"/>
        <v>44.049496914918862</v>
      </c>
      <c r="CW52" s="55">
        <f t="shared" si="70"/>
        <v>88.098993829837724</v>
      </c>
      <c r="CX52" s="55">
        <f t="shared" si="71"/>
        <v>2.7123361706357532</v>
      </c>
      <c r="CY52" s="55">
        <f t="shared" si="72"/>
        <v>43.942844632231932</v>
      </c>
      <c r="CZ52" s="55">
        <f t="shared" si="73"/>
        <v>87.885689264463863</v>
      </c>
      <c r="DA52" s="55">
        <f t="shared" si="74"/>
        <v>18.512865553911702</v>
      </c>
      <c r="DB52" s="55">
        <f t="shared" si="75"/>
        <v>2.2769909549276908</v>
      </c>
      <c r="DC52" s="153">
        <f t="shared" ref="DC52:DC58" si="151">CU52</f>
        <v>3248.085351056905</v>
      </c>
      <c r="DD52" s="153">
        <f t="shared" ref="DD52:DD58" si="152">CW52</f>
        <v>88.098993829837724</v>
      </c>
      <c r="DE52" s="151"/>
      <c r="DF52" s="151"/>
      <c r="DG52" s="60"/>
      <c r="DH52" s="60"/>
      <c r="DI52" s="41">
        <f t="shared" si="78"/>
        <v>18.512865553911702</v>
      </c>
      <c r="DJ52" s="41">
        <f t="shared" si="79"/>
        <v>2.2769909549276908</v>
      </c>
      <c r="DK52" s="49" t="str">
        <f t="shared" si="80"/>
        <v>1176-31</v>
      </c>
      <c r="DL52" s="50">
        <f t="shared" si="81"/>
        <v>5.2947624668786665E-3</v>
      </c>
      <c r="DM52" s="50">
        <f t="shared" si="82"/>
        <v>1.5449012955298183E-4</v>
      </c>
      <c r="DN52" s="50">
        <f t="shared" si="83"/>
        <v>1.3462876248603751E-3</v>
      </c>
      <c r="DO52" s="50">
        <f t="shared" si="84"/>
        <v>7.1403879164324709E-5</v>
      </c>
      <c r="DP52" s="50">
        <v>5.2947624668786665E-3</v>
      </c>
      <c r="DQ52" s="50">
        <f t="shared" si="85"/>
        <v>3.9328612765253581</v>
      </c>
      <c r="DR52" s="50">
        <f t="shared" si="86"/>
        <v>0.23778047808335792</v>
      </c>
      <c r="DS52" s="50">
        <f t="shared" si="87"/>
        <v>742.78332618834781</v>
      </c>
      <c r="DT52" s="50">
        <f t="shared" si="88"/>
        <v>39.395453013934194</v>
      </c>
      <c r="DU52" s="50">
        <f t="shared" si="89"/>
        <v>0.87584237019751121</v>
      </c>
      <c r="DV52" s="50">
        <f t="shared" si="90"/>
        <v>2.8085196816988707E-3</v>
      </c>
      <c r="DW52" s="50"/>
      <c r="DX52" s="58">
        <f t="shared" si="91"/>
        <v>6.0459919983100574E-2</v>
      </c>
      <c r="DY52" s="58">
        <f t="shared" si="92"/>
        <v>5.3037610868427967E-2</v>
      </c>
      <c r="DZ52" s="49"/>
      <c r="EA52" s="50">
        <f t="shared" si="93"/>
        <v>27.727692890713588</v>
      </c>
      <c r="EB52" s="50">
        <f t="shared" si="94"/>
        <v>8.6224804162938806</v>
      </c>
      <c r="EC52" s="50">
        <f t="shared" si="95"/>
        <v>0.5816101601570508</v>
      </c>
      <c r="ED52" s="50">
        <f t="shared" si="96"/>
        <v>4.1620484691863038E-2</v>
      </c>
      <c r="EE52" s="50">
        <f t="shared" si="97"/>
        <v>0.12620711562684753</v>
      </c>
      <c r="EF52" s="50">
        <f t="shared" si="98"/>
        <v>2.8085196816988707E-3</v>
      </c>
      <c r="EG52" s="49"/>
      <c r="EH52" s="50">
        <f t="shared" si="99"/>
        <v>0.31096999127474023</v>
      </c>
      <c r="EI52" s="50">
        <f t="shared" si="100"/>
        <v>7.1560793712104956E-2</v>
      </c>
      <c r="EJ52" s="76"/>
      <c r="EK52" s="165">
        <v>1.401</v>
      </c>
      <c r="EL52" s="76"/>
      <c r="EN52" s="76"/>
      <c r="EO52" s="76"/>
      <c r="EP52" s="76"/>
      <c r="ER52" s="77"/>
    </row>
    <row r="53" spans="1:148" s="120" customFormat="1" x14ac:dyDescent="0.2">
      <c r="A53" s="120" t="s">
        <v>127</v>
      </c>
      <c r="B53" s="120" t="s">
        <v>96</v>
      </c>
      <c r="C53" s="120" t="s">
        <v>71</v>
      </c>
      <c r="D53" s="120">
        <v>4134.43</v>
      </c>
      <c r="E53" s="120">
        <v>9.1999999999999993</v>
      </c>
      <c r="F53" s="120">
        <v>81.137</v>
      </c>
      <c r="G53" s="120">
        <v>0.67</v>
      </c>
      <c r="H53" s="120">
        <v>5.4370000000000003</v>
      </c>
      <c r="I53" s="120">
        <v>0.21</v>
      </c>
      <c r="J53" s="120">
        <v>86.605999999999995</v>
      </c>
      <c r="K53" s="120">
        <v>0.65</v>
      </c>
      <c r="L53" s="120">
        <v>11.141</v>
      </c>
      <c r="M53" s="120">
        <v>0.87</v>
      </c>
      <c r="N53" s="120" t="s">
        <v>225</v>
      </c>
      <c r="O53" s="120">
        <v>1748.961</v>
      </c>
      <c r="P53" s="120">
        <v>5.7689120000000003</v>
      </c>
      <c r="Q53" s="120">
        <v>73.771370000000005</v>
      </c>
      <c r="R53" s="120">
        <v>0.46125500000000003</v>
      </c>
      <c r="S53" s="120">
        <v>2.6967970000000001</v>
      </c>
      <c r="T53" s="120">
        <v>0.14117099999999999</v>
      </c>
      <c r="U53" s="120">
        <v>89.857939999999999</v>
      </c>
      <c r="V53" s="120">
        <v>0.52927999999999997</v>
      </c>
      <c r="W53" s="120">
        <v>6.1447969999999996</v>
      </c>
      <c r="X53" s="120">
        <v>0.53777299999999995</v>
      </c>
      <c r="Y53" s="120">
        <f t="shared" si="104"/>
        <v>2385.4690000000001</v>
      </c>
      <c r="Z53" s="120">
        <f t="shared" si="105"/>
        <v>10.859113484246492</v>
      </c>
      <c r="AA53" s="120">
        <f t="shared" si="106"/>
        <v>7.3656299999999959</v>
      </c>
      <c r="AB53" s="120">
        <f t="shared" si="107"/>
        <v>0.81342250708042252</v>
      </c>
      <c r="AC53" s="120">
        <f t="shared" si="108"/>
        <v>2.7402030000000002</v>
      </c>
      <c r="AD53" s="120">
        <f t="shared" si="109"/>
        <v>0.25304001905034706</v>
      </c>
      <c r="AE53" s="121">
        <v>0.1</v>
      </c>
      <c r="AF53" s="121">
        <v>-3.2519400000000047</v>
      </c>
      <c r="AG53" s="120">
        <f t="shared" si="111"/>
        <v>0.83823464399892234</v>
      </c>
      <c r="AH53" s="120">
        <f t="shared" si="112"/>
        <v>4.9962030000000004</v>
      </c>
      <c r="AI53" s="120">
        <f t="shared" si="113"/>
        <v>1.0227902030861462</v>
      </c>
      <c r="AJ53" s="120">
        <v>1</v>
      </c>
      <c r="AK53" s="120">
        <v>0</v>
      </c>
      <c r="AL53" s="120">
        <f t="shared" si="114"/>
        <v>2385.4690000000001</v>
      </c>
      <c r="AM53" s="120">
        <f t="shared" si="115"/>
        <v>10.859113484246492</v>
      </c>
      <c r="AN53" s="120">
        <v>0.99997100000000005</v>
      </c>
      <c r="AO53" s="120">
        <f t="shared" si="21"/>
        <v>2385.4690000000001</v>
      </c>
      <c r="AP53" s="120">
        <f t="shared" si="22"/>
        <v>10.859113484246492</v>
      </c>
      <c r="AQ53" s="120">
        <f t="shared" si="23"/>
        <v>7.3658436094646706</v>
      </c>
      <c r="AR53" s="120">
        <f t="shared" si="24"/>
        <v>0.81342250708042252</v>
      </c>
      <c r="AS53" s="120">
        <f t="shared" si="25"/>
        <v>2.7403619363831555</v>
      </c>
      <c r="AT53" s="120">
        <f t="shared" si="26"/>
        <v>0.25304001905034706</v>
      </c>
      <c r="AU53" s="121">
        <f t="shared" si="0"/>
        <v>0.10000870025230731</v>
      </c>
      <c r="AV53" s="120">
        <f t="shared" si="27"/>
        <v>0.83823464399892234</v>
      </c>
      <c r="AW53" s="120">
        <f t="shared" si="28"/>
        <v>4.9967825763557157</v>
      </c>
      <c r="AX53" s="120">
        <f t="shared" si="29"/>
        <v>1.0227902030861462</v>
      </c>
      <c r="AY53" s="120">
        <v>110.2766</v>
      </c>
      <c r="AZ53" s="120">
        <v>1.0016849999999999</v>
      </c>
      <c r="BA53" s="120">
        <f t="shared" si="116"/>
        <v>2385.4690000000001</v>
      </c>
      <c r="BB53" s="120">
        <f t="shared" si="117"/>
        <v>10.859113484246492</v>
      </c>
      <c r="BC53" s="120">
        <f t="shared" si="118"/>
        <v>7.3782550559466182</v>
      </c>
      <c r="BD53" s="120">
        <f t="shared" si="119"/>
        <v>0.81479312400485293</v>
      </c>
      <c r="BE53" s="120">
        <f t="shared" si="120"/>
        <v>2.7403619363831555</v>
      </c>
      <c r="BF53" s="120">
        <f t="shared" si="121"/>
        <v>0.25304001905034706</v>
      </c>
      <c r="BG53" s="120">
        <f t="shared" si="122"/>
        <v>11.028619434243591</v>
      </c>
      <c r="BH53" s="120">
        <f t="shared" si="123"/>
        <v>92.437666542411563</v>
      </c>
      <c r="BI53" s="120">
        <f t="shared" si="124"/>
        <v>4.9967825763557157</v>
      </c>
      <c r="BJ53" s="120">
        <f t="shared" si="125"/>
        <v>1.0227902030861462</v>
      </c>
      <c r="BL53" s="122">
        <f t="shared" si="40"/>
        <v>2385.4686531761931</v>
      </c>
      <c r="BM53" s="122">
        <f t="shared" si="41"/>
        <v>10.85911348506994</v>
      </c>
      <c r="BN53" s="146">
        <f t="shared" si="42"/>
        <v>7.370918046295599</v>
      </c>
      <c r="BO53" s="122">
        <f t="shared" si="43"/>
        <v>0.81711056842539131</v>
      </c>
      <c r="BP53" s="122">
        <f t="shared" si="44"/>
        <v>11.028619434243591</v>
      </c>
      <c r="BQ53" s="122">
        <f t="shared" si="45"/>
        <v>92.437666542411563</v>
      </c>
      <c r="BR53" s="122">
        <f t="shared" si="46"/>
        <v>2.6528034887795204</v>
      </c>
      <c r="BS53" s="122">
        <f t="shared" si="47"/>
        <v>0.25323356948219233</v>
      </c>
      <c r="BT53" s="122">
        <f t="shared" si="48"/>
        <v>4.9937435299844157</v>
      </c>
      <c r="BU53" s="122">
        <f t="shared" si="49"/>
        <v>1.0231073400072344</v>
      </c>
      <c r="BV53" s="123">
        <f t="shared" si="50"/>
        <v>0.53122541693441738</v>
      </c>
      <c r="BW53" s="124">
        <f t="shared" si="51"/>
        <v>0.22602503705038124</v>
      </c>
      <c r="BY53" s="123">
        <f t="shared" si="101"/>
        <v>0.74558357950153942</v>
      </c>
      <c r="BZ53" s="120">
        <v>0</v>
      </c>
      <c r="CA53" s="120">
        <f t="shared" si="52"/>
        <v>1.9778867208784068</v>
      </c>
      <c r="CB53" s="120">
        <f t="shared" si="53"/>
        <v>0.18880679118448476</v>
      </c>
      <c r="CC53" s="120">
        <f t="shared" si="54"/>
        <v>3.7232531761984338</v>
      </c>
      <c r="CD53" s="120">
        <f t="shared" si="55"/>
        <v>0.76281203277689236</v>
      </c>
      <c r="CE53" s="120">
        <f t="shared" si="56"/>
        <v>0.67491676790111366</v>
      </c>
      <c r="CF53" s="120">
        <f t="shared" si="57"/>
        <v>0.31587219743129336</v>
      </c>
      <c r="CG53" s="120">
        <f t="shared" si="58"/>
        <v>1.270490353785982</v>
      </c>
      <c r="CH53" s="120">
        <f t="shared" si="59"/>
        <v>1.2761782111154747</v>
      </c>
      <c r="CI53" s="125">
        <f t="shared" si="60"/>
        <v>0.53122541693441738</v>
      </c>
      <c r="CJ53" s="125">
        <f t="shared" si="61"/>
        <v>0.12007024454470591</v>
      </c>
      <c r="CL53" s="126">
        <f t="shared" si="62"/>
        <v>640.69472052712695</v>
      </c>
      <c r="CM53" s="120">
        <v>1</v>
      </c>
      <c r="CN53" s="120">
        <v>1</v>
      </c>
      <c r="CO53" s="146">
        <f t="shared" si="63"/>
        <v>2381.7453999999948</v>
      </c>
      <c r="CP53" s="122">
        <f t="shared" si="64"/>
        <v>10.931707454875339</v>
      </c>
      <c r="CQ53" s="120">
        <v>2</v>
      </c>
      <c r="CR53" s="123">
        <f t="shared" si="65"/>
        <v>99.843919425592077</v>
      </c>
      <c r="CS53" s="123">
        <f t="shared" si="66"/>
        <v>323.12737504889071</v>
      </c>
      <c r="CT53" s="120">
        <f t="shared" si="67"/>
        <v>35.851300763427616</v>
      </c>
      <c r="CU53" s="123">
        <f t="shared" si="68"/>
        <v>4090.7557965270712</v>
      </c>
      <c r="CV53" s="123">
        <f t="shared" si="69"/>
        <v>179.46326495936609</v>
      </c>
      <c r="CW53" s="123">
        <f t="shared" si="70"/>
        <v>358.92652991873217</v>
      </c>
      <c r="CX53" s="123">
        <f t="shared" si="71"/>
        <v>8.7740884025257628</v>
      </c>
      <c r="CY53" s="123">
        <f t="shared" si="72"/>
        <v>179.43311092471131</v>
      </c>
      <c r="CZ53" s="123">
        <f t="shared" si="73"/>
        <v>358.86622184942263</v>
      </c>
      <c r="DA53" s="123">
        <f t="shared" si="74"/>
        <v>2.7829955534510944</v>
      </c>
      <c r="DB53" s="123">
        <f t="shared" si="75"/>
        <v>195.81814392146887</v>
      </c>
      <c r="DC53" s="153">
        <f t="shared" si="151"/>
        <v>4090.7557965270712</v>
      </c>
      <c r="DD53" s="153">
        <f t="shared" si="152"/>
        <v>358.92652991873217</v>
      </c>
      <c r="DE53" s="157"/>
      <c r="DF53" s="157"/>
      <c r="DG53" s="126"/>
      <c r="DH53" s="126"/>
      <c r="DI53" s="41">
        <f t="shared" si="78"/>
        <v>2.7829955534510944</v>
      </c>
      <c r="DJ53" s="41">
        <f t="shared" si="79"/>
        <v>195.81814392146887</v>
      </c>
      <c r="DK53" s="120" t="str">
        <f t="shared" si="80"/>
        <v>1176-32</v>
      </c>
      <c r="DL53" s="127">
        <f t="shared" si="81"/>
        <v>3.0899245045544412E-3</v>
      </c>
      <c r="DM53" s="127">
        <f t="shared" si="82"/>
        <v>3.4282538354507309E-4</v>
      </c>
      <c r="DN53" s="127">
        <f t="shared" si="83"/>
        <v>1.5608057440792665E-3</v>
      </c>
      <c r="DO53" s="127">
        <f t="shared" si="84"/>
        <v>3.1985341898552286E-4</v>
      </c>
      <c r="DP53" s="127">
        <v>3.0899245045544412E-3</v>
      </c>
      <c r="DQ53" s="127">
        <f t="shared" si="85"/>
        <v>1.979698316895429</v>
      </c>
      <c r="DR53" s="127">
        <f t="shared" si="86"/>
        <v>0.46116340557198371</v>
      </c>
      <c r="DS53" s="127">
        <f t="shared" si="87"/>
        <v>640.69472052712695</v>
      </c>
      <c r="DT53" s="127">
        <f t="shared" si="88"/>
        <v>131.29654197131671</v>
      </c>
      <c r="DU53" s="127">
        <f t="shared" si="89"/>
        <v>0.87928966052744484</v>
      </c>
      <c r="DV53" s="127">
        <f t="shared" si="90"/>
        <v>4.1974925390230879E-2</v>
      </c>
      <c r="DW53" s="127"/>
      <c r="DX53" s="122">
        <f t="shared" si="91"/>
        <v>0.23294630380611833</v>
      </c>
      <c r="DY53" s="122">
        <f t="shared" si="92"/>
        <v>0.2049283968865756</v>
      </c>
      <c r="EA53" s="127">
        <f t="shared" si="93"/>
        <v>2.2084873538305256</v>
      </c>
      <c r="EB53" s="127">
        <f t="shared" si="94"/>
        <v>18.516224829313046</v>
      </c>
      <c r="EC53" s="127">
        <f t="shared" si="95"/>
        <v>0.53122541693441738</v>
      </c>
      <c r="ED53" s="127">
        <f t="shared" si="96"/>
        <v>0.12007024454470591</v>
      </c>
      <c r="EE53" s="127">
        <f t="shared" si="97"/>
        <v>2.2150108353639796E-2</v>
      </c>
      <c r="EF53" s="127">
        <f t="shared" si="98"/>
        <v>4.1974925390230879E-2</v>
      </c>
      <c r="EH53" s="127">
        <f t="shared" si="99"/>
        <v>8.3841208314810842</v>
      </c>
      <c r="EI53" s="127">
        <f t="shared" si="100"/>
        <v>0.22602503705038124</v>
      </c>
      <c r="EJ53" s="127"/>
      <c r="EK53" s="166">
        <v>1.605</v>
      </c>
      <c r="EL53" s="127"/>
      <c r="EN53" s="127"/>
      <c r="EO53" s="127"/>
      <c r="EP53" s="127"/>
      <c r="ER53" s="123"/>
    </row>
    <row r="54" spans="1:148" s="75" customFormat="1" x14ac:dyDescent="0.2">
      <c r="A54" s="75" t="s">
        <v>128</v>
      </c>
      <c r="B54" s="75" t="s">
        <v>96</v>
      </c>
      <c r="C54" s="49" t="s">
        <v>71</v>
      </c>
      <c r="D54" s="75">
        <v>5585.17</v>
      </c>
      <c r="E54" s="75">
        <v>9.8000000000000007</v>
      </c>
      <c r="F54" s="75">
        <v>84.703000000000003</v>
      </c>
      <c r="G54" s="75">
        <v>0.78</v>
      </c>
      <c r="H54" s="75">
        <v>5.6870000000000003</v>
      </c>
      <c r="I54" s="75">
        <v>0.25</v>
      </c>
      <c r="J54" s="75">
        <v>91.92</v>
      </c>
      <c r="K54" s="75">
        <v>0.64</v>
      </c>
      <c r="L54" s="75">
        <v>10.959</v>
      </c>
      <c r="M54" s="75">
        <v>0.88</v>
      </c>
      <c r="N54" s="49" t="s">
        <v>225</v>
      </c>
      <c r="O54" s="75">
        <v>1838.125</v>
      </c>
      <c r="P54" s="75">
        <v>5.5950230000000003</v>
      </c>
      <c r="Q54" s="75">
        <v>73.999269999999996</v>
      </c>
      <c r="R54" s="75">
        <v>0.53745600000000004</v>
      </c>
      <c r="S54" s="75">
        <v>2.9457149999999999</v>
      </c>
      <c r="T54" s="75">
        <v>0.182584</v>
      </c>
      <c r="U54" s="75">
        <v>90.130250000000004</v>
      </c>
      <c r="V54" s="75">
        <v>0.60437799999999997</v>
      </c>
      <c r="W54" s="75">
        <v>6.4553099999999999</v>
      </c>
      <c r="X54" s="75">
        <v>0.52244199999999996</v>
      </c>
      <c r="Y54" s="49">
        <f t="shared" si="104"/>
        <v>3747.0450000000001</v>
      </c>
      <c r="Z54" s="49">
        <f t="shared" si="105"/>
        <v>11.284692391488969</v>
      </c>
      <c r="AA54" s="49">
        <f t="shared" si="106"/>
        <v>10.703730000000007</v>
      </c>
      <c r="AB54" s="49">
        <f t="shared" si="107"/>
        <v>0.94723753722917892</v>
      </c>
      <c r="AC54" s="49">
        <f t="shared" si="108"/>
        <v>2.7412850000000004</v>
      </c>
      <c r="AD54" s="49">
        <f t="shared" si="109"/>
        <v>0.30957538186361011</v>
      </c>
      <c r="AE54" s="49">
        <f t="shared" si="110"/>
        <v>1.789749999999998</v>
      </c>
      <c r="AF54" s="49"/>
      <c r="AG54" s="49">
        <f t="shared" si="111"/>
        <v>0.88026857656285784</v>
      </c>
      <c r="AH54" s="49">
        <f t="shared" si="112"/>
        <v>4.5036899999999997</v>
      </c>
      <c r="AI54" s="49">
        <f t="shared" si="113"/>
        <v>1.0233990635934742</v>
      </c>
      <c r="AJ54" s="49">
        <v>1</v>
      </c>
      <c r="AK54" s="49">
        <v>0</v>
      </c>
      <c r="AL54" s="49">
        <f t="shared" si="114"/>
        <v>3747.0450000000001</v>
      </c>
      <c r="AM54" s="49">
        <f t="shared" si="115"/>
        <v>11.284692391488969</v>
      </c>
      <c r="AN54" s="75">
        <v>0.99997100000000005</v>
      </c>
      <c r="AO54" s="49">
        <f t="shared" si="21"/>
        <v>3747.0450000000001</v>
      </c>
      <c r="AP54" s="49">
        <f t="shared" si="22"/>
        <v>11.284692391488969</v>
      </c>
      <c r="AQ54" s="49">
        <f t="shared" si="23"/>
        <v>10.704040417172106</v>
      </c>
      <c r="AR54" s="49">
        <f t="shared" si="24"/>
        <v>0.94723753722917892</v>
      </c>
      <c r="AS54" s="49">
        <f t="shared" si="25"/>
        <v>2.7414439991409756</v>
      </c>
      <c r="AT54" s="49">
        <f t="shared" si="26"/>
        <v>0.30957538186361011</v>
      </c>
      <c r="AU54" s="49">
        <f t="shared" si="0"/>
        <v>1.7899057127656679</v>
      </c>
      <c r="AV54" s="49">
        <f t="shared" si="27"/>
        <v>0.88026857656285784</v>
      </c>
      <c r="AW54" s="49">
        <f t="shared" si="28"/>
        <v>4.5042124431908528</v>
      </c>
      <c r="AX54" s="49">
        <f t="shared" si="29"/>
        <v>1.0233990635934742</v>
      </c>
      <c r="AY54" s="75">
        <v>110.4419</v>
      </c>
      <c r="AZ54" s="75">
        <v>1.0016860000000001</v>
      </c>
      <c r="BA54" s="49">
        <f t="shared" si="116"/>
        <v>3747.0450000000001</v>
      </c>
      <c r="BB54" s="49">
        <f t="shared" si="117"/>
        <v>11.284692391488969</v>
      </c>
      <c r="BC54" s="49">
        <f t="shared" si="118"/>
        <v>10.722087429315458</v>
      </c>
      <c r="BD54" s="49">
        <f t="shared" si="119"/>
        <v>0.9488345797169474</v>
      </c>
      <c r="BE54" s="49">
        <f t="shared" si="120"/>
        <v>2.7414439991409756</v>
      </c>
      <c r="BF54" s="49">
        <f t="shared" si="121"/>
        <v>0.30957538186361011</v>
      </c>
      <c r="BG54" s="49">
        <f t="shared" si="122"/>
        <v>197.68058773869461</v>
      </c>
      <c r="BH54" s="49">
        <f t="shared" si="123"/>
        <v>97.21853410589749</v>
      </c>
      <c r="BI54" s="49">
        <f t="shared" si="124"/>
        <v>4.5042124431908528</v>
      </c>
      <c r="BJ54" s="49">
        <f t="shared" si="125"/>
        <v>1.0233990635934742</v>
      </c>
      <c r="BL54" s="58">
        <f t="shared" si="40"/>
        <v>3747.0445016816057</v>
      </c>
      <c r="BM54" s="58">
        <f t="shared" si="41"/>
        <v>11.284692393078311</v>
      </c>
      <c r="BN54" s="141">
        <f t="shared" si="42"/>
        <v>10.590576464710537</v>
      </c>
      <c r="BO54" s="58">
        <f t="shared" si="43"/>
        <v>0.95105108546967743</v>
      </c>
      <c r="BP54" s="58">
        <f t="shared" si="44"/>
        <v>197.68058773869461</v>
      </c>
      <c r="BQ54" s="58">
        <f t="shared" si="45"/>
        <v>97.21853410589749</v>
      </c>
      <c r="BR54" s="58">
        <f t="shared" si="46"/>
        <v>2.6116404411738774</v>
      </c>
      <c r="BS54" s="58">
        <f t="shared" si="47"/>
        <v>0.30978842076622398</v>
      </c>
      <c r="BT54" s="58">
        <f t="shared" si="48"/>
        <v>4.4497395804335778</v>
      </c>
      <c r="BU54" s="58">
        <f t="shared" si="49"/>
        <v>1.023749729346394</v>
      </c>
      <c r="BV54" s="55">
        <f t="shared" si="50"/>
        <v>0.58691983968180939</v>
      </c>
      <c r="BW54" s="59">
        <f t="shared" si="51"/>
        <v>0.25884806463455062</v>
      </c>
      <c r="BX54" s="49"/>
      <c r="BY54" s="55">
        <f t="shared" si="101"/>
        <v>0.70441992632534423</v>
      </c>
      <c r="BZ54" s="49">
        <v>0</v>
      </c>
      <c r="CA54" s="49">
        <f t="shared" si="52"/>
        <v>1.8396915671599923</v>
      </c>
      <c r="CB54" s="49">
        <f t="shared" si="53"/>
        <v>0.21822113653258826</v>
      </c>
      <c r="CC54" s="49">
        <f t="shared" si="54"/>
        <v>3.1344852274159889</v>
      </c>
      <c r="CD54" s="49">
        <f t="shared" si="55"/>
        <v>0.72114970892177799</v>
      </c>
      <c r="CE54" s="49">
        <f t="shared" si="56"/>
        <v>0.77194887401388512</v>
      </c>
      <c r="CF54" s="49">
        <f t="shared" si="57"/>
        <v>0.37893182773475964</v>
      </c>
      <c r="CG54" s="49">
        <f t="shared" si="58"/>
        <v>1.3152543530175889</v>
      </c>
      <c r="CH54" s="49">
        <f t="shared" si="59"/>
        <v>1.2522461463365659</v>
      </c>
      <c r="CI54" s="57">
        <f t="shared" si="60"/>
        <v>0.5869198396818095</v>
      </c>
      <c r="CJ54" s="57">
        <f t="shared" si="61"/>
        <v>0.1519230645972571</v>
      </c>
      <c r="CL54" s="60">
        <f t="shared" si="62"/>
        <v>1195.4257971637019</v>
      </c>
      <c r="CM54" s="49">
        <v>1</v>
      </c>
      <c r="CN54" s="49">
        <v>1</v>
      </c>
      <c r="CO54" s="141">
        <f t="shared" si="63"/>
        <v>3743.9100164541896</v>
      </c>
      <c r="CP54" s="58">
        <f t="shared" si="64"/>
        <v>11.351842991738279</v>
      </c>
      <c r="CQ54" s="49">
        <v>2</v>
      </c>
      <c r="CR54" s="55">
        <f t="shared" si="65"/>
        <v>99.916347798217799</v>
      </c>
      <c r="CS54" s="55">
        <f t="shared" si="66"/>
        <v>353.51333602372688</v>
      </c>
      <c r="CT54" s="49">
        <f t="shared" si="67"/>
        <v>31.764166148198157</v>
      </c>
      <c r="CU54" s="55">
        <f t="shared" si="68"/>
        <v>4236.7642038876893</v>
      </c>
      <c r="CV54" s="55">
        <f t="shared" si="69"/>
        <v>146.65533647128262</v>
      </c>
      <c r="CW54" s="55">
        <f t="shared" si="70"/>
        <v>293.31067294256525</v>
      </c>
      <c r="CX54" s="55">
        <f t="shared" si="71"/>
        <v>6.9229878942382719</v>
      </c>
      <c r="CY54" s="55">
        <f t="shared" si="72"/>
        <v>146.61776922854654</v>
      </c>
      <c r="CZ54" s="55">
        <f t="shared" si="73"/>
        <v>293.23553845709307</v>
      </c>
      <c r="DA54" s="55">
        <f t="shared" si="74"/>
        <v>34.718213349307199</v>
      </c>
      <c r="DB54" s="55">
        <f t="shared" si="75"/>
        <v>11.514816214426986</v>
      </c>
      <c r="DC54" s="153">
        <f t="shared" si="151"/>
        <v>4236.7642038876893</v>
      </c>
      <c r="DD54" s="153">
        <f t="shared" si="152"/>
        <v>293.31067294256525</v>
      </c>
      <c r="DE54" s="151"/>
      <c r="DF54" s="151"/>
      <c r="DG54" s="60"/>
      <c r="DH54" s="60"/>
      <c r="DI54" s="41">
        <f t="shared" si="78"/>
        <v>34.718213349307199</v>
      </c>
      <c r="DJ54" s="41">
        <f t="shared" si="79"/>
        <v>11.514816214426986</v>
      </c>
      <c r="DK54" s="49" t="str">
        <f t="shared" si="80"/>
        <v>1176-33</v>
      </c>
      <c r="DL54" s="50">
        <f t="shared" si="81"/>
        <v>2.8263812879611326E-3</v>
      </c>
      <c r="DM54" s="50">
        <f t="shared" si="82"/>
        <v>2.5395635255873926E-4</v>
      </c>
      <c r="DN54" s="50">
        <f t="shared" si="83"/>
        <v>8.3652201782212325E-4</v>
      </c>
      <c r="DO54" s="50">
        <f t="shared" si="84"/>
        <v>1.924747598656299E-4</v>
      </c>
      <c r="DP54" s="50">
        <v>2.8263812879611326E-3</v>
      </c>
      <c r="DQ54" s="50">
        <f t="shared" si="85"/>
        <v>3.3787291042495071</v>
      </c>
      <c r="DR54" s="50">
        <f t="shared" si="86"/>
        <v>0.83445954151962465</v>
      </c>
      <c r="DS54" s="50">
        <f t="shared" si="87"/>
        <v>1195.4257971637019</v>
      </c>
      <c r="DT54" s="50">
        <f t="shared" si="88"/>
        <v>275.05467679774637</v>
      </c>
      <c r="DU54" s="50">
        <f t="shared" si="89"/>
        <v>0.93147260825894973</v>
      </c>
      <c r="DV54" s="50">
        <f t="shared" si="90"/>
        <v>5.2932012982234683E-2</v>
      </c>
      <c r="DW54" s="50"/>
      <c r="DX54" s="58">
        <f t="shared" si="91"/>
        <v>0.24697438467916982</v>
      </c>
      <c r="DY54" s="58">
        <f t="shared" si="92"/>
        <v>0.2300892932462627</v>
      </c>
      <c r="DZ54" s="49"/>
      <c r="EA54" s="50">
        <f t="shared" si="93"/>
        <v>44.425203804720823</v>
      </c>
      <c r="EB54" s="50">
        <f t="shared" si="94"/>
        <v>24.120692008515661</v>
      </c>
      <c r="EC54" s="50">
        <f t="shared" si="95"/>
        <v>0.58691983968180939</v>
      </c>
      <c r="ED54" s="50">
        <f t="shared" si="96"/>
        <v>0.15192306459725707</v>
      </c>
      <c r="EE54" s="50">
        <f t="shared" si="97"/>
        <v>0.37662847668953126</v>
      </c>
      <c r="EF54" s="50">
        <f t="shared" si="98"/>
        <v>5.2932012982234683E-2</v>
      </c>
      <c r="EG54" s="49"/>
      <c r="EH54" s="50">
        <f t="shared" si="99"/>
        <v>0.54295062133068905</v>
      </c>
      <c r="EI54" s="50">
        <f t="shared" si="100"/>
        <v>0.25884806463455062</v>
      </c>
      <c r="EJ54" s="76"/>
      <c r="EK54" s="165">
        <v>1.7949999999999999</v>
      </c>
      <c r="EL54" s="76"/>
      <c r="EN54" s="76"/>
      <c r="EO54" s="76"/>
      <c r="EP54" s="76"/>
      <c r="ER54" s="77"/>
    </row>
    <row r="55" spans="1:148" s="75" customFormat="1" x14ac:dyDescent="0.2">
      <c r="A55" s="75" t="s">
        <v>0</v>
      </c>
      <c r="B55" s="75" t="s">
        <v>96</v>
      </c>
      <c r="C55" s="49" t="s">
        <v>71</v>
      </c>
      <c r="D55" s="75">
        <v>4568.7</v>
      </c>
      <c r="E55" s="75">
        <v>11</v>
      </c>
      <c r="F55" s="75">
        <v>115.387</v>
      </c>
      <c r="G55" s="75">
        <v>0.81</v>
      </c>
      <c r="H55" s="75">
        <v>6.3650000000000002</v>
      </c>
      <c r="I55" s="75">
        <v>0.25</v>
      </c>
      <c r="J55" s="75">
        <v>91.322999999999993</v>
      </c>
      <c r="K55" s="75">
        <v>0.59</v>
      </c>
      <c r="L55" s="75">
        <v>10.092000000000001</v>
      </c>
      <c r="M55" s="75">
        <v>0.75</v>
      </c>
      <c r="N55" s="49" t="s">
        <v>225</v>
      </c>
      <c r="O55" s="75">
        <v>1851.1089999999999</v>
      </c>
      <c r="P55" s="75">
        <v>5.3188820000000003</v>
      </c>
      <c r="Q55" s="75">
        <v>74.056460000000001</v>
      </c>
      <c r="R55" s="75">
        <v>0.56474899999999995</v>
      </c>
      <c r="S55" s="75">
        <v>2.9071380000000002</v>
      </c>
      <c r="T55" s="75">
        <v>0.16822100000000001</v>
      </c>
      <c r="U55" s="75">
        <v>90.319329999999994</v>
      </c>
      <c r="V55" s="75">
        <v>0.56243600000000005</v>
      </c>
      <c r="W55" s="75">
        <v>6.6158939999999999</v>
      </c>
      <c r="X55" s="75">
        <v>0.49932599999999999</v>
      </c>
      <c r="Y55" s="49">
        <f t="shared" si="104"/>
        <v>2717.5909999999999</v>
      </c>
      <c r="Z55" s="49">
        <f t="shared" si="105"/>
        <v>12.218449399572927</v>
      </c>
      <c r="AA55" s="49">
        <f t="shared" si="106"/>
        <v>41.330539999999999</v>
      </c>
      <c r="AB55" s="49">
        <f t="shared" si="107"/>
        <v>0.98744186309929149</v>
      </c>
      <c r="AC55" s="49">
        <f t="shared" si="108"/>
        <v>3.457862</v>
      </c>
      <c r="AD55" s="49">
        <f t="shared" si="109"/>
        <v>0.30132757066189614</v>
      </c>
      <c r="AE55" s="49">
        <f t="shared" si="110"/>
        <v>1.0036699999999996</v>
      </c>
      <c r="AF55" s="49"/>
      <c r="AG55" s="49">
        <f t="shared" si="111"/>
        <v>0.81512836663681387</v>
      </c>
      <c r="AH55" s="49">
        <f t="shared" si="112"/>
        <v>3.4761060000000006</v>
      </c>
      <c r="AI55" s="49">
        <f t="shared" si="113"/>
        <v>0.90101412545864112</v>
      </c>
      <c r="AJ55" s="49">
        <v>1</v>
      </c>
      <c r="AK55" s="49">
        <v>0</v>
      </c>
      <c r="AL55" s="49">
        <f t="shared" si="114"/>
        <v>2717.5909999999999</v>
      </c>
      <c r="AM55" s="49">
        <f t="shared" si="115"/>
        <v>12.218449399572927</v>
      </c>
      <c r="AN55" s="75">
        <v>0.99997100000000005</v>
      </c>
      <c r="AO55" s="49">
        <f t="shared" si="21"/>
        <v>2717.5909999999999</v>
      </c>
      <c r="AP55" s="49">
        <f t="shared" si="22"/>
        <v>12.218449399572927</v>
      </c>
      <c r="AQ55" s="49">
        <f t="shared" si="23"/>
        <v>41.331738620419991</v>
      </c>
      <c r="AR55" s="49">
        <f t="shared" si="24"/>
        <v>0.98744186309929149</v>
      </c>
      <c r="AS55" s="49">
        <f t="shared" si="25"/>
        <v>3.4580625618122927</v>
      </c>
      <c r="AT55" s="49">
        <f t="shared" si="26"/>
        <v>0.30132757066189614</v>
      </c>
      <c r="AU55" s="49">
        <f t="shared" si="0"/>
        <v>1.0037573218223323</v>
      </c>
      <c r="AV55" s="49">
        <f t="shared" si="27"/>
        <v>0.81512836663681387</v>
      </c>
      <c r="AW55" s="49">
        <f t="shared" si="28"/>
        <v>3.4765092399899609</v>
      </c>
      <c r="AX55" s="49">
        <f t="shared" si="29"/>
        <v>0.90101412545864112</v>
      </c>
      <c r="AY55" s="75">
        <v>110.4834</v>
      </c>
      <c r="AZ55" s="75">
        <v>1.0016860000000001</v>
      </c>
      <c r="BA55" s="49">
        <f t="shared" si="116"/>
        <v>2717.5909999999999</v>
      </c>
      <c r="BB55" s="49">
        <f t="shared" si="117"/>
        <v>12.218449399572927</v>
      </c>
      <c r="BC55" s="49">
        <f t="shared" si="118"/>
        <v>41.401423931734023</v>
      </c>
      <c r="BD55" s="49">
        <f t="shared" si="119"/>
        <v>0.98910669008047702</v>
      </c>
      <c r="BE55" s="49">
        <f t="shared" si="120"/>
        <v>3.4580625618122927</v>
      </c>
      <c r="BF55" s="49">
        <f t="shared" si="121"/>
        <v>0.30132757066189614</v>
      </c>
      <c r="BG55" s="49">
        <f t="shared" si="122"/>
        <v>110.89852168982547</v>
      </c>
      <c r="BH55" s="49">
        <f t="shared" si="123"/>
        <v>90.058153382481763</v>
      </c>
      <c r="BI55" s="49">
        <f t="shared" si="124"/>
        <v>3.4765092399899609</v>
      </c>
      <c r="BJ55" s="49">
        <f t="shared" si="125"/>
        <v>0.90101412545864112</v>
      </c>
      <c r="BL55" s="58">
        <f t="shared" si="40"/>
        <v>2717.5890554102502</v>
      </c>
      <c r="BM55" s="58">
        <f t="shared" si="41"/>
        <v>12.218449420766866</v>
      </c>
      <c r="BN55" s="141">
        <f t="shared" si="42"/>
        <v>41.32764647220943</v>
      </c>
      <c r="BO55" s="58">
        <f t="shared" si="43"/>
        <v>0.99092403229873782</v>
      </c>
      <c r="BP55" s="58">
        <f t="shared" si="44"/>
        <v>110.89852168982547</v>
      </c>
      <c r="BQ55" s="58">
        <f t="shared" si="45"/>
        <v>90.058153382481763</v>
      </c>
      <c r="BR55" s="58">
        <f t="shared" si="46"/>
        <v>2.9660562705149753</v>
      </c>
      <c r="BS55" s="58">
        <f t="shared" si="47"/>
        <v>0.30157121345972748</v>
      </c>
      <c r="BT55" s="58">
        <f t="shared" si="48"/>
        <v>3.4459500433531125</v>
      </c>
      <c r="BU55" s="58">
        <f t="shared" si="49"/>
        <v>0.90135584960227255</v>
      </c>
      <c r="BV55" s="55">
        <f t="shared" si="50"/>
        <v>0.86073687464976356</v>
      </c>
      <c r="BW55" s="59">
        <f t="shared" si="51"/>
        <v>0.2806355239702682</v>
      </c>
      <c r="BX55" s="49"/>
      <c r="BY55" s="55">
        <f t="shared" si="101"/>
        <v>0.50204222124925091</v>
      </c>
      <c r="BZ55" s="49">
        <v>0</v>
      </c>
      <c r="CA55" s="49">
        <f t="shared" si="52"/>
        <v>1.4890854783996073</v>
      </c>
      <c r="CB55" s="49">
        <f t="shared" si="53"/>
        <v>0.15140148187015356</v>
      </c>
      <c r="CC55" s="49">
        <f t="shared" si="54"/>
        <v>1.730012414078949</v>
      </c>
      <c r="CD55" s="49">
        <f t="shared" si="55"/>
        <v>0.45251869287033059</v>
      </c>
      <c r="CE55" s="49">
        <f t="shared" si="56"/>
        <v>1.4769707921153681</v>
      </c>
      <c r="CF55" s="49">
        <f t="shared" si="57"/>
        <v>0.3374427440323039</v>
      </c>
      <c r="CG55" s="49">
        <f t="shared" si="58"/>
        <v>1.7159376292741635</v>
      </c>
      <c r="CH55" s="49">
        <f t="shared" si="59"/>
        <v>1.0085710361741047</v>
      </c>
      <c r="CI55" s="57">
        <f t="shared" si="60"/>
        <v>0.86073687464976356</v>
      </c>
      <c r="CJ55" s="57">
        <f t="shared" si="61"/>
        <v>0.24155334381786744</v>
      </c>
      <c r="CL55" s="60">
        <f t="shared" si="62"/>
        <v>1570.8494536191422</v>
      </c>
      <c r="CM55" s="49">
        <v>1</v>
      </c>
      <c r="CN55" s="49">
        <v>1</v>
      </c>
      <c r="CO55" s="141">
        <f t="shared" si="63"/>
        <v>2715.8590429961714</v>
      </c>
      <c r="CP55" s="58">
        <f t="shared" si="64"/>
        <v>12.267651748204921</v>
      </c>
      <c r="CQ55" s="49">
        <v>2</v>
      </c>
      <c r="CR55" s="55">
        <f t="shared" si="65"/>
        <v>99.936340175839518</v>
      </c>
      <c r="CS55" s="55">
        <f t="shared" si="66"/>
        <v>65.715308632985852</v>
      </c>
      <c r="CT55" s="49">
        <f t="shared" si="67"/>
        <v>1.6033902790162105</v>
      </c>
      <c r="CU55" s="55">
        <f t="shared" si="68"/>
        <v>1831.7181101574047</v>
      </c>
      <c r="CV55" s="55">
        <f t="shared" si="69"/>
        <v>28.168120464381374</v>
      </c>
      <c r="CW55" s="55">
        <f t="shared" si="70"/>
        <v>56.336240928762749</v>
      </c>
      <c r="CX55" s="55">
        <f t="shared" si="71"/>
        <v>3.0755955633327017</v>
      </c>
      <c r="CY55" s="55">
        <f t="shared" si="72"/>
        <v>28.070734280496414</v>
      </c>
      <c r="CZ55" s="55">
        <f t="shared" si="73"/>
        <v>56.141468560992827</v>
      </c>
      <c r="DA55" s="55">
        <f t="shared" si="74"/>
        <v>4.9911201810580108</v>
      </c>
      <c r="DB55" s="55">
        <f t="shared" si="75"/>
        <v>3.4111637933342784</v>
      </c>
      <c r="DC55" s="153">
        <f t="shared" si="151"/>
        <v>1831.7181101574047</v>
      </c>
      <c r="DD55" s="153">
        <f t="shared" si="152"/>
        <v>56.336240928762749</v>
      </c>
      <c r="DE55" s="151"/>
      <c r="DF55" s="151"/>
      <c r="DG55" s="60"/>
      <c r="DH55" s="60"/>
      <c r="DI55" s="41">
        <f t="shared" si="78"/>
        <v>4.9911201810580108</v>
      </c>
      <c r="DJ55" s="41">
        <f t="shared" si="79"/>
        <v>3.4111637933342784</v>
      </c>
      <c r="DK55" s="49" t="str">
        <f t="shared" si="80"/>
        <v>1176-34</v>
      </c>
      <c r="DL55" s="50">
        <f t="shared" si="81"/>
        <v>1.5207467218022986E-2</v>
      </c>
      <c r="DM55" s="50">
        <f t="shared" si="82"/>
        <v>3.7098862650681826E-4</v>
      </c>
      <c r="DN55" s="50">
        <f t="shared" si="83"/>
        <v>6.3659824160492307E-4</v>
      </c>
      <c r="DO55" s="50">
        <f t="shared" si="84"/>
        <v>1.6653935821625595E-4</v>
      </c>
      <c r="DP55" s="50">
        <v>1.5207467218022986E-2</v>
      </c>
      <c r="DQ55" s="50">
        <f t="shared" si="85"/>
        <v>23.888641570362424</v>
      </c>
      <c r="DR55" s="50">
        <f t="shared" si="86"/>
        <v>6.2747406954273943</v>
      </c>
      <c r="DS55" s="50">
        <f t="shared" si="87"/>
        <v>1570.8494536191422</v>
      </c>
      <c r="DT55" s="50">
        <f t="shared" si="88"/>
        <v>410.94719206347418</v>
      </c>
      <c r="DU55" s="50">
        <f t="shared" si="89"/>
        <v>0.99567780884879875</v>
      </c>
      <c r="DV55" s="50">
        <f t="shared" si="90"/>
        <v>6.8418667051738352E-2</v>
      </c>
      <c r="DW55" s="50"/>
      <c r="DX55" s="58">
        <f t="shared" si="91"/>
        <v>0.262666283344139</v>
      </c>
      <c r="DY55" s="58">
        <f t="shared" si="92"/>
        <v>0.26160825986008823</v>
      </c>
      <c r="DZ55" s="49"/>
      <c r="EA55" s="50">
        <f t="shared" si="93"/>
        <v>32.182277831838405</v>
      </c>
      <c r="EB55" s="50">
        <f t="shared" si="94"/>
        <v>27.456744356166787</v>
      </c>
      <c r="EC55" s="50">
        <f t="shared" si="95"/>
        <v>0.86073687464976356</v>
      </c>
      <c r="ED55" s="50">
        <f t="shared" si="96"/>
        <v>0.24155334381786744</v>
      </c>
      <c r="EE55" s="50">
        <f t="shared" si="97"/>
        <v>0.28575885937460804</v>
      </c>
      <c r="EF55" s="50">
        <f t="shared" si="98"/>
        <v>6.8418667051738352E-2</v>
      </c>
      <c r="EG55" s="49"/>
      <c r="EH55" s="50">
        <f t="shared" si="99"/>
        <v>0.85316348642678808</v>
      </c>
      <c r="EI55" s="50">
        <f t="shared" si="100"/>
        <v>0.2806355239702682</v>
      </c>
      <c r="EJ55" s="76"/>
      <c r="EK55" s="165">
        <v>1.9970000000000001</v>
      </c>
      <c r="EL55" s="76"/>
      <c r="EN55" s="76"/>
      <c r="EO55" s="76"/>
      <c r="EP55" s="76"/>
      <c r="ER55" s="77"/>
    </row>
    <row r="56" spans="1:148" s="120" customFormat="1" x14ac:dyDescent="0.2">
      <c r="A56" s="120" t="s">
        <v>1</v>
      </c>
      <c r="B56" s="120" t="s">
        <v>96</v>
      </c>
      <c r="C56" s="120" t="s">
        <v>71</v>
      </c>
      <c r="D56" s="120">
        <v>8136.4359999999997</v>
      </c>
      <c r="E56" s="120">
        <v>12</v>
      </c>
      <c r="F56" s="120">
        <v>81.300799999999995</v>
      </c>
      <c r="G56" s="120">
        <v>0.65</v>
      </c>
      <c r="H56" s="120">
        <v>4.6877959999999996</v>
      </c>
      <c r="I56" s="120">
        <v>0.22</v>
      </c>
      <c r="J56" s="120">
        <v>90.224800000000002</v>
      </c>
      <c r="K56" s="120">
        <v>0.65</v>
      </c>
      <c r="L56" s="120">
        <v>10.8148</v>
      </c>
      <c r="M56" s="120">
        <v>0.71</v>
      </c>
      <c r="N56" s="120" t="s">
        <v>225</v>
      </c>
      <c r="O56" s="120">
        <v>1864.085</v>
      </c>
      <c r="P56" s="120">
        <v>5.1710940000000001</v>
      </c>
      <c r="Q56" s="120">
        <v>74.113619999999997</v>
      </c>
      <c r="R56" s="120">
        <v>0.59448100000000004</v>
      </c>
      <c r="S56" s="120">
        <v>2.8685839999999998</v>
      </c>
      <c r="T56" s="120">
        <v>0.15573600000000001</v>
      </c>
      <c r="U56" s="120">
        <v>90.508290000000002</v>
      </c>
      <c r="V56" s="120">
        <v>0.53097700000000003</v>
      </c>
      <c r="W56" s="120">
        <v>6.7763809999999998</v>
      </c>
      <c r="X56" s="120">
        <v>0.48887900000000001</v>
      </c>
      <c r="Y56" s="120">
        <f t="shared" si="104"/>
        <v>6272.3509999999997</v>
      </c>
      <c r="Z56" s="120">
        <f t="shared" si="105"/>
        <v>13.066759856859543</v>
      </c>
      <c r="AA56" s="120">
        <f t="shared" si="106"/>
        <v>7.1871799999999979</v>
      </c>
      <c r="AB56" s="120">
        <f t="shared" si="107"/>
        <v>0.880856208107203</v>
      </c>
      <c r="AC56" s="120">
        <f t="shared" si="108"/>
        <v>1.8192119999999998</v>
      </c>
      <c r="AD56" s="120">
        <f t="shared" si="109"/>
        <v>0.26954350612841704</v>
      </c>
      <c r="AE56" s="121">
        <v>0.1</v>
      </c>
      <c r="AF56" s="121">
        <v>-0.28349000000000046</v>
      </c>
      <c r="AG56" s="120">
        <f t="shared" si="111"/>
        <v>0.83930719914045782</v>
      </c>
      <c r="AH56" s="120">
        <f t="shared" si="112"/>
        <v>4.0384190000000002</v>
      </c>
      <c r="AI56" s="120">
        <f t="shared" si="113"/>
        <v>0.86203403450269878</v>
      </c>
      <c r="AJ56" s="120">
        <v>1</v>
      </c>
      <c r="AK56" s="120">
        <v>0</v>
      </c>
      <c r="AL56" s="120">
        <f t="shared" si="114"/>
        <v>6272.3509999999997</v>
      </c>
      <c r="AM56" s="120">
        <f t="shared" si="115"/>
        <v>13.066759856859543</v>
      </c>
      <c r="AN56" s="120">
        <v>0.99997100000000005</v>
      </c>
      <c r="AO56" s="120">
        <f t="shared" si="21"/>
        <v>6272.3509999999997</v>
      </c>
      <c r="AP56" s="120">
        <f t="shared" si="22"/>
        <v>13.066759856859543</v>
      </c>
      <c r="AQ56" s="120">
        <f t="shared" si="23"/>
        <v>7.1873884342645917</v>
      </c>
      <c r="AR56" s="120">
        <f t="shared" si="24"/>
        <v>0.880856208107203</v>
      </c>
      <c r="AS56" s="120">
        <f t="shared" si="25"/>
        <v>1.8193175173560032</v>
      </c>
      <c r="AT56" s="120">
        <f t="shared" si="26"/>
        <v>0.26954350612841704</v>
      </c>
      <c r="AU56" s="121">
        <f t="shared" si="0"/>
        <v>0.10000870025230731</v>
      </c>
      <c r="AV56" s="120">
        <f t="shared" si="27"/>
        <v>0.83930719914045782</v>
      </c>
      <c r="AW56" s="120">
        <f t="shared" si="28"/>
        <v>4.0388874701896365</v>
      </c>
      <c r="AX56" s="120">
        <f t="shared" si="29"/>
        <v>0.86203403450269878</v>
      </c>
      <c r="AY56" s="120">
        <v>110.5249</v>
      </c>
      <c r="AZ56" s="120">
        <v>1.0016860000000001</v>
      </c>
      <c r="BA56" s="120">
        <f t="shared" si="116"/>
        <v>6272.3509999999997</v>
      </c>
      <c r="BB56" s="120">
        <f t="shared" si="117"/>
        <v>13.066759856859543</v>
      </c>
      <c r="BC56" s="120">
        <f t="shared" si="118"/>
        <v>7.1995063711647624</v>
      </c>
      <c r="BD56" s="120">
        <f t="shared" si="119"/>
        <v>0.8823413316740718</v>
      </c>
      <c r="BE56" s="120">
        <f t="shared" si="120"/>
        <v>1.8193175173560032</v>
      </c>
      <c r="BF56" s="120">
        <f t="shared" si="121"/>
        <v>0.26954350612841704</v>
      </c>
      <c r="BG56" s="120">
        <f t="shared" si="122"/>
        <v>11.05345159451624</v>
      </c>
      <c r="BH56" s="120">
        <f t="shared" si="123"/>
        <v>92.764344254279195</v>
      </c>
      <c r="BI56" s="120">
        <f t="shared" si="124"/>
        <v>4.0388874701896365</v>
      </c>
      <c r="BJ56" s="120">
        <f t="shared" si="125"/>
        <v>0.86203403450269878</v>
      </c>
      <c r="BL56" s="122">
        <f t="shared" si="40"/>
        <v>6272.3506615876322</v>
      </c>
      <c r="BM56" s="122">
        <f t="shared" si="41"/>
        <v>13.066759857523502</v>
      </c>
      <c r="BN56" s="146">
        <f t="shared" si="42"/>
        <v>7.1921528414224785</v>
      </c>
      <c r="BO56" s="122">
        <f t="shared" si="43"/>
        <v>0.88449694687389602</v>
      </c>
      <c r="BP56" s="122">
        <f t="shared" si="44"/>
        <v>11.05345159451624</v>
      </c>
      <c r="BQ56" s="122">
        <f t="shared" si="45"/>
        <v>92.764344254279195</v>
      </c>
      <c r="BR56" s="122">
        <f t="shared" si="46"/>
        <v>1.7338761762355945</v>
      </c>
      <c r="BS56" s="122">
        <f t="shared" si="47"/>
        <v>0.26975508020769356</v>
      </c>
      <c r="BT56" s="122">
        <f t="shared" si="48"/>
        <v>4.0358415810682517</v>
      </c>
      <c r="BU56" s="122">
        <f t="shared" si="49"/>
        <v>0.86241295233821536</v>
      </c>
      <c r="BV56" s="123">
        <f t="shared" si="50"/>
        <v>0.42961948367077696</v>
      </c>
      <c r="BW56" s="124">
        <f t="shared" si="51"/>
        <v>0.26432492617683251</v>
      </c>
      <c r="BY56" s="123">
        <f t="shared" si="101"/>
        <v>0.82068035205411904</v>
      </c>
      <c r="BZ56" s="120">
        <v>0</v>
      </c>
      <c r="CA56" s="120">
        <f t="shared" si="52"/>
        <v>1.4229581107312774</v>
      </c>
      <c r="CB56" s="120">
        <f t="shared" si="53"/>
        <v>0.22138269419323706</v>
      </c>
      <c r="CC56" s="120">
        <f t="shared" si="54"/>
        <v>3.3121358895857451</v>
      </c>
      <c r="CD56" s="120">
        <f t="shared" si="55"/>
        <v>0.70776536534095869</v>
      </c>
      <c r="CE56" s="120">
        <f t="shared" si="56"/>
        <v>0.31091806550431711</v>
      </c>
      <c r="CF56" s="120">
        <f t="shared" si="57"/>
        <v>0.3489671912746462</v>
      </c>
      <c r="CG56" s="120">
        <f t="shared" si="58"/>
        <v>0.72370569148250663</v>
      </c>
      <c r="CH56" s="120">
        <f t="shared" si="59"/>
        <v>1.1156558218092789</v>
      </c>
      <c r="CI56" s="125">
        <f t="shared" si="60"/>
        <v>0.42961948367077696</v>
      </c>
      <c r="CJ56" s="125">
        <f t="shared" si="61"/>
        <v>0.11355913830540702</v>
      </c>
      <c r="CL56" s="126">
        <f t="shared" si="62"/>
        <v>1893.7479833812395</v>
      </c>
      <c r="CM56" s="120">
        <v>1</v>
      </c>
      <c r="CN56" s="120">
        <v>1</v>
      </c>
      <c r="CO56" s="146">
        <f t="shared" si="63"/>
        <v>6269.0385256980462</v>
      </c>
      <c r="CP56" s="122">
        <f t="shared" si="64"/>
        <v>13.124067394926156</v>
      </c>
      <c r="CQ56" s="120">
        <v>2</v>
      </c>
      <c r="CR56" s="123">
        <f t="shared" si="65"/>
        <v>99.947194663240538</v>
      </c>
      <c r="CS56" s="123">
        <f t="shared" si="66"/>
        <v>871.64979164404735</v>
      </c>
      <c r="CT56" s="120">
        <f t="shared" si="67"/>
        <v>107.21174762480422</v>
      </c>
      <c r="CU56" s="123">
        <f t="shared" si="68"/>
        <v>5759.4266200880802</v>
      </c>
      <c r="CV56" s="123">
        <f t="shared" si="69"/>
        <v>212.81451703446311</v>
      </c>
      <c r="CW56" s="123">
        <f t="shared" si="70"/>
        <v>425.62903406892622</v>
      </c>
      <c r="CX56" s="123">
        <f t="shared" si="71"/>
        <v>7.3901286038507941</v>
      </c>
      <c r="CY56" s="123">
        <f t="shared" si="72"/>
        <v>212.78541970395571</v>
      </c>
      <c r="CZ56" s="123">
        <f t="shared" si="73"/>
        <v>425.57083940791142</v>
      </c>
      <c r="DA56" s="123">
        <f t="shared" si="74"/>
        <v>2.8585905248551313</v>
      </c>
      <c r="DB56" s="123">
        <f t="shared" si="75"/>
        <v>201.68608882531601</v>
      </c>
      <c r="DC56" s="153">
        <f t="shared" si="151"/>
        <v>5759.4266200880802</v>
      </c>
      <c r="DD56" s="153">
        <f t="shared" si="152"/>
        <v>425.62903406892622</v>
      </c>
      <c r="DE56" s="157"/>
      <c r="DF56" s="157"/>
      <c r="DG56" s="126"/>
      <c r="DH56" s="126"/>
      <c r="DI56" s="41">
        <f t="shared" si="78"/>
        <v>2.8585905248551313</v>
      </c>
      <c r="DJ56" s="41">
        <f t="shared" si="79"/>
        <v>201.68608882531601</v>
      </c>
      <c r="DK56" s="120" t="str">
        <f t="shared" si="80"/>
        <v>1176-35</v>
      </c>
      <c r="DL56" s="127">
        <f t="shared" si="81"/>
        <v>1.1466439345408073E-3</v>
      </c>
      <c r="DM56" s="127">
        <f t="shared" si="82"/>
        <v>1.4103545655633678E-4</v>
      </c>
      <c r="DN56" s="127">
        <f t="shared" si="83"/>
        <v>5.2805336759462846E-4</v>
      </c>
      <c r="DO56" s="127">
        <f t="shared" si="84"/>
        <v>1.1284429653832794E-4</v>
      </c>
      <c r="DP56" s="127">
        <v>1.1466439345408073E-3</v>
      </c>
      <c r="DQ56" s="127">
        <f t="shared" si="85"/>
        <v>2.1714546386929836</v>
      </c>
      <c r="DR56" s="127">
        <f t="shared" si="86"/>
        <v>0.53537284474647173</v>
      </c>
      <c r="DS56" s="127">
        <f t="shared" si="87"/>
        <v>1893.7479833812395</v>
      </c>
      <c r="DT56" s="127">
        <f t="shared" si="88"/>
        <v>404.6914045430035</v>
      </c>
      <c r="DU56" s="127">
        <f t="shared" si="89"/>
        <v>0.86667235815561294</v>
      </c>
      <c r="DV56" s="127">
        <f t="shared" si="90"/>
        <v>4.5662777006363682E-2</v>
      </c>
      <c r="DW56" s="127"/>
      <c r="DX56" s="122">
        <f t="shared" si="91"/>
        <v>0.24655032401170354</v>
      </c>
      <c r="DY56" s="122">
        <f t="shared" si="92"/>
        <v>0.21369865900553311</v>
      </c>
      <c r="EA56" s="127">
        <f t="shared" si="93"/>
        <v>2.7388219712009825</v>
      </c>
      <c r="EB56" s="127">
        <f t="shared" si="94"/>
        <v>22.992579976855858</v>
      </c>
      <c r="EC56" s="127">
        <f t="shared" si="95"/>
        <v>0.42961948367077696</v>
      </c>
      <c r="ED56" s="127">
        <f t="shared" si="96"/>
        <v>0.11355913830540702</v>
      </c>
      <c r="EE56" s="127">
        <f t="shared" si="97"/>
        <v>2.0577864235931619E-2</v>
      </c>
      <c r="EF56" s="127">
        <f t="shared" si="98"/>
        <v>4.5662777006363682E-2</v>
      </c>
      <c r="EH56" s="127">
        <f t="shared" si="99"/>
        <v>8.3950618983728749</v>
      </c>
      <c r="EI56" s="127">
        <f t="shared" si="100"/>
        <v>0.26432492617683251</v>
      </c>
      <c r="EJ56" s="127"/>
      <c r="EK56" s="166">
        <v>2.2040000000000002</v>
      </c>
      <c r="EL56" s="127"/>
      <c r="EN56" s="127"/>
      <c r="EO56" s="127"/>
      <c r="EP56" s="127"/>
      <c r="ER56" s="123"/>
    </row>
    <row r="57" spans="1:148" s="120" customFormat="1" x14ac:dyDescent="0.2">
      <c r="A57" s="120" t="s">
        <v>2</v>
      </c>
      <c r="B57" s="120" t="s">
        <v>96</v>
      </c>
      <c r="C57" s="120" t="s">
        <v>71</v>
      </c>
      <c r="D57" s="120">
        <v>6883.3</v>
      </c>
      <c r="E57" s="120">
        <v>12</v>
      </c>
      <c r="F57" s="120">
        <v>79.468999999999994</v>
      </c>
      <c r="G57" s="120">
        <v>0.62</v>
      </c>
      <c r="H57" s="120">
        <v>5.915</v>
      </c>
      <c r="I57" s="120">
        <v>0.24</v>
      </c>
      <c r="J57" s="120">
        <v>90.38</v>
      </c>
      <c r="K57" s="120">
        <v>0.64</v>
      </c>
      <c r="L57" s="120">
        <v>15.750999999999999</v>
      </c>
      <c r="M57" s="120">
        <v>0.38</v>
      </c>
      <c r="N57" s="120" t="s">
        <v>225</v>
      </c>
      <c r="O57" s="120">
        <v>1877.0540000000001</v>
      </c>
      <c r="P57" s="120">
        <v>5.1624350000000003</v>
      </c>
      <c r="Q57" s="120">
        <v>74.170739999999995</v>
      </c>
      <c r="R57" s="120">
        <v>0.62629900000000005</v>
      </c>
      <c r="S57" s="120">
        <v>2.8300540000000001</v>
      </c>
      <c r="T57" s="120">
        <v>0.14560999999999999</v>
      </c>
      <c r="U57" s="120">
        <v>90.697140000000005</v>
      </c>
      <c r="V57" s="120">
        <v>0.51191200000000003</v>
      </c>
      <c r="W57" s="120">
        <v>6.936769</v>
      </c>
      <c r="X57" s="120">
        <v>0.49188599999999999</v>
      </c>
      <c r="Y57" s="120">
        <f t="shared" si="104"/>
        <v>5006.2460000000001</v>
      </c>
      <c r="Z57" s="120">
        <f t="shared" si="105"/>
        <v>13.063335528463817</v>
      </c>
      <c r="AA57" s="120">
        <f t="shared" si="106"/>
        <v>5.2982599999999991</v>
      </c>
      <c r="AB57" s="120">
        <f t="shared" si="107"/>
        <v>0.88127773000399834</v>
      </c>
      <c r="AC57" s="120">
        <f t="shared" si="108"/>
        <v>3.084946</v>
      </c>
      <c r="AD57" s="120">
        <f t="shared" si="109"/>
        <v>0.28071742393374871</v>
      </c>
      <c r="AE57" s="121">
        <v>0.1</v>
      </c>
      <c r="AF57" s="121">
        <v>-0.31714000000000908</v>
      </c>
      <c r="AG57" s="120">
        <f t="shared" si="111"/>
        <v>0.81954493210805712</v>
      </c>
      <c r="AH57" s="120">
        <f t="shared" si="112"/>
        <v>8.8142309999999995</v>
      </c>
      <c r="AI57" s="120">
        <f t="shared" si="113"/>
        <v>0.62157206902820206</v>
      </c>
      <c r="AJ57" s="120">
        <v>1</v>
      </c>
      <c r="AK57" s="120">
        <v>0</v>
      </c>
      <c r="AL57" s="120">
        <f t="shared" si="114"/>
        <v>5006.2460000000001</v>
      </c>
      <c r="AM57" s="120">
        <f t="shared" si="115"/>
        <v>13.063335528463817</v>
      </c>
      <c r="AN57" s="120">
        <v>0.99997100000000005</v>
      </c>
      <c r="AO57" s="120">
        <f t="shared" si="21"/>
        <v>5006.2460000000001</v>
      </c>
      <c r="AP57" s="120">
        <f t="shared" si="22"/>
        <v>13.063335528463817</v>
      </c>
      <c r="AQ57" s="120">
        <f t="shared" si="23"/>
        <v>5.298413653995965</v>
      </c>
      <c r="AR57" s="120">
        <f t="shared" si="24"/>
        <v>0.88127773000399834</v>
      </c>
      <c r="AS57" s="120">
        <f t="shared" si="25"/>
        <v>3.0851249320570298</v>
      </c>
      <c r="AT57" s="120">
        <f t="shared" si="26"/>
        <v>0.28071742393374871</v>
      </c>
      <c r="AU57" s="121">
        <f t="shared" si="0"/>
        <v>0.10000870025230731</v>
      </c>
      <c r="AV57" s="120">
        <f t="shared" si="27"/>
        <v>0.81954493210805712</v>
      </c>
      <c r="AW57" s="120">
        <f t="shared" si="28"/>
        <v>8.8152534804479341</v>
      </c>
      <c r="AX57" s="120">
        <f t="shared" si="29"/>
        <v>0.62157206902820206</v>
      </c>
      <c r="AY57" s="120">
        <v>110.5664</v>
      </c>
      <c r="AZ57" s="120">
        <v>1.0016860000000001</v>
      </c>
      <c r="BA57" s="120">
        <f t="shared" si="116"/>
        <v>5006.2460000000001</v>
      </c>
      <c r="BB57" s="120">
        <f t="shared" si="117"/>
        <v>13.063335528463817</v>
      </c>
      <c r="BC57" s="120">
        <f t="shared" si="118"/>
        <v>5.3073467794166023</v>
      </c>
      <c r="BD57" s="120">
        <f t="shared" si="119"/>
        <v>0.88276356425678515</v>
      </c>
      <c r="BE57" s="120">
        <f t="shared" si="120"/>
        <v>3.0851249320570298</v>
      </c>
      <c r="BF57" s="120">
        <f t="shared" si="121"/>
        <v>0.28071742393374871</v>
      </c>
      <c r="BG57" s="120">
        <f t="shared" si="122"/>
        <v>11.057601955576711</v>
      </c>
      <c r="BH57" s="120">
        <f t="shared" si="123"/>
        <v>90.614132781432289</v>
      </c>
      <c r="BI57" s="120">
        <f t="shared" si="124"/>
        <v>8.8152534804479341</v>
      </c>
      <c r="BJ57" s="120">
        <f t="shared" si="125"/>
        <v>0.62157206902820206</v>
      </c>
      <c r="BL57" s="122">
        <f t="shared" si="40"/>
        <v>5006.2457506195478</v>
      </c>
      <c r="BM57" s="122">
        <f t="shared" si="41"/>
        <v>13.063335528854811</v>
      </c>
      <c r="BN57" s="146">
        <f t="shared" si="42"/>
        <v>5.2999904885636155</v>
      </c>
      <c r="BO57" s="122">
        <f t="shared" si="43"/>
        <v>0.88481954196657853</v>
      </c>
      <c r="BP57" s="122">
        <f t="shared" si="44"/>
        <v>11.057601955576711</v>
      </c>
      <c r="BQ57" s="122">
        <f t="shared" si="45"/>
        <v>90.614132781432289</v>
      </c>
      <c r="BR57" s="122">
        <f t="shared" si="46"/>
        <v>3.0220980548896961</v>
      </c>
      <c r="BS57" s="122">
        <f t="shared" si="47"/>
        <v>0.2809202590140949</v>
      </c>
      <c r="BT57" s="122">
        <f t="shared" si="48"/>
        <v>8.8122064476530557</v>
      </c>
      <c r="BU57" s="122">
        <f t="shared" si="49"/>
        <v>0.62207340404519174</v>
      </c>
      <c r="BV57" s="123">
        <f t="shared" si="50"/>
        <v>0.34294453640433809</v>
      </c>
      <c r="BW57" s="124">
        <f t="shared" si="51"/>
        <v>0.11672174749607128</v>
      </c>
      <c r="BY57" s="123">
        <f t="shared" si="101"/>
        <v>0.88474165823773987</v>
      </c>
      <c r="BZ57" s="120">
        <v>0</v>
      </c>
      <c r="CA57" s="120">
        <f t="shared" si="52"/>
        <v>2.6737760444401579</v>
      </c>
      <c r="CB57" s="120">
        <f t="shared" si="53"/>
        <v>0.24854185579270571</v>
      </c>
      <c r="CC57" s="120">
        <f t="shared" si="54"/>
        <v>7.7965261452298673</v>
      </c>
      <c r="CD57" s="120">
        <f t="shared" si="55"/>
        <v>0.5503742550405385</v>
      </c>
      <c r="CE57" s="120">
        <f t="shared" si="56"/>
        <v>0.34832201044953814</v>
      </c>
      <c r="CF57" s="120">
        <f t="shared" si="57"/>
        <v>0.37508565155898499</v>
      </c>
      <c r="CG57" s="120">
        <f t="shared" si="58"/>
        <v>1.0156803024231884</v>
      </c>
      <c r="CH57" s="120">
        <f t="shared" si="59"/>
        <v>0.83059445015711497</v>
      </c>
      <c r="CI57" s="125">
        <f t="shared" si="60"/>
        <v>0.34294453640433809</v>
      </c>
      <c r="CJ57" s="125">
        <f t="shared" si="61"/>
        <v>4.0029085583344379E-2</v>
      </c>
      <c r="CL57" s="126">
        <f t="shared" si="62"/>
        <v>642.11235329243516</v>
      </c>
      <c r="CM57" s="120">
        <v>1</v>
      </c>
      <c r="CN57" s="120">
        <v>1</v>
      </c>
      <c r="CO57" s="146">
        <f t="shared" si="63"/>
        <v>4998.4492244743178</v>
      </c>
      <c r="CP57" s="122">
        <f t="shared" si="64"/>
        <v>13.113109736445121</v>
      </c>
      <c r="CQ57" s="120">
        <v>2</v>
      </c>
      <c r="CR57" s="123">
        <f t="shared" si="65"/>
        <v>99.844264014720707</v>
      </c>
      <c r="CS57" s="123">
        <f t="shared" si="66"/>
        <v>943.10531976614539</v>
      </c>
      <c r="CT57" s="120">
        <f t="shared" si="67"/>
        <v>157.4684036067749</v>
      </c>
      <c r="CU57" s="123">
        <f t="shared" si="68"/>
        <v>5895.9475997519048</v>
      </c>
      <c r="CV57" s="123">
        <f t="shared" si="69"/>
        <v>289.77474036152529</v>
      </c>
      <c r="CW57" s="123">
        <f t="shared" si="70"/>
        <v>579.54948072305058</v>
      </c>
      <c r="CX57" s="123">
        <f t="shared" si="71"/>
        <v>9.8296240073001577</v>
      </c>
      <c r="CY57" s="123">
        <f t="shared" si="72"/>
        <v>289.75323793925156</v>
      </c>
      <c r="CZ57" s="123">
        <f t="shared" si="73"/>
        <v>579.50647587850312</v>
      </c>
      <c r="DA57" s="123">
        <f t="shared" si="74"/>
        <v>3.8805993485748154</v>
      </c>
      <c r="DB57" s="123">
        <f t="shared" si="75"/>
        <v>261.24447583544219</v>
      </c>
      <c r="DC57" s="153">
        <f t="shared" si="151"/>
        <v>5895.9475997519048</v>
      </c>
      <c r="DD57" s="153">
        <f t="shared" si="152"/>
        <v>579.54948072305058</v>
      </c>
      <c r="DE57" s="157"/>
      <c r="DF57" s="157"/>
      <c r="DG57" s="126"/>
      <c r="DH57" s="126"/>
      <c r="DI57" s="41">
        <f t="shared" si="78"/>
        <v>3.8805993485748154</v>
      </c>
      <c r="DJ57" s="41">
        <f t="shared" si="79"/>
        <v>261.24447583544219</v>
      </c>
      <c r="DK57" s="120" t="str">
        <f t="shared" si="80"/>
        <v>1176-36</v>
      </c>
      <c r="DL57" s="127">
        <f t="shared" si="81"/>
        <v>1.0586756528897358E-3</v>
      </c>
      <c r="DM57" s="127">
        <f t="shared" si="82"/>
        <v>1.7676471760230729E-4</v>
      </c>
      <c r="DN57" s="127">
        <f t="shared" si="83"/>
        <v>1.5573598527928855E-3</v>
      </c>
      <c r="DO57" s="127">
        <f t="shared" si="84"/>
        <v>1.1001260483782905E-4</v>
      </c>
      <c r="DP57" s="127">
        <v>1.0586756528897358E-3</v>
      </c>
      <c r="DQ57" s="127">
        <f t="shared" si="85"/>
        <v>0.67978871485043346</v>
      </c>
      <c r="DR57" s="127">
        <f t="shared" si="86"/>
        <v>0.12321757540561652</v>
      </c>
      <c r="DS57" s="127">
        <f t="shared" si="87"/>
        <v>642.11235329243516</v>
      </c>
      <c r="DT57" s="127">
        <f t="shared" si="88"/>
        <v>45.359107246514903</v>
      </c>
      <c r="DU57" s="127">
        <f t="shared" si="89"/>
        <v>0.38919007885801199</v>
      </c>
      <c r="DV57" s="127">
        <f t="shared" si="90"/>
        <v>4.9832645334725468E-3</v>
      </c>
      <c r="DW57" s="127"/>
      <c r="DX57" s="122">
        <f t="shared" si="91"/>
        <v>0.18125863627013394</v>
      </c>
      <c r="DY57" s="122">
        <f t="shared" si="92"/>
        <v>7.0640452584249142E-2</v>
      </c>
      <c r="EA57" s="127">
        <f t="shared" si="93"/>
        <v>1.2548051411711614</v>
      </c>
      <c r="EB57" s="127">
        <f t="shared" si="94"/>
        <v>10.283178832886959</v>
      </c>
      <c r="EC57" s="127">
        <f t="shared" si="95"/>
        <v>0.34294453640433809</v>
      </c>
      <c r="ED57" s="127">
        <f t="shared" si="96"/>
        <v>4.0029085583344379E-2</v>
      </c>
      <c r="EE57" s="127">
        <f t="shared" si="97"/>
        <v>5.2096801669579088E-3</v>
      </c>
      <c r="EF57" s="127">
        <f t="shared" si="98"/>
        <v>4.9832645334725468E-3</v>
      </c>
      <c r="EH57" s="127">
        <f t="shared" si="99"/>
        <v>8.1950404054682497</v>
      </c>
      <c r="EI57" s="127">
        <f t="shared" si="100"/>
        <v>0.1167217474960713</v>
      </c>
      <c r="EJ57" s="127"/>
      <c r="EK57" s="166">
        <v>2.3690000000000002</v>
      </c>
      <c r="EL57" s="127"/>
      <c r="EN57" s="127"/>
      <c r="EO57" s="127"/>
      <c r="EP57" s="127"/>
      <c r="ER57" s="123"/>
    </row>
    <row r="58" spans="1:148" s="75" customFormat="1" x14ac:dyDescent="0.2">
      <c r="A58" s="75" t="s">
        <v>3</v>
      </c>
      <c r="B58" s="75" t="s">
        <v>96</v>
      </c>
      <c r="C58" s="49" t="s">
        <v>71</v>
      </c>
      <c r="D58" s="75">
        <v>3979.39</v>
      </c>
      <c r="E58" s="75">
        <v>9.1</v>
      </c>
      <c r="F58" s="75">
        <v>77.882999999999996</v>
      </c>
      <c r="G58" s="75">
        <v>0.66</v>
      </c>
      <c r="H58" s="75">
        <v>5.3220000000000001</v>
      </c>
      <c r="I58" s="75">
        <v>0.24</v>
      </c>
      <c r="J58" s="75">
        <v>91.233999999999995</v>
      </c>
      <c r="K58" s="75">
        <v>0.69</v>
      </c>
      <c r="L58" s="75">
        <v>10.725</v>
      </c>
      <c r="M58" s="75">
        <v>0.81</v>
      </c>
      <c r="N58" s="49" t="s">
        <v>225</v>
      </c>
      <c r="O58" s="75">
        <v>1904.2860000000001</v>
      </c>
      <c r="P58" s="75">
        <v>5.5868440000000001</v>
      </c>
      <c r="Q58" s="75">
        <v>74.417739999999995</v>
      </c>
      <c r="R58" s="75">
        <v>0.56307399999999996</v>
      </c>
      <c r="S58" s="75">
        <v>2.7491449999999999</v>
      </c>
      <c r="T58" s="75">
        <v>0.13422400000000001</v>
      </c>
      <c r="U58" s="75">
        <v>91.093699999999998</v>
      </c>
      <c r="V58" s="75">
        <v>0.51716600000000001</v>
      </c>
      <c r="W58" s="75">
        <v>7.2735659999999998</v>
      </c>
      <c r="X58" s="75">
        <v>0.53972699999999996</v>
      </c>
      <c r="Y58" s="49">
        <f t="shared" si="104"/>
        <v>2075.1039999999998</v>
      </c>
      <c r="Z58" s="49">
        <f t="shared" si="105"/>
        <v>10.678147118312989</v>
      </c>
      <c r="AA58" s="49">
        <f t="shared" si="106"/>
        <v>3.4652600000000007</v>
      </c>
      <c r="AB58" s="49">
        <f t="shared" si="107"/>
        <v>0.86755537545219552</v>
      </c>
      <c r="AC58" s="49">
        <f t="shared" si="108"/>
        <v>2.5728550000000001</v>
      </c>
      <c r="AD58" s="49">
        <f t="shared" si="109"/>
        <v>0.27498378529651524</v>
      </c>
      <c r="AE58" s="49">
        <f t="shared" si="110"/>
        <v>0.14029999999999632</v>
      </c>
      <c r="AF58" s="49"/>
      <c r="AG58" s="49">
        <f t="shared" si="111"/>
        <v>0.86229964139851056</v>
      </c>
      <c r="AH58" s="49">
        <f t="shared" si="112"/>
        <v>3.4514339999999999</v>
      </c>
      <c r="AI58" s="49">
        <f t="shared" si="113"/>
        <v>0.97334743772663213</v>
      </c>
      <c r="AJ58" s="49">
        <v>1</v>
      </c>
      <c r="AK58" s="49">
        <v>0</v>
      </c>
      <c r="AL58" s="49">
        <f t="shared" si="114"/>
        <v>2075.1039999999998</v>
      </c>
      <c r="AM58" s="49">
        <f t="shared" si="115"/>
        <v>10.678147118312989</v>
      </c>
      <c r="AN58" s="75">
        <v>0.99997100000000005</v>
      </c>
      <c r="AO58" s="49">
        <f t="shared" si="21"/>
        <v>2075.1039999999998</v>
      </c>
      <c r="AP58" s="49">
        <f t="shared" si="22"/>
        <v>10.678147118312989</v>
      </c>
      <c r="AQ58" s="49">
        <f t="shared" si="23"/>
        <v>3.4653604954543691</v>
      </c>
      <c r="AR58" s="49">
        <f t="shared" si="24"/>
        <v>0.86755537545219552</v>
      </c>
      <c r="AS58" s="49">
        <f t="shared" si="25"/>
        <v>2.5730042299176681</v>
      </c>
      <c r="AT58" s="49">
        <f t="shared" si="26"/>
        <v>0.27498378529651524</v>
      </c>
      <c r="AU58" s="49">
        <f t="shared" si="0"/>
        <v>0.14031220645398346</v>
      </c>
      <c r="AV58" s="49">
        <f t="shared" si="27"/>
        <v>0.86229964139851056</v>
      </c>
      <c r="AW58" s="49">
        <f t="shared" si="28"/>
        <v>3.451834377954961</v>
      </c>
      <c r="AX58" s="49">
        <f t="shared" si="29"/>
        <v>0.97334743772663213</v>
      </c>
      <c r="AY58" s="75">
        <v>110.6536</v>
      </c>
      <c r="AZ58" s="75">
        <v>1.001687</v>
      </c>
      <c r="BA58" s="49">
        <f t="shared" si="116"/>
        <v>2075.1039999999998</v>
      </c>
      <c r="BB58" s="49">
        <f t="shared" si="117"/>
        <v>10.678147118312989</v>
      </c>
      <c r="BC58" s="49">
        <f t="shared" si="118"/>
        <v>3.4712065586102008</v>
      </c>
      <c r="BD58" s="49">
        <f t="shared" si="119"/>
        <v>0.86901894137058333</v>
      </c>
      <c r="BE58" s="49">
        <f t="shared" si="120"/>
        <v>2.5730042299176681</v>
      </c>
      <c r="BF58" s="49">
        <f t="shared" si="121"/>
        <v>0.27498378529651524</v>
      </c>
      <c r="BG58" s="49">
        <f t="shared" si="122"/>
        <v>15.526050768076503</v>
      </c>
      <c r="BH58" s="49">
        <f t="shared" si="123"/>
        <v>95.416559599454231</v>
      </c>
      <c r="BI58" s="49">
        <f t="shared" si="124"/>
        <v>3.451834377954961</v>
      </c>
      <c r="BJ58" s="49">
        <f t="shared" si="125"/>
        <v>0.97334743772663213</v>
      </c>
      <c r="BL58" s="58">
        <f t="shared" si="40"/>
        <v>2075.1038371553286</v>
      </c>
      <c r="BM58" s="58">
        <f t="shared" si="41"/>
        <v>10.678147118561052</v>
      </c>
      <c r="BN58" s="141">
        <f t="shared" si="42"/>
        <v>3.4608775428157226</v>
      </c>
      <c r="BO58" s="58">
        <f t="shared" si="43"/>
        <v>0.87133433385298797</v>
      </c>
      <c r="BP58" s="58">
        <f t="shared" si="44"/>
        <v>15.526050768076503</v>
      </c>
      <c r="BQ58" s="58">
        <f t="shared" si="45"/>
        <v>95.416559599454231</v>
      </c>
      <c r="BR58" s="58">
        <f t="shared" si="46"/>
        <v>2.5316652101109307</v>
      </c>
      <c r="BS58" s="58">
        <f t="shared" si="47"/>
        <v>0.27518550601185005</v>
      </c>
      <c r="BT58" s="58">
        <f t="shared" si="48"/>
        <v>3.4475560194053099</v>
      </c>
      <c r="BU58" s="58">
        <f t="shared" si="49"/>
        <v>0.97370249914828977</v>
      </c>
      <c r="BV58" s="55">
        <f t="shared" si="50"/>
        <v>0.73433620682620071</v>
      </c>
      <c r="BW58" s="59">
        <f t="shared" si="51"/>
        <v>0.30262741534944415</v>
      </c>
      <c r="BX58" s="49"/>
      <c r="BY58" s="55">
        <f t="shared" si="101"/>
        <v>0.59546473996585314</v>
      </c>
      <c r="BZ58" s="49">
        <v>0</v>
      </c>
      <c r="CA58" s="49">
        <f t="shared" si="52"/>
        <v>1.5075173660193024</v>
      </c>
      <c r="CB58" s="49">
        <f t="shared" si="53"/>
        <v>0.16386326577971802</v>
      </c>
      <c r="CC58" s="49">
        <f t="shared" si="54"/>
        <v>2.0528980486128945</v>
      </c>
      <c r="CD58" s="49">
        <f t="shared" si="55"/>
        <v>0.57980550545943765</v>
      </c>
      <c r="CE58" s="49">
        <f t="shared" si="56"/>
        <v>1.0241478440916283</v>
      </c>
      <c r="CF58" s="49">
        <f t="shared" si="57"/>
        <v>0.32027836734783144</v>
      </c>
      <c r="CG58" s="49">
        <f t="shared" si="58"/>
        <v>1.3946579707924154</v>
      </c>
      <c r="CH58" s="49">
        <f t="shared" si="59"/>
        <v>1.1332568027630363</v>
      </c>
      <c r="CI58" s="57">
        <f t="shared" si="60"/>
        <v>0.73433620682620071</v>
      </c>
      <c r="CJ58" s="57">
        <f t="shared" si="61"/>
        <v>0.22223026826932796</v>
      </c>
      <c r="CL58" s="60">
        <f t="shared" si="62"/>
        <v>1010.8168004531146</v>
      </c>
      <c r="CM58" s="49">
        <v>1</v>
      </c>
      <c r="CN58" s="49">
        <v>1</v>
      </c>
      <c r="CO58" s="141">
        <f t="shared" si="63"/>
        <v>2073.0509391067158</v>
      </c>
      <c r="CP58" s="58">
        <f t="shared" si="64"/>
        <v>10.740530727566249</v>
      </c>
      <c r="CQ58" s="49">
        <v>2</v>
      </c>
      <c r="CR58" s="55">
        <f t="shared" si="65"/>
        <v>99.90107010493378</v>
      </c>
      <c r="CS58" s="55">
        <f t="shared" si="66"/>
        <v>598.99574991032762</v>
      </c>
      <c r="CT58" s="49">
        <f t="shared" si="67"/>
        <v>150.83921851002265</v>
      </c>
      <c r="CU58" s="55">
        <f t="shared" si="68"/>
        <v>5116.0730907134339</v>
      </c>
      <c r="CV58" s="55">
        <f t="shared" si="69"/>
        <v>427.66337858152656</v>
      </c>
      <c r="CW58" s="55">
        <f t="shared" si="70"/>
        <v>855.32675716305312</v>
      </c>
      <c r="CX58" s="55">
        <f t="shared" si="71"/>
        <v>16.718423329713968</v>
      </c>
      <c r="CY58" s="55">
        <f t="shared" si="72"/>
        <v>427.64942642284763</v>
      </c>
      <c r="CZ58" s="55">
        <f t="shared" si="73"/>
        <v>855.29885284569525</v>
      </c>
      <c r="DA58" s="55">
        <f t="shared" si="74"/>
        <v>8.3442577991728601</v>
      </c>
      <c r="DB58" s="55">
        <f t="shared" si="75"/>
        <v>317.24783591746711</v>
      </c>
      <c r="DC58" s="153">
        <f t="shared" si="151"/>
        <v>5116.0730907134339</v>
      </c>
      <c r="DD58" s="153">
        <f t="shared" si="152"/>
        <v>855.32675716305312</v>
      </c>
      <c r="DE58" s="151"/>
      <c r="DF58" s="151"/>
      <c r="DG58" s="60"/>
      <c r="DH58" s="60"/>
      <c r="DI58" s="41">
        <f t="shared" si="78"/>
        <v>8.3442577991728601</v>
      </c>
      <c r="DJ58" s="41">
        <f t="shared" si="79"/>
        <v>317.24783591746711</v>
      </c>
      <c r="DK58" s="49" t="str">
        <f t="shared" si="80"/>
        <v>1176-37</v>
      </c>
      <c r="DL58" s="50">
        <f t="shared" si="81"/>
        <v>1.6678093311995857E-3</v>
      </c>
      <c r="DM58" s="50">
        <f t="shared" si="82"/>
        <v>4.1998684526969681E-4</v>
      </c>
      <c r="DN58" s="50">
        <f t="shared" si="83"/>
        <v>9.8929895066221106E-4</v>
      </c>
      <c r="DO58" s="50">
        <f t="shared" si="84"/>
        <v>2.7945673003290259E-4</v>
      </c>
      <c r="DP58" s="50">
        <v>1.6678093311995857E-3</v>
      </c>
      <c r="DQ58" s="50">
        <f t="shared" si="85"/>
        <v>1.6858496919290142</v>
      </c>
      <c r="DR58" s="50">
        <f t="shared" si="86"/>
        <v>0.63785473008819049</v>
      </c>
      <c r="DS58" s="50">
        <f t="shared" si="87"/>
        <v>1010.8168004531146</v>
      </c>
      <c r="DT58" s="50">
        <f t="shared" si="88"/>
        <v>285.53508272485675</v>
      </c>
      <c r="DU58" s="50">
        <f t="shared" si="89"/>
        <v>0.74634555689412341</v>
      </c>
      <c r="DV58" s="50">
        <f t="shared" si="90"/>
        <v>7.9768220884500807E-2</v>
      </c>
      <c r="DW58" s="50"/>
      <c r="DX58" s="58">
        <f t="shared" si="91"/>
        <v>0.37835800732527497</v>
      </c>
      <c r="DY58" s="58">
        <f t="shared" si="92"/>
        <v>0.28247955771694844</v>
      </c>
      <c r="DZ58" s="49"/>
      <c r="EA58" s="50">
        <f t="shared" si="93"/>
        <v>4.5034948469828455</v>
      </c>
      <c r="EB58" s="50">
        <f t="shared" si="94"/>
        <v>27.705791649122453</v>
      </c>
      <c r="EC58" s="50">
        <f t="shared" si="95"/>
        <v>0.73433620682620071</v>
      </c>
      <c r="ED58" s="50">
        <f t="shared" si="96"/>
        <v>0.22223026826932796</v>
      </c>
      <c r="EE58" s="50">
        <f t="shared" si="97"/>
        <v>4.2845058817134497E-2</v>
      </c>
      <c r="EF58" s="50">
        <f t="shared" si="98"/>
        <v>7.9768220884500807E-2</v>
      </c>
      <c r="EG58" s="49"/>
      <c r="EH58" s="50">
        <f t="shared" si="99"/>
        <v>6.152064694308284</v>
      </c>
      <c r="EI58" s="50">
        <f t="shared" si="100"/>
        <v>0.30262741534944415</v>
      </c>
      <c r="EJ58" s="76"/>
      <c r="EK58" s="165">
        <v>2.5529999999999999</v>
      </c>
      <c r="EL58" s="76"/>
      <c r="EN58" s="76"/>
      <c r="EO58" s="76"/>
      <c r="EP58" s="76"/>
      <c r="ER58" s="77"/>
    </row>
    <row r="59" spans="1:148" s="9" customFormat="1" x14ac:dyDescent="0.2">
      <c r="A59" s="9" t="s">
        <v>4</v>
      </c>
      <c r="B59" s="9" t="s">
        <v>96</v>
      </c>
      <c r="C59" s="42" t="s">
        <v>71</v>
      </c>
      <c r="D59" s="9">
        <v>4033.03</v>
      </c>
      <c r="E59" s="9">
        <v>9.9</v>
      </c>
      <c r="F59" s="9">
        <v>154.63</v>
      </c>
      <c r="G59" s="9">
        <v>1.8</v>
      </c>
      <c r="H59" s="9">
        <v>9.593</v>
      </c>
      <c r="I59" s="9">
        <v>0.28000000000000003</v>
      </c>
      <c r="J59" s="9">
        <v>96.882999999999996</v>
      </c>
      <c r="K59" s="9">
        <v>0.73</v>
      </c>
      <c r="L59" s="9">
        <v>16.242000000000001</v>
      </c>
      <c r="M59" s="9">
        <v>0.34</v>
      </c>
      <c r="N59" s="42" t="s">
        <v>225</v>
      </c>
      <c r="O59" s="9">
        <v>1917.278</v>
      </c>
      <c r="P59" s="9">
        <v>5.9713339999999997</v>
      </c>
      <c r="Q59" s="9">
        <v>74.590950000000007</v>
      </c>
      <c r="R59" s="9">
        <v>0.49048900000000001</v>
      </c>
      <c r="S59" s="9">
        <v>2.7105450000000002</v>
      </c>
      <c r="T59" s="9">
        <v>0.13428999999999999</v>
      </c>
      <c r="U59" s="9">
        <v>91.282889999999995</v>
      </c>
      <c r="V59" s="9">
        <v>0.54088000000000003</v>
      </c>
      <c r="W59" s="9">
        <v>7.4342480000000002</v>
      </c>
      <c r="X59" s="9">
        <v>0.57918499999999995</v>
      </c>
      <c r="Y59" s="42">
        <f t="shared" si="104"/>
        <v>2115.7520000000004</v>
      </c>
      <c r="Z59" s="42">
        <f t="shared" si="105"/>
        <v>11.56143718313411</v>
      </c>
      <c r="AA59" s="42">
        <f t="shared" si="106"/>
        <v>80.039049999999989</v>
      </c>
      <c r="AB59" s="42">
        <f t="shared" si="107"/>
        <v>1.8656311154997927</v>
      </c>
      <c r="AC59" s="42">
        <f t="shared" si="108"/>
        <v>6.8824550000000002</v>
      </c>
      <c r="AD59" s="42">
        <f t="shared" si="109"/>
        <v>0.31053792699121313</v>
      </c>
      <c r="AE59" s="42">
        <f t="shared" si="110"/>
        <v>5.6001100000000008</v>
      </c>
      <c r="AF59" s="42"/>
      <c r="AG59" s="42">
        <f t="shared" si="111"/>
        <v>0.908543435615491</v>
      </c>
      <c r="AH59" s="42">
        <f t="shared" si="112"/>
        <v>8.8077520000000007</v>
      </c>
      <c r="AI59" s="42">
        <f t="shared" si="113"/>
        <v>0.67160648018389457</v>
      </c>
      <c r="AJ59" s="42">
        <v>1</v>
      </c>
      <c r="AK59" s="42">
        <v>0</v>
      </c>
      <c r="AL59" s="42">
        <f t="shared" si="114"/>
        <v>2115.7520000000004</v>
      </c>
      <c r="AM59" s="42">
        <f t="shared" si="115"/>
        <v>11.56143718313411</v>
      </c>
      <c r="AN59" s="9">
        <v>0.99997100000000005</v>
      </c>
      <c r="AO59" s="42">
        <f t="shared" si="21"/>
        <v>2115.7520000000004</v>
      </c>
      <c r="AP59" s="42">
        <f t="shared" si="22"/>
        <v>11.56143718313411</v>
      </c>
      <c r="AQ59" s="42">
        <f t="shared" si="23"/>
        <v>80.041371199764782</v>
      </c>
      <c r="AR59" s="42">
        <f t="shared" si="24"/>
        <v>1.8656311154997927</v>
      </c>
      <c r="AS59" s="42">
        <f t="shared" si="25"/>
        <v>6.8828541939666259</v>
      </c>
      <c r="AT59" s="42">
        <f t="shared" si="26"/>
        <v>0.31053792699121313</v>
      </c>
      <c r="AU59" s="42">
        <f t="shared" si="0"/>
        <v>5.600597223699487</v>
      </c>
      <c r="AV59" s="42">
        <f t="shared" si="27"/>
        <v>0.908543435615491</v>
      </c>
      <c r="AW59" s="42">
        <f t="shared" si="28"/>
        <v>8.8087737288621391</v>
      </c>
      <c r="AX59" s="42">
        <f t="shared" si="29"/>
        <v>0.67160648018389457</v>
      </c>
      <c r="AY59" s="9">
        <v>110.6952</v>
      </c>
      <c r="AZ59" s="9">
        <v>1.001687</v>
      </c>
      <c r="BA59" s="42">
        <f t="shared" si="116"/>
        <v>2115.7520000000004</v>
      </c>
      <c r="BB59" s="42">
        <f t="shared" si="117"/>
        <v>11.56143718313411</v>
      </c>
      <c r="BC59" s="42">
        <f t="shared" si="118"/>
        <v>80.176400992978785</v>
      </c>
      <c r="BD59" s="42">
        <f t="shared" si="119"/>
        <v>1.8687784351916408</v>
      </c>
      <c r="BE59" s="42">
        <f t="shared" si="120"/>
        <v>6.8828541939666259</v>
      </c>
      <c r="BF59" s="42">
        <f t="shared" si="121"/>
        <v>0.31053792699121313</v>
      </c>
      <c r="BG59" s="42">
        <f t="shared" si="122"/>
        <v>619.9592297968594</v>
      </c>
      <c r="BH59" s="42">
        <f t="shared" si="123"/>
        <v>100.57139731414389</v>
      </c>
      <c r="BI59" s="42">
        <f t="shared" si="124"/>
        <v>8.8087737288621391</v>
      </c>
      <c r="BJ59" s="42">
        <f t="shared" si="125"/>
        <v>0.67160648018389457</v>
      </c>
      <c r="BL59" s="45">
        <f t="shared" si="40"/>
        <v>2115.748246866357</v>
      </c>
      <c r="BM59" s="45">
        <f t="shared" si="41"/>
        <v>11.561437266553678</v>
      </c>
      <c r="BN59" s="141">
        <f t="shared" si="42"/>
        <v>79.763960716171823</v>
      </c>
      <c r="BO59" s="45">
        <f t="shared" si="43"/>
        <v>1.8700495378777582</v>
      </c>
      <c r="BP59" s="45">
        <f t="shared" si="44"/>
        <v>619.9592297968594</v>
      </c>
      <c r="BQ59" s="45">
        <f t="shared" si="45"/>
        <v>100.57139731414389</v>
      </c>
      <c r="BR59" s="45">
        <f t="shared" si="46"/>
        <v>5.9243355519819314</v>
      </c>
      <c r="BS59" s="45">
        <f t="shared" si="47"/>
        <v>0.31136746702406654</v>
      </c>
      <c r="BT59" s="45">
        <f t="shared" si="48"/>
        <v>8.6379377634993162</v>
      </c>
      <c r="BU59" s="45">
        <f t="shared" si="49"/>
        <v>0.67217938442469516</v>
      </c>
      <c r="BV59" s="41">
        <f t="shared" si="50"/>
        <v>0.68585068730362364</v>
      </c>
      <c r="BW59" s="46">
        <f t="shared" si="51"/>
        <v>9.3903034067033833E-2</v>
      </c>
      <c r="BX59" s="42"/>
      <c r="BY59" s="41">
        <f t="shared" si="101"/>
        <v>0.63130030502319023</v>
      </c>
      <c r="BZ59" s="42">
        <v>0</v>
      </c>
      <c r="CA59" s="42">
        <f t="shared" si="52"/>
        <v>3.7400348410259232</v>
      </c>
      <c r="CB59" s="42">
        <f t="shared" si="53"/>
        <v>0.19656637690659132</v>
      </c>
      <c r="CC59" s="42">
        <f t="shared" si="54"/>
        <v>5.4531327448684523</v>
      </c>
      <c r="CD59" s="42">
        <f t="shared" si="55"/>
        <v>0.42434705041761034</v>
      </c>
      <c r="CE59" s="42">
        <f t="shared" si="56"/>
        <v>2.1843007109560082</v>
      </c>
      <c r="CF59" s="42">
        <f t="shared" si="57"/>
        <v>0.36822281305096688</v>
      </c>
      <c r="CG59" s="42">
        <f t="shared" si="58"/>
        <v>3.1848050186308638</v>
      </c>
      <c r="CH59" s="42">
        <f t="shared" si="59"/>
        <v>0.79491857698992552</v>
      </c>
      <c r="CI59" s="44">
        <f t="shared" si="60"/>
        <v>0.68585068730362353</v>
      </c>
      <c r="CJ59" s="44">
        <f t="shared" si="61"/>
        <v>6.4403460454770731E-2</v>
      </c>
      <c r="CL59" s="47">
        <f t="shared" si="62"/>
        <v>387.98766614609451</v>
      </c>
      <c r="CM59" s="42">
        <v>1</v>
      </c>
      <c r="CN59" s="42">
        <v>1</v>
      </c>
      <c r="CO59" s="141">
        <f t="shared" si="63"/>
        <v>2110.2951141214885</v>
      </c>
      <c r="CP59" s="45">
        <f t="shared" si="64"/>
        <v>11.612359884521936</v>
      </c>
      <c r="CQ59" s="42">
        <v>2</v>
      </c>
      <c r="CR59" s="41">
        <f t="shared" si="65"/>
        <v>99.742259848120156</v>
      </c>
      <c r="CS59" s="41">
        <f t="shared" si="66"/>
        <v>26.456749328567817</v>
      </c>
      <c r="CT59" s="42">
        <f t="shared" si="67"/>
        <v>0.63712896513306971</v>
      </c>
      <c r="CU59" s="41">
        <f t="shared" si="68"/>
        <v>966.47226308696122</v>
      </c>
      <c r="CV59" s="41">
        <f t="shared" si="69"/>
        <v>18.083223379431917</v>
      </c>
      <c r="CW59" s="41">
        <f t="shared" si="70"/>
        <v>36.166446758863835</v>
      </c>
      <c r="CX59" s="41">
        <f t="shared" si="71"/>
        <v>3.7421091261684407</v>
      </c>
      <c r="CY59" s="41">
        <f t="shared" si="72"/>
        <v>18.019055255054163</v>
      </c>
      <c r="CZ59" s="41">
        <f t="shared" si="73"/>
        <v>36.038110510108325</v>
      </c>
      <c r="DA59" s="41">
        <f t="shared" si="74"/>
        <v>14.456706475815302</v>
      </c>
      <c r="DB59" s="41">
        <f t="shared" si="75"/>
        <v>0.71937965610267196</v>
      </c>
      <c r="DC59" s="151"/>
      <c r="DD59" s="151"/>
      <c r="DE59" s="153">
        <f t="shared" ref="DE59" si="153">CU59</f>
        <v>966.47226308696122</v>
      </c>
      <c r="DF59" s="153">
        <f t="shared" ref="DF59" si="154">CW59</f>
        <v>36.166446758863835</v>
      </c>
      <c r="DG59" s="128"/>
      <c r="DH59" s="128"/>
      <c r="DI59" s="41">
        <f t="shared" si="78"/>
        <v>14.456706475815302</v>
      </c>
      <c r="DJ59" s="41">
        <f t="shared" si="79"/>
        <v>0.71937965610267196</v>
      </c>
      <c r="DK59" s="42" t="str">
        <f t="shared" si="80"/>
        <v>1176-38</v>
      </c>
      <c r="DL59" s="48">
        <f t="shared" si="81"/>
        <v>3.7700119016669649E-2</v>
      </c>
      <c r="DM59" s="48">
        <f t="shared" si="82"/>
        <v>9.0756231592510508E-4</v>
      </c>
      <c r="DN59" s="48">
        <f t="shared" si="83"/>
        <v>2.5774015187984244E-3</v>
      </c>
      <c r="DO59" s="48">
        <f t="shared" si="84"/>
        <v>2.01059845949425E-4</v>
      </c>
      <c r="DP59" s="48">
        <v>3.7700119016669649E-2</v>
      </c>
      <c r="DQ59" s="48">
        <f t="shared" si="85"/>
        <v>14.627181190707653</v>
      </c>
      <c r="DR59" s="48">
        <f t="shared" si="86"/>
        <v>1.1887823846357826</v>
      </c>
      <c r="DS59" s="48">
        <f t="shared" si="87"/>
        <v>387.98766614609451</v>
      </c>
      <c r="DT59" s="48">
        <f t="shared" si="88"/>
        <v>30.266429121209686</v>
      </c>
      <c r="DU59" s="48">
        <f t="shared" si="89"/>
        <v>0.95513607995423377</v>
      </c>
      <c r="DV59" s="48">
        <f t="shared" si="90"/>
        <v>6.0555031728683328E-3</v>
      </c>
      <c r="DW59" s="48"/>
      <c r="DX59" s="45">
        <f t="shared" si="91"/>
        <v>8.1272144587296938E-2</v>
      </c>
      <c r="DY59" s="45">
        <f t="shared" si="92"/>
        <v>7.8008740385610703E-2</v>
      </c>
      <c r="DZ59" s="42"/>
      <c r="EA59" s="48">
        <f t="shared" si="93"/>
        <v>71.771671291332339</v>
      </c>
      <c r="EB59" s="48">
        <f t="shared" si="94"/>
        <v>12.9132524999696</v>
      </c>
      <c r="EC59" s="48">
        <f t="shared" si="95"/>
        <v>0.68585068730362364</v>
      </c>
      <c r="ED59" s="48">
        <f t="shared" si="96"/>
        <v>6.4403460454770745E-2</v>
      </c>
      <c r="EE59" s="48">
        <f t="shared" si="97"/>
        <v>0.35841652720125378</v>
      </c>
      <c r="EF59" s="48">
        <f t="shared" si="98"/>
        <v>6.0555031728683328E-3</v>
      </c>
      <c r="EG59" s="42"/>
      <c r="EH59" s="48">
        <f t="shared" si="99"/>
        <v>0.1799213013662829</v>
      </c>
      <c r="EI59" s="48">
        <f t="shared" si="100"/>
        <v>9.3903034067033847E-2</v>
      </c>
      <c r="EJ59" s="15"/>
      <c r="EK59" s="165">
        <v>2.8439999999999999</v>
      </c>
      <c r="EL59" s="15"/>
      <c r="EN59" s="15"/>
      <c r="EO59" s="15"/>
      <c r="EP59" s="15"/>
      <c r="ER59" s="18"/>
    </row>
    <row r="60" spans="1:148" s="9" customFormat="1" x14ac:dyDescent="0.2">
      <c r="A60" s="9" t="s">
        <v>5</v>
      </c>
      <c r="B60" s="9" t="s">
        <v>96</v>
      </c>
      <c r="C60" s="42" t="s">
        <v>71</v>
      </c>
      <c r="D60" s="9">
        <v>4781.5</v>
      </c>
      <c r="E60" s="9">
        <v>12</v>
      </c>
      <c r="F60" s="9">
        <v>110.82899999999999</v>
      </c>
      <c r="G60" s="9">
        <v>0.74</v>
      </c>
      <c r="H60" s="9">
        <v>8.5380000000000003</v>
      </c>
      <c r="I60" s="9">
        <v>0.26</v>
      </c>
      <c r="J60" s="9">
        <v>91.594999999999999</v>
      </c>
      <c r="K60" s="9">
        <v>0.67</v>
      </c>
      <c r="L60" s="9">
        <v>18.753</v>
      </c>
      <c r="M60" s="9">
        <v>0.89</v>
      </c>
      <c r="N60" s="42" t="s">
        <v>225</v>
      </c>
      <c r="O60" s="9">
        <v>1930.2619999999999</v>
      </c>
      <c r="P60" s="9">
        <v>6.4468259999999997</v>
      </c>
      <c r="Q60" s="9">
        <v>74.764060000000001</v>
      </c>
      <c r="R60" s="9">
        <v>0.44093700000000002</v>
      </c>
      <c r="S60" s="9">
        <v>2.6719680000000001</v>
      </c>
      <c r="T60" s="9">
        <v>0.13800200000000001</v>
      </c>
      <c r="U60" s="9">
        <v>91.471969999999999</v>
      </c>
      <c r="V60" s="9">
        <v>0.57633000000000001</v>
      </c>
      <c r="W60" s="9">
        <v>7.5948320000000002</v>
      </c>
      <c r="X60" s="9">
        <v>0.626799</v>
      </c>
      <c r="Y60" s="42">
        <f t="shared" si="104"/>
        <v>2851.2380000000003</v>
      </c>
      <c r="Z60" s="42">
        <f t="shared" si="105"/>
        <v>13.622098424041576</v>
      </c>
      <c r="AA60" s="42">
        <f t="shared" si="106"/>
        <v>36.064939999999993</v>
      </c>
      <c r="AB60" s="42">
        <f t="shared" si="107"/>
        <v>0.86140898414690337</v>
      </c>
      <c r="AC60" s="42">
        <f t="shared" si="108"/>
        <v>5.8660320000000006</v>
      </c>
      <c r="AD60" s="42">
        <f t="shared" si="109"/>
        <v>0.29435446659427472</v>
      </c>
      <c r="AE60" s="42">
        <f t="shared" si="110"/>
        <v>0.12302999999999997</v>
      </c>
      <c r="AF60" s="42"/>
      <c r="AG60" s="42">
        <f t="shared" si="111"/>
        <v>0.88377387882874203</v>
      </c>
      <c r="AH60" s="42">
        <f t="shared" si="112"/>
        <v>11.158168</v>
      </c>
      <c r="AI60" s="42">
        <f t="shared" si="113"/>
        <v>1.0885664823064323</v>
      </c>
      <c r="AJ60" s="42">
        <v>1</v>
      </c>
      <c r="AK60" s="42">
        <v>0</v>
      </c>
      <c r="AL60" s="42">
        <f t="shared" si="114"/>
        <v>2851.2380000000003</v>
      </c>
      <c r="AM60" s="42">
        <f t="shared" si="115"/>
        <v>13.622098424041576</v>
      </c>
      <c r="AN60" s="9">
        <v>0.99997100000000005</v>
      </c>
      <c r="AO60" s="42">
        <f t="shared" si="21"/>
        <v>2851.2380000000003</v>
      </c>
      <c r="AP60" s="42">
        <f t="shared" si="22"/>
        <v>13.622098424041576</v>
      </c>
      <c r="AQ60" s="42">
        <f t="shared" si="23"/>
        <v>36.06598591359149</v>
      </c>
      <c r="AR60" s="42">
        <f t="shared" si="24"/>
        <v>0.86140898414690337</v>
      </c>
      <c r="AS60" s="42">
        <f t="shared" si="25"/>
        <v>5.8663722397229527</v>
      </c>
      <c r="AT60" s="42">
        <f t="shared" si="26"/>
        <v>0.29435446659427472</v>
      </c>
      <c r="AU60" s="42">
        <f t="shared" si="0"/>
        <v>0.12304070392041365</v>
      </c>
      <c r="AV60" s="42">
        <f t="shared" si="27"/>
        <v>0.88377387882874203</v>
      </c>
      <c r="AW60" s="42">
        <f t="shared" si="28"/>
        <v>11.159462385025167</v>
      </c>
      <c r="AX60" s="42">
        <f t="shared" si="29"/>
        <v>1.0885664823064323</v>
      </c>
      <c r="AY60" s="9">
        <v>110.7368</v>
      </c>
      <c r="AZ60" s="9">
        <v>1.001687</v>
      </c>
      <c r="BA60" s="42">
        <f t="shared" si="116"/>
        <v>2851.2380000000003</v>
      </c>
      <c r="BB60" s="42">
        <f t="shared" si="117"/>
        <v>13.622098424041576</v>
      </c>
      <c r="BC60" s="42">
        <f t="shared" si="118"/>
        <v>36.12682923182772</v>
      </c>
      <c r="BD60" s="42">
        <f t="shared" si="119"/>
        <v>0.86286218110315915</v>
      </c>
      <c r="BE60" s="42">
        <f t="shared" si="120"/>
        <v>5.8663722397229527</v>
      </c>
      <c r="BF60" s="42">
        <f t="shared" si="121"/>
        <v>0.29435446659427472</v>
      </c>
      <c r="BG60" s="42">
        <f t="shared" si="122"/>
        <v>13.625133821894062</v>
      </c>
      <c r="BH60" s="42">
        <f t="shared" si="123"/>
        <v>97.866291265082637</v>
      </c>
      <c r="BI60" s="42">
        <f t="shared" si="124"/>
        <v>11.159462385025167</v>
      </c>
      <c r="BJ60" s="42">
        <f t="shared" si="125"/>
        <v>1.0885664823064323</v>
      </c>
      <c r="BL60" s="45">
        <f t="shared" si="40"/>
        <v>2851.2363005508114</v>
      </c>
      <c r="BM60" s="45">
        <f t="shared" si="41"/>
        <v>13.622098438560727</v>
      </c>
      <c r="BN60" s="141">
        <f t="shared" si="42"/>
        <v>36.117764839050032</v>
      </c>
      <c r="BO60" s="45">
        <f t="shared" si="43"/>
        <v>0.86531512431615032</v>
      </c>
      <c r="BP60" s="45">
        <f t="shared" si="44"/>
        <v>13.625133821894062</v>
      </c>
      <c r="BQ60" s="45">
        <f t="shared" si="45"/>
        <v>97.866291265082637</v>
      </c>
      <c r="BR60" s="45">
        <f t="shared" si="46"/>
        <v>5.4382215398714209</v>
      </c>
      <c r="BS60" s="45">
        <f t="shared" si="47"/>
        <v>0.29454742439384141</v>
      </c>
      <c r="BT60" s="45">
        <f t="shared" si="48"/>
        <v>11.155707843149205</v>
      </c>
      <c r="BU60" s="45">
        <f t="shared" si="49"/>
        <v>1.0889004831508751</v>
      </c>
      <c r="BV60" s="41">
        <f t="shared" si="50"/>
        <v>0.48748332390320431</v>
      </c>
      <c r="BW60" s="46">
        <f t="shared" si="51"/>
        <v>0.11162947973328237</v>
      </c>
      <c r="BX60" s="42"/>
      <c r="BY60" s="41">
        <f t="shared" si="101"/>
        <v>0.7779132861025837</v>
      </c>
      <c r="BZ60" s="42">
        <v>0</v>
      </c>
      <c r="CA60" s="42">
        <f t="shared" si="52"/>
        <v>4.2304647886352296</v>
      </c>
      <c r="CB60" s="42">
        <f t="shared" si="53"/>
        <v>0.22913235482326547</v>
      </c>
      <c r="CC60" s="42">
        <f t="shared" si="54"/>
        <v>8.6781733470645648</v>
      </c>
      <c r="CD60" s="42">
        <f t="shared" si="55"/>
        <v>0.8470701530865884</v>
      </c>
      <c r="CE60" s="42">
        <f t="shared" si="56"/>
        <v>1.2077567512361913</v>
      </c>
      <c r="CF60" s="42">
        <f t="shared" si="57"/>
        <v>0.37317532239404649</v>
      </c>
      <c r="CG60" s="42">
        <f t="shared" si="58"/>
        <v>2.4775344960846404</v>
      </c>
      <c r="CH60" s="42">
        <f t="shared" si="59"/>
        <v>1.3795767852701586</v>
      </c>
      <c r="CI60" s="44">
        <f t="shared" si="60"/>
        <v>0.48748332390320426</v>
      </c>
      <c r="CJ60" s="44">
        <f t="shared" si="61"/>
        <v>5.4417509825965861E-2</v>
      </c>
      <c r="CL60" s="47">
        <f t="shared" si="62"/>
        <v>328.55258664719531</v>
      </c>
      <c r="CM60" s="42">
        <v>1</v>
      </c>
      <c r="CN60" s="42">
        <v>1</v>
      </c>
      <c r="CO60" s="141">
        <f t="shared" si="63"/>
        <v>2842.5581272037466</v>
      </c>
      <c r="CP60" s="45">
        <f t="shared" si="64"/>
        <v>13.684995203290672</v>
      </c>
      <c r="CQ60" s="42">
        <v>2</v>
      </c>
      <c r="CR60" s="41">
        <f t="shared" si="65"/>
        <v>99.695634720090084</v>
      </c>
      <c r="CS60" s="41">
        <f t="shared" si="66"/>
        <v>78.702492800174937</v>
      </c>
      <c r="CT60" s="42">
        <f t="shared" si="67"/>
        <v>1.9232594018830564</v>
      </c>
      <c r="CU60" s="41">
        <f t="shared" si="68"/>
        <v>2045.8589960761815</v>
      </c>
      <c r="CV60" s="41">
        <f t="shared" si="69"/>
        <v>30.005565072057816</v>
      </c>
      <c r="CW60" s="41">
        <f t="shared" si="70"/>
        <v>60.011130144115633</v>
      </c>
      <c r="CX60" s="41">
        <f t="shared" si="71"/>
        <v>2.9332974686531625</v>
      </c>
      <c r="CY60" s="41">
        <f t="shared" si="72"/>
        <v>29.902147360072121</v>
      </c>
      <c r="CZ60" s="41">
        <f t="shared" si="73"/>
        <v>59.804294720144242</v>
      </c>
      <c r="DA60" s="41">
        <f t="shared" si="74"/>
        <v>0.70166991289900438</v>
      </c>
      <c r="DB60" s="41">
        <f t="shared" si="75"/>
        <v>36.217560281414002</v>
      </c>
      <c r="DC60" s="151"/>
      <c r="DD60" s="151"/>
      <c r="DE60" s="153">
        <f t="shared" ref="DE60:DE64" si="155">CU60</f>
        <v>2045.8589960761815</v>
      </c>
      <c r="DF60" s="153">
        <f t="shared" ref="DF60:DF64" si="156">CW60</f>
        <v>60.011130144115633</v>
      </c>
      <c r="DG60" s="128"/>
      <c r="DH60" s="128"/>
      <c r="DI60" s="41">
        <f t="shared" si="78"/>
        <v>0.70166991289900438</v>
      </c>
      <c r="DJ60" s="41">
        <f t="shared" si="79"/>
        <v>36.217560281414002</v>
      </c>
      <c r="DK60" s="42" t="str">
        <f t="shared" si="80"/>
        <v>1176-39</v>
      </c>
      <c r="DL60" s="48">
        <f t="shared" si="81"/>
        <v>1.2667404954150129E-2</v>
      </c>
      <c r="DM60" s="48">
        <f t="shared" si="82"/>
        <v>3.0946315099417187E-4</v>
      </c>
      <c r="DN60" s="48">
        <f t="shared" si="83"/>
        <v>3.0436527990991436E-3</v>
      </c>
      <c r="DO60" s="48">
        <f t="shared" si="84"/>
        <v>2.974443841747279E-4</v>
      </c>
      <c r="DP60" s="48">
        <v>1.2667404954150129E-2</v>
      </c>
      <c r="DQ60" s="48">
        <f t="shared" si="85"/>
        <v>4.161908663793521</v>
      </c>
      <c r="DR60" s="48">
        <f t="shared" si="86"/>
        <v>0.41829899976784185</v>
      </c>
      <c r="DS60" s="48">
        <f t="shared" si="87"/>
        <v>328.55258664719531</v>
      </c>
      <c r="DT60" s="48">
        <f t="shared" si="88"/>
        <v>32.108170101798002</v>
      </c>
      <c r="DU60" s="48">
        <f t="shared" si="89"/>
        <v>0.97001214426213778</v>
      </c>
      <c r="DV60" s="48">
        <f t="shared" si="90"/>
        <v>9.5275693142784813E-3</v>
      </c>
      <c r="DW60" s="48"/>
      <c r="DX60" s="45">
        <f t="shared" si="91"/>
        <v>0.10050653043081638</v>
      </c>
      <c r="DY60" s="45">
        <f t="shared" si="92"/>
        <v>9.7726121804288926E-2</v>
      </c>
      <c r="DZ60" s="42"/>
      <c r="EA60" s="48">
        <f t="shared" si="93"/>
        <v>1.2213598646957529</v>
      </c>
      <c r="EB60" s="48">
        <f t="shared" si="94"/>
        <v>8.7735649525890427</v>
      </c>
      <c r="EC60" s="48">
        <f t="shared" si="95"/>
        <v>0.48748332390320431</v>
      </c>
      <c r="ED60" s="48">
        <f t="shared" si="96"/>
        <v>5.4417509825965868E-2</v>
      </c>
      <c r="EE60" s="48">
        <f t="shared" si="97"/>
        <v>1.1881486126030062E-2</v>
      </c>
      <c r="EF60" s="48">
        <f t="shared" si="98"/>
        <v>9.5275693142784813E-3</v>
      </c>
      <c r="EG60" s="42"/>
      <c r="EH60" s="48">
        <f t="shared" si="99"/>
        <v>7.1834397102729293</v>
      </c>
      <c r="EI60" s="48">
        <f t="shared" si="100"/>
        <v>0.11162947973328237</v>
      </c>
      <c r="EJ60" s="15"/>
      <c r="EK60" s="165">
        <v>3.077</v>
      </c>
      <c r="EL60" s="15"/>
      <c r="EN60" s="15"/>
      <c r="EO60" s="15"/>
      <c r="EP60" s="15"/>
      <c r="ER60" s="18"/>
    </row>
    <row r="61" spans="1:148" s="9" customFormat="1" x14ac:dyDescent="0.2">
      <c r="A61" s="9" t="s">
        <v>6</v>
      </c>
      <c r="B61" s="9" t="s">
        <v>96</v>
      </c>
      <c r="C61" s="42" t="s">
        <v>71</v>
      </c>
      <c r="D61" s="9">
        <v>3645.79</v>
      </c>
      <c r="E61" s="9">
        <v>9.9</v>
      </c>
      <c r="F61" s="9">
        <v>226.03</v>
      </c>
      <c r="G61" s="9">
        <v>2.4</v>
      </c>
      <c r="H61" s="9">
        <v>12.339</v>
      </c>
      <c r="I61" s="9">
        <v>0.31</v>
      </c>
      <c r="J61" s="9">
        <v>97.022999999999996</v>
      </c>
      <c r="K61" s="9">
        <v>0.72</v>
      </c>
      <c r="L61" s="9">
        <v>16.890999999999998</v>
      </c>
      <c r="M61" s="9">
        <v>0.34</v>
      </c>
      <c r="N61" s="42" t="s">
        <v>225</v>
      </c>
      <c r="O61" s="9">
        <v>1943.2460000000001</v>
      </c>
      <c r="P61" s="9">
        <v>6.9949479999999999</v>
      </c>
      <c r="Q61" s="9">
        <v>74.937160000000006</v>
      </c>
      <c r="R61" s="9">
        <v>0.42253299999999999</v>
      </c>
      <c r="S61" s="9">
        <v>2.6333899999999999</v>
      </c>
      <c r="T61" s="9">
        <v>0.14507700000000001</v>
      </c>
      <c r="U61" s="9">
        <v>91.66104</v>
      </c>
      <c r="V61" s="9">
        <v>0.62151900000000004</v>
      </c>
      <c r="W61" s="9">
        <v>7.7554160000000003</v>
      </c>
      <c r="X61" s="9">
        <v>0.68087600000000004</v>
      </c>
      <c r="Y61" s="42">
        <f t="shared" si="104"/>
        <v>1702.5439999999999</v>
      </c>
      <c r="Z61" s="42">
        <f t="shared" si="105"/>
        <v>12.121852066524488</v>
      </c>
      <c r="AA61" s="42">
        <f t="shared" si="106"/>
        <v>151.09284</v>
      </c>
      <c r="AB61" s="42">
        <f t="shared" si="107"/>
        <v>2.4369107772113856</v>
      </c>
      <c r="AC61" s="42">
        <f t="shared" si="108"/>
        <v>9.7056100000000001</v>
      </c>
      <c r="AD61" s="42">
        <f t="shared" si="109"/>
        <v>0.34226793003289108</v>
      </c>
      <c r="AE61" s="42">
        <f t="shared" si="110"/>
        <v>5.3619599999999963</v>
      </c>
      <c r="AF61" s="42"/>
      <c r="AG61" s="42">
        <f t="shared" si="111"/>
        <v>0.95114976074275503</v>
      </c>
      <c r="AH61" s="42">
        <f t="shared" si="112"/>
        <v>9.1355839999999979</v>
      </c>
      <c r="AI61" s="42">
        <f t="shared" si="113"/>
        <v>0.76104673140090418</v>
      </c>
      <c r="AJ61" s="42">
        <v>1</v>
      </c>
      <c r="AK61" s="42">
        <v>0</v>
      </c>
      <c r="AL61" s="42">
        <f t="shared" si="114"/>
        <v>1702.5439999999999</v>
      </c>
      <c r="AM61" s="42">
        <f t="shared" si="115"/>
        <v>12.121852066524488</v>
      </c>
      <c r="AN61" s="9">
        <v>0.99997100000000005</v>
      </c>
      <c r="AO61" s="42">
        <f t="shared" si="21"/>
        <v>1702.5439999999999</v>
      </c>
      <c r="AP61" s="42">
        <f t="shared" si="22"/>
        <v>12.121852066524488</v>
      </c>
      <c r="AQ61" s="42">
        <f t="shared" si="23"/>
        <v>151.09722181943278</v>
      </c>
      <c r="AR61" s="42">
        <f t="shared" si="24"/>
        <v>2.4369107772113856</v>
      </c>
      <c r="AS61" s="42">
        <f t="shared" si="25"/>
        <v>9.7061729417053098</v>
      </c>
      <c r="AT61" s="42">
        <f t="shared" si="26"/>
        <v>0.34226793003289108</v>
      </c>
      <c r="AU61" s="42">
        <f t="shared" si="0"/>
        <v>5.3624265040486128</v>
      </c>
      <c r="AV61" s="42">
        <f t="shared" si="27"/>
        <v>0.95114976074275503</v>
      </c>
      <c r="AW61" s="42">
        <f t="shared" si="28"/>
        <v>9.1366437584769944</v>
      </c>
      <c r="AX61" s="42">
        <f t="shared" si="29"/>
        <v>0.76104673140090418</v>
      </c>
      <c r="AY61" s="9">
        <v>110.7784</v>
      </c>
      <c r="AZ61" s="9">
        <v>1.001687</v>
      </c>
      <c r="BA61" s="42">
        <f t="shared" si="116"/>
        <v>1702.5439999999999</v>
      </c>
      <c r="BB61" s="42">
        <f t="shared" si="117"/>
        <v>12.121852066524488</v>
      </c>
      <c r="BC61" s="42">
        <f t="shared" si="118"/>
        <v>151.35212283264215</v>
      </c>
      <c r="BD61" s="42">
        <f t="shared" si="119"/>
        <v>2.441021845692541</v>
      </c>
      <c r="BE61" s="42">
        <f t="shared" si="120"/>
        <v>9.7061729417053098</v>
      </c>
      <c r="BF61" s="42">
        <f t="shared" si="121"/>
        <v>0.34226793003289108</v>
      </c>
      <c r="BG61" s="42">
        <f t="shared" si="122"/>
        <v>594.0410282360989</v>
      </c>
      <c r="BH61" s="42">
        <f t="shared" si="123"/>
        <v>105.36684865546522</v>
      </c>
      <c r="BI61" s="42">
        <f t="shared" si="124"/>
        <v>9.1366437584769944</v>
      </c>
      <c r="BJ61" s="42">
        <f t="shared" si="125"/>
        <v>0.76104673140090418</v>
      </c>
      <c r="BL61" s="45">
        <f t="shared" si="40"/>
        <v>1702.5368970238005</v>
      </c>
      <c r="BM61" s="45">
        <f t="shared" si="41"/>
        <v>12.121852350898068</v>
      </c>
      <c r="BN61" s="141">
        <f t="shared" si="42"/>
        <v>150.95692515778751</v>
      </c>
      <c r="BO61" s="45">
        <f t="shared" si="43"/>
        <v>2.442079970608519</v>
      </c>
      <c r="BP61" s="45">
        <f t="shared" si="44"/>
        <v>594.0410282360989</v>
      </c>
      <c r="BQ61" s="45">
        <f t="shared" si="45"/>
        <v>105.36684865546522</v>
      </c>
      <c r="BR61" s="45">
        <f t="shared" si="46"/>
        <v>7.904872461952162</v>
      </c>
      <c r="BS61" s="45">
        <f t="shared" si="47"/>
        <v>0.34359744479894866</v>
      </c>
      <c r="BT61" s="45">
        <f t="shared" si="48"/>
        <v>8.972949812736255</v>
      </c>
      <c r="BU61" s="45">
        <f t="shared" si="49"/>
        <v>0.76160148884409895</v>
      </c>
      <c r="BV61" s="41">
        <f t="shared" si="50"/>
        <v>0.8809669759583344</v>
      </c>
      <c r="BW61" s="46">
        <f t="shared" si="51"/>
        <v>9.5359996219098783E-2</v>
      </c>
      <c r="BX61" s="42"/>
      <c r="BY61" s="41">
        <f t="shared" si="101"/>
        <v>0.48709018776176322</v>
      </c>
      <c r="BZ61" s="42">
        <v>0</v>
      </c>
      <c r="CA61" s="42">
        <f t="shared" si="52"/>
        <v>3.85038581172507</v>
      </c>
      <c r="CB61" s="42">
        <f t="shared" si="53"/>
        <v>0.16736294390158199</v>
      </c>
      <c r="CC61" s="42">
        <f t="shared" si="54"/>
        <v>4.3706358090625805</v>
      </c>
      <c r="CD61" s="42">
        <f t="shared" si="55"/>
        <v>0.37096861220071053</v>
      </c>
      <c r="CE61" s="42">
        <f t="shared" si="56"/>
        <v>4.0544866502270924</v>
      </c>
      <c r="CF61" s="42">
        <f t="shared" si="57"/>
        <v>0.38219047484699387</v>
      </c>
      <c r="CG61" s="42">
        <f t="shared" si="58"/>
        <v>4.6023140036736745</v>
      </c>
      <c r="CH61" s="42">
        <f t="shared" si="59"/>
        <v>0.84714493390899137</v>
      </c>
      <c r="CI61" s="44">
        <f t="shared" si="60"/>
        <v>0.8809669759583344</v>
      </c>
      <c r="CJ61" s="44">
        <f t="shared" si="61"/>
        <v>8.4009007496537655E-2</v>
      </c>
      <c r="CL61" s="47">
        <f t="shared" si="62"/>
        <v>389.53986820259973</v>
      </c>
      <c r="CM61" s="42">
        <v>1</v>
      </c>
      <c r="CN61" s="42">
        <v>1</v>
      </c>
      <c r="CO61" s="141">
        <f t="shared" si="63"/>
        <v>1698.1662612147379</v>
      </c>
      <c r="CP61" s="45">
        <f t="shared" si="64"/>
        <v>12.168686129907826</v>
      </c>
      <c r="CQ61" s="42">
        <v>2</v>
      </c>
      <c r="CR61" s="41">
        <f t="shared" si="65"/>
        <v>99.743286866986381</v>
      </c>
      <c r="CS61" s="41">
        <f t="shared" si="66"/>
        <v>11.249343211248719</v>
      </c>
      <c r="CT61" s="42">
        <f t="shared" si="67"/>
        <v>0.1990384942922335</v>
      </c>
      <c r="CU61" s="41">
        <f t="shared" si="68"/>
        <v>475.16309742954559</v>
      </c>
      <c r="CV61" s="41">
        <f t="shared" si="69"/>
        <v>7.4398756844950436</v>
      </c>
      <c r="CW61" s="41">
        <f t="shared" si="70"/>
        <v>14.879751368990087</v>
      </c>
      <c r="CX61" s="41">
        <f t="shared" si="71"/>
        <v>3.1315039929413646</v>
      </c>
      <c r="CY61" s="41">
        <f t="shared" si="72"/>
        <v>7.3911892305243594</v>
      </c>
      <c r="CZ61" s="41">
        <f t="shared" si="73"/>
        <v>14.782378461048719</v>
      </c>
      <c r="DA61" s="41">
        <f t="shared" si="74"/>
        <v>7.3194145373869519</v>
      </c>
      <c r="DB61" s="41">
        <f t="shared" si="75"/>
        <v>0.34868605064649272</v>
      </c>
      <c r="DC61" s="151"/>
      <c r="DD61" s="151"/>
      <c r="DE61" s="153">
        <f t="shared" si="155"/>
        <v>475.16309742954559</v>
      </c>
      <c r="DF61" s="153">
        <f t="shared" si="156"/>
        <v>14.879751368990087</v>
      </c>
      <c r="DG61" s="128"/>
      <c r="DH61" s="128"/>
      <c r="DI61" s="41">
        <f t="shared" si="78"/>
        <v>7.3194145373869519</v>
      </c>
      <c r="DJ61" s="41">
        <f t="shared" si="79"/>
        <v>0.34868605064649272</v>
      </c>
      <c r="DK61" s="42" t="str">
        <f t="shared" si="80"/>
        <v>1176-40</v>
      </c>
      <c r="DL61" s="48">
        <f t="shared" si="81"/>
        <v>8.8665875859533408E-2</v>
      </c>
      <c r="DM61" s="48">
        <f t="shared" si="82"/>
        <v>1.5671518395125976E-3</v>
      </c>
      <c r="DN61" s="48">
        <f t="shared" si="83"/>
        <v>2.5671313301361487E-3</v>
      </c>
      <c r="DO61" s="48">
        <f t="shared" si="84"/>
        <v>2.1865693169412844E-4</v>
      </c>
      <c r="DP61" s="48">
        <v>8.8665875859533408E-2</v>
      </c>
      <c r="DQ61" s="48">
        <f t="shared" si="85"/>
        <v>34.538893596390714</v>
      </c>
      <c r="DR61" s="48">
        <f t="shared" si="86"/>
        <v>2.9843472653082714</v>
      </c>
      <c r="DS61" s="48">
        <f t="shared" si="87"/>
        <v>389.53986820259973</v>
      </c>
      <c r="DT61" s="48">
        <f t="shared" si="88"/>
        <v>33.179289019544754</v>
      </c>
      <c r="DU61" s="48">
        <f t="shared" si="89"/>
        <v>0.97887895818853043</v>
      </c>
      <c r="DV61" s="48">
        <f t="shared" si="90"/>
        <v>7.204188892205623E-3</v>
      </c>
      <c r="DW61" s="48"/>
      <c r="DX61" s="45">
        <f t="shared" si="91"/>
        <v>8.6405410091657753E-2</v>
      </c>
      <c r="DY61" s="45">
        <f t="shared" si="92"/>
        <v>8.5175592353715648E-2</v>
      </c>
      <c r="DZ61" s="42"/>
      <c r="EA61" s="48">
        <f t="shared" si="93"/>
        <v>66.20353848328827</v>
      </c>
      <c r="EB61" s="48">
        <f t="shared" si="94"/>
        <v>13.017941607750128</v>
      </c>
      <c r="EC61" s="48">
        <f t="shared" si="95"/>
        <v>0.8809669759583344</v>
      </c>
      <c r="ED61" s="48">
        <f t="shared" si="96"/>
        <v>8.4009007496537655E-2</v>
      </c>
      <c r="EE61" s="48">
        <f t="shared" si="97"/>
        <v>0.38420034412629761</v>
      </c>
      <c r="EF61" s="48">
        <f t="shared" si="98"/>
        <v>7.204188892205623E-3</v>
      </c>
      <c r="EG61" s="42"/>
      <c r="EH61" s="48">
        <f t="shared" si="99"/>
        <v>0.19663513319663783</v>
      </c>
      <c r="EI61" s="48">
        <f t="shared" si="100"/>
        <v>9.5359996219098783E-2</v>
      </c>
      <c r="EJ61" s="15"/>
      <c r="EK61" s="165">
        <v>3.331</v>
      </c>
      <c r="EL61" s="15"/>
      <c r="EN61" s="15"/>
      <c r="EO61" s="15"/>
      <c r="EP61" s="15"/>
      <c r="ER61" s="18"/>
    </row>
    <row r="62" spans="1:148" s="9" customFormat="1" x14ac:dyDescent="0.2">
      <c r="A62" s="9" t="s">
        <v>7</v>
      </c>
      <c r="B62" s="9" t="s">
        <v>96</v>
      </c>
      <c r="C62" s="42" t="s">
        <v>71</v>
      </c>
      <c r="D62" s="9">
        <v>4950.5</v>
      </c>
      <c r="E62" s="9">
        <v>11</v>
      </c>
      <c r="F62" s="9">
        <v>325.76</v>
      </c>
      <c r="G62" s="9">
        <v>2.2999999999999998</v>
      </c>
      <c r="H62" s="9">
        <v>23.962</v>
      </c>
      <c r="I62" s="9">
        <v>0.51</v>
      </c>
      <c r="J62" s="9">
        <v>117.685</v>
      </c>
      <c r="K62" s="9">
        <v>0.7</v>
      </c>
      <c r="L62" s="9">
        <v>26.187999999999999</v>
      </c>
      <c r="M62" s="9">
        <v>0.44</v>
      </c>
      <c r="N62" s="42" t="s">
        <v>225</v>
      </c>
      <c r="O62" s="9">
        <v>1980.1690000000001</v>
      </c>
      <c r="P62" s="9">
        <v>6.1658280000000003</v>
      </c>
      <c r="Q62" s="9">
        <v>75.432379999999995</v>
      </c>
      <c r="R62" s="9">
        <v>0.46459400000000001</v>
      </c>
      <c r="S62" s="9">
        <v>2.5972409999999999</v>
      </c>
      <c r="T62" s="9">
        <v>0.15140700000000001</v>
      </c>
      <c r="U62" s="9">
        <v>91.978430000000003</v>
      </c>
      <c r="V62" s="9">
        <v>0.65969</v>
      </c>
      <c r="W62" s="9">
        <v>9.0691170000000003</v>
      </c>
      <c r="X62" s="9">
        <v>0.545045</v>
      </c>
      <c r="Y62" s="42">
        <f t="shared" si="104"/>
        <v>2970.3310000000001</v>
      </c>
      <c r="Z62" s="42">
        <f t="shared" si="105"/>
        <v>12.610211533736617</v>
      </c>
      <c r="AA62" s="42">
        <f t="shared" si="106"/>
        <v>250.32762</v>
      </c>
      <c r="AB62" s="42">
        <f t="shared" si="107"/>
        <v>2.3464542579892749</v>
      </c>
      <c r="AC62" s="42">
        <f t="shared" si="108"/>
        <v>21.364758999999999</v>
      </c>
      <c r="AD62" s="42">
        <f t="shared" si="109"/>
        <v>0.53200007485807743</v>
      </c>
      <c r="AE62" s="42">
        <f t="shared" si="110"/>
        <v>25.706569999999999</v>
      </c>
      <c r="AF62" s="42"/>
      <c r="AG62" s="42">
        <f t="shared" si="111"/>
        <v>0.96186844012058115</v>
      </c>
      <c r="AH62" s="42">
        <f t="shared" si="112"/>
        <v>17.118882999999997</v>
      </c>
      <c r="AI62" s="42">
        <f t="shared" si="113"/>
        <v>0.70048130026789435</v>
      </c>
      <c r="AJ62" s="42">
        <v>1</v>
      </c>
      <c r="AK62" s="42">
        <v>0</v>
      </c>
      <c r="AL62" s="42">
        <f t="shared" si="114"/>
        <v>2970.3310000000001</v>
      </c>
      <c r="AM62" s="42">
        <f t="shared" si="115"/>
        <v>12.610211533736617</v>
      </c>
      <c r="AN62" s="9">
        <v>0.99997100000000005</v>
      </c>
      <c r="AO62" s="42">
        <f t="shared" si="21"/>
        <v>2970.3310000000001</v>
      </c>
      <c r="AP62" s="42">
        <f t="shared" si="22"/>
        <v>12.610211533736617</v>
      </c>
      <c r="AQ62" s="42">
        <f t="shared" si="23"/>
        <v>250.33487971151163</v>
      </c>
      <c r="AR62" s="42">
        <f t="shared" si="24"/>
        <v>2.3464542579892749</v>
      </c>
      <c r="AS62" s="42">
        <f t="shared" si="25"/>
        <v>21.365998191958568</v>
      </c>
      <c r="AT62" s="42">
        <f t="shared" si="26"/>
        <v>0.53200007485807743</v>
      </c>
      <c r="AU62" s="42">
        <f t="shared" si="0"/>
        <v>25.708806536449554</v>
      </c>
      <c r="AV62" s="42">
        <f t="shared" si="27"/>
        <v>0.96186844012058115</v>
      </c>
      <c r="AW62" s="42">
        <f t="shared" si="28"/>
        <v>17.12086884801759</v>
      </c>
      <c r="AX62" s="42">
        <f t="shared" si="29"/>
        <v>0.70048130026789435</v>
      </c>
      <c r="AY62" s="9">
        <v>110.9444</v>
      </c>
      <c r="AZ62" s="9">
        <v>1.0016879999999999</v>
      </c>
      <c r="BA62" s="42">
        <f t="shared" si="116"/>
        <v>2970.3310000000001</v>
      </c>
      <c r="BB62" s="42">
        <f t="shared" si="117"/>
        <v>12.610211533736617</v>
      </c>
      <c r="BC62" s="42">
        <f t="shared" si="118"/>
        <v>250.75744498846464</v>
      </c>
      <c r="BD62" s="42">
        <f t="shared" si="119"/>
        <v>2.3504150727767605</v>
      </c>
      <c r="BE62" s="42">
        <f t="shared" si="120"/>
        <v>21.365998191958568</v>
      </c>
      <c r="BF62" s="42">
        <f t="shared" si="121"/>
        <v>0.53200007485807743</v>
      </c>
      <c r="BG62" s="42">
        <f t="shared" si="122"/>
        <v>2852.2481159024742</v>
      </c>
      <c r="BH62" s="42">
        <f t="shared" si="123"/>
        <v>106.71391696811381</v>
      </c>
      <c r="BI62" s="42">
        <f t="shared" si="124"/>
        <v>17.12086884801759</v>
      </c>
      <c r="BJ62" s="42">
        <f t="shared" si="125"/>
        <v>0.70048130026789435</v>
      </c>
      <c r="BL62" s="45">
        <f t="shared" si="40"/>
        <v>2970.3192903937193</v>
      </c>
      <c r="BM62" s="45">
        <f t="shared" si="41"/>
        <v>12.610212275715735</v>
      </c>
      <c r="BN62" s="141">
        <f t="shared" si="42"/>
        <v>248.85992988439821</v>
      </c>
      <c r="BO62" s="45">
        <f t="shared" si="43"/>
        <v>2.3527282649923533</v>
      </c>
      <c r="BP62" s="45">
        <f t="shared" si="44"/>
        <v>2852.2481159024742</v>
      </c>
      <c r="BQ62" s="45">
        <f t="shared" si="45"/>
        <v>106.71391696811381</v>
      </c>
      <c r="BR62" s="45">
        <f t="shared" si="46"/>
        <v>18.355273969734942</v>
      </c>
      <c r="BS62" s="45">
        <f t="shared" si="47"/>
        <v>0.53293183508131281</v>
      </c>
      <c r="BT62" s="45">
        <f t="shared" si="48"/>
        <v>16.334903357199504</v>
      </c>
      <c r="BU62" s="45">
        <f t="shared" si="49"/>
        <v>0.70112580921714118</v>
      </c>
      <c r="BV62" s="41">
        <f t="shared" si="50"/>
        <v>1.1236842709354</v>
      </c>
      <c r="BW62" s="46">
        <f t="shared" si="51"/>
        <v>5.1819703419312697E-2</v>
      </c>
      <c r="BX62" s="42"/>
      <c r="BY62" s="41">
        <f t="shared" si="101"/>
        <v>0.30769824764567627</v>
      </c>
      <c r="BZ62" s="42">
        <v>0</v>
      </c>
      <c r="CA62" s="42">
        <f t="shared" si="52"/>
        <v>5.6478856355437372</v>
      </c>
      <c r="CB62" s="42">
        <f t="shared" si="53"/>
        <v>0.16398219176911449</v>
      </c>
      <c r="CC62" s="42">
        <f t="shared" si="54"/>
        <v>5.0262211384717617</v>
      </c>
      <c r="CD62" s="42">
        <f t="shared" si="55"/>
        <v>0.21573518287527108</v>
      </c>
      <c r="CE62" s="42">
        <f t="shared" si="56"/>
        <v>12.707388334191204</v>
      </c>
      <c r="CF62" s="42">
        <f t="shared" si="57"/>
        <v>0.55758990311925327</v>
      </c>
      <c r="CG62" s="42">
        <f t="shared" si="58"/>
        <v>11.308682218727743</v>
      </c>
      <c r="CH62" s="42">
        <f t="shared" si="59"/>
        <v>0.73356599531372613</v>
      </c>
      <c r="CI62" s="44">
        <f t="shared" si="60"/>
        <v>1.1236842709354</v>
      </c>
      <c r="CJ62" s="44">
        <f t="shared" si="61"/>
        <v>5.8228985656819041E-2</v>
      </c>
      <c r="CL62" s="47">
        <f t="shared" si="62"/>
        <v>590.96470460845148</v>
      </c>
      <c r="CM62" s="42">
        <v>1</v>
      </c>
      <c r="CN62" s="42">
        <v>1</v>
      </c>
      <c r="CO62" s="141">
        <f t="shared" si="63"/>
        <v>2965.2930692552477</v>
      </c>
      <c r="CP62" s="45">
        <f t="shared" si="64"/>
        <v>12.651640024429325</v>
      </c>
      <c r="CQ62" s="42">
        <v>2</v>
      </c>
      <c r="CR62" s="41">
        <f t="shared" si="65"/>
        <v>99.830785156507361</v>
      </c>
      <c r="CS62" s="41">
        <f t="shared" si="66"/>
        <v>11.9155103460517</v>
      </c>
      <c r="CT62" s="42">
        <f t="shared" si="67"/>
        <v>0.12358989742654003</v>
      </c>
      <c r="CU62" s="41">
        <f t="shared" si="68"/>
        <v>499.7327924723254</v>
      </c>
      <c r="CV62" s="41">
        <f t="shared" si="69"/>
        <v>4.6136097433487802</v>
      </c>
      <c r="CW62" s="41">
        <f t="shared" si="70"/>
        <v>9.2272194866975603</v>
      </c>
      <c r="CX62" s="41">
        <f t="shared" si="71"/>
        <v>1.8464306576816354</v>
      </c>
      <c r="CY62" s="41">
        <f t="shared" si="72"/>
        <v>4.527365601111466</v>
      </c>
      <c r="CZ62" s="41">
        <f t="shared" si="73"/>
        <v>9.054731202222932</v>
      </c>
      <c r="DA62" s="41">
        <f t="shared" si="74"/>
        <v>21.317941775692834</v>
      </c>
      <c r="DB62" s="41">
        <f t="shared" si="75"/>
        <v>0.23138133728475227</v>
      </c>
      <c r="DC62" s="151"/>
      <c r="DD62" s="151"/>
      <c r="DE62" s="151">
        <f t="shared" si="155"/>
        <v>499.7327924723254</v>
      </c>
      <c r="DF62" s="151">
        <f t="shared" si="156"/>
        <v>9.2272194866975603</v>
      </c>
      <c r="DG62" s="47"/>
      <c r="DH62" s="47"/>
      <c r="DI62" s="41">
        <f t="shared" si="78"/>
        <v>21.317941775692834</v>
      </c>
      <c r="DJ62" s="41">
        <f t="shared" si="79"/>
        <v>0.23138133728475227</v>
      </c>
      <c r="DK62" s="42" t="str">
        <f t="shared" si="80"/>
        <v>1176-41</v>
      </c>
      <c r="DL62" s="48">
        <f t="shared" si="81"/>
        <v>8.3782215160920132E-2</v>
      </c>
      <c r="DM62" s="48">
        <f t="shared" si="82"/>
        <v>8.6827679067768822E-4</v>
      </c>
      <c r="DN62" s="48">
        <f t="shared" si="83"/>
        <v>1.6921484349265126E-3</v>
      </c>
      <c r="DO62" s="48">
        <f t="shared" si="84"/>
        <v>7.2984713282278E-5</v>
      </c>
      <c r="DP62" s="48">
        <v>8.3782215160920132E-2</v>
      </c>
      <c r="DQ62" s="48">
        <f t="shared" si="85"/>
        <v>49.512332034014896</v>
      </c>
      <c r="DR62" s="48">
        <f t="shared" si="86"/>
        <v>2.1761060822638099</v>
      </c>
      <c r="DS62" s="48">
        <f t="shared" si="87"/>
        <v>590.96470460845148</v>
      </c>
      <c r="DT62" s="48">
        <f t="shared" si="88"/>
        <v>25.489128870462874</v>
      </c>
      <c r="DU62" s="48">
        <f t="shared" si="89"/>
        <v>0.97184865823769417</v>
      </c>
      <c r="DV62" s="48">
        <f t="shared" si="90"/>
        <v>1.8422932876385736E-3</v>
      </c>
      <c r="DW62" s="48"/>
      <c r="DX62" s="45">
        <f t="shared" si="91"/>
        <v>4.3950789487532685E-2</v>
      </c>
      <c r="DY62" s="45">
        <f t="shared" si="92"/>
        <v>4.3131389525793942E-2</v>
      </c>
      <c r="DZ62" s="42"/>
      <c r="EA62" s="48">
        <f t="shared" si="93"/>
        <v>174.610651408927</v>
      </c>
      <c r="EB62" s="48">
        <f t="shared" si="94"/>
        <v>9.9422302391164799</v>
      </c>
      <c r="EC62" s="48">
        <f t="shared" si="95"/>
        <v>1.1236842709354</v>
      </c>
      <c r="ED62" s="48">
        <f t="shared" si="96"/>
        <v>5.8228985656819041E-2</v>
      </c>
      <c r="EE62" s="48">
        <f t="shared" si="97"/>
        <v>0.62438255862865688</v>
      </c>
      <c r="EF62" s="48">
        <f t="shared" si="98"/>
        <v>1.8422932876385736E-3</v>
      </c>
      <c r="EG62" s="42"/>
      <c r="EH62" s="48">
        <f t="shared" si="99"/>
        <v>5.6939425853422945E-2</v>
      </c>
      <c r="EI62" s="48">
        <f t="shared" si="100"/>
        <v>5.1819703419312697E-2</v>
      </c>
      <c r="EJ62" s="15"/>
      <c r="EK62" s="165">
        <v>3.5790000000000002</v>
      </c>
      <c r="EL62" s="15"/>
      <c r="EN62" s="15"/>
      <c r="EO62" s="15"/>
      <c r="EP62" s="15"/>
      <c r="ER62" s="18"/>
    </row>
    <row r="63" spans="1:148" s="9" customFormat="1" x14ac:dyDescent="0.2">
      <c r="A63" s="9" t="s">
        <v>8</v>
      </c>
      <c r="B63" s="9" t="s">
        <v>96</v>
      </c>
      <c r="C63" s="42" t="s">
        <v>71</v>
      </c>
      <c r="D63" s="9">
        <v>3943.56</v>
      </c>
      <c r="E63" s="9">
        <v>9</v>
      </c>
      <c r="F63" s="9">
        <v>217.9</v>
      </c>
      <c r="G63" s="9">
        <v>2.1</v>
      </c>
      <c r="H63" s="9">
        <v>10.417</v>
      </c>
      <c r="I63" s="9">
        <v>0.27</v>
      </c>
      <c r="J63" s="9">
        <v>93.558000000000007</v>
      </c>
      <c r="K63" s="9">
        <v>0.67</v>
      </c>
      <c r="L63" s="9">
        <v>18.518000000000001</v>
      </c>
      <c r="M63" s="9">
        <v>0.4</v>
      </c>
      <c r="N63" s="42" t="s">
        <v>225</v>
      </c>
      <c r="O63" s="9">
        <v>1931.722</v>
      </c>
      <c r="P63" s="9">
        <v>5.3876850000000003</v>
      </c>
      <c r="Q63" s="9">
        <v>75.428160000000005</v>
      </c>
      <c r="R63" s="9">
        <v>0.41638199999999997</v>
      </c>
      <c r="S63" s="9">
        <v>2.6658499999999998</v>
      </c>
      <c r="T63" s="9">
        <v>0.133632</v>
      </c>
      <c r="U63" s="9">
        <v>91.770009999999999</v>
      </c>
      <c r="V63" s="9">
        <v>0.56626900000000002</v>
      </c>
      <c r="W63" s="9">
        <v>8.6205859999999994</v>
      </c>
      <c r="X63" s="9">
        <v>0.47195199999999998</v>
      </c>
      <c r="Y63" s="42">
        <f t="shared" si="104"/>
        <v>2011.838</v>
      </c>
      <c r="Z63" s="42">
        <f t="shared" si="105"/>
        <v>10.4893827110667</v>
      </c>
      <c r="AA63" s="42">
        <f t="shared" si="106"/>
        <v>142.47183999999999</v>
      </c>
      <c r="AB63" s="42">
        <f t="shared" si="107"/>
        <v>2.1408815870860303</v>
      </c>
      <c r="AC63" s="42">
        <f t="shared" si="108"/>
        <v>7.75115</v>
      </c>
      <c r="AD63" s="42">
        <f t="shared" si="109"/>
        <v>0.30125987357097528</v>
      </c>
      <c r="AE63" s="42">
        <f t="shared" si="110"/>
        <v>1.7879900000000077</v>
      </c>
      <c r="AF63" s="42"/>
      <c r="AG63" s="42">
        <f t="shared" si="111"/>
        <v>0.877246020430415</v>
      </c>
      <c r="AH63" s="42">
        <f t="shared" si="112"/>
        <v>9.8974140000000013</v>
      </c>
      <c r="AI63" s="42">
        <f t="shared" si="113"/>
        <v>0.61865878342103897</v>
      </c>
      <c r="AJ63" s="42">
        <v>1</v>
      </c>
      <c r="AK63" s="42">
        <v>0</v>
      </c>
      <c r="AL63" s="42">
        <f t="shared" si="114"/>
        <v>2011.838</v>
      </c>
      <c r="AM63" s="42">
        <f t="shared" si="115"/>
        <v>10.4893827110667</v>
      </c>
      <c r="AN63" s="9">
        <v>0.99997100000000005</v>
      </c>
      <c r="AO63" s="42">
        <f>AL63</f>
        <v>2011.838</v>
      </c>
      <c r="AP63" s="42">
        <f>AM63</f>
        <v>10.4893827110667</v>
      </c>
      <c r="AQ63" s="42">
        <f>AA63*($AQ$19/AN63-$AQ$19+1)</f>
        <v>142.47597180318229</v>
      </c>
      <c r="AR63" s="42">
        <f>AB63</f>
        <v>2.1408815870860303</v>
      </c>
      <c r="AS63" s="42">
        <f>AC63*($AS$19/AN63-$AS$19+1)</f>
        <v>7.751599579737813</v>
      </c>
      <c r="AT63" s="42">
        <f>AD63</f>
        <v>0.30125987357097528</v>
      </c>
      <c r="AU63" s="42">
        <f t="shared" si="0"/>
        <v>1.788145559641237</v>
      </c>
      <c r="AV63" s="42">
        <f>AG63</f>
        <v>0.877246020430415</v>
      </c>
      <c r="AW63" s="42">
        <f>AH63*($AW$19/AN63-$AW$19+1)</f>
        <v>9.898562133319869</v>
      </c>
      <c r="AX63" s="42">
        <f>AI63</f>
        <v>0.61865878342103897</v>
      </c>
      <c r="AY63" s="9">
        <v>110.9862</v>
      </c>
      <c r="AZ63" s="9">
        <v>1.0016879999999999</v>
      </c>
      <c r="BA63" s="42">
        <f t="shared" si="116"/>
        <v>2011.838</v>
      </c>
      <c r="BB63" s="42">
        <f t="shared" si="117"/>
        <v>10.4893827110667</v>
      </c>
      <c r="BC63" s="42">
        <f t="shared" si="118"/>
        <v>142.71647124358606</v>
      </c>
      <c r="BD63" s="42">
        <f t="shared" si="119"/>
        <v>2.1444953952050314</v>
      </c>
      <c r="BE63" s="42">
        <f t="shared" si="120"/>
        <v>7.751599579737813</v>
      </c>
      <c r="BF63" s="42">
        <f t="shared" si="121"/>
        <v>0.30125987357097528</v>
      </c>
      <c r="BG63" s="42">
        <f t="shared" si="122"/>
        <v>198.45948071145426</v>
      </c>
      <c r="BH63" s="42">
        <f t="shared" si="123"/>
        <v>97.36220227269412</v>
      </c>
      <c r="BI63" s="42">
        <f t="shared" si="124"/>
        <v>9.898562133319869</v>
      </c>
      <c r="BJ63" s="42">
        <f t="shared" si="125"/>
        <v>0.61865878342103897</v>
      </c>
      <c r="BL63" s="45">
        <f t="shared" si="40"/>
        <v>2011.8312909742456</v>
      </c>
      <c r="BM63" s="45">
        <f t="shared" si="41"/>
        <v>10.489383004179185</v>
      </c>
      <c r="BN63" s="141">
        <f t="shared" si="42"/>
        <v>142.58444210485314</v>
      </c>
      <c r="BO63" s="45">
        <f t="shared" si="43"/>
        <v>2.1454799466535994</v>
      </c>
      <c r="BP63" s="45">
        <f t="shared" si="44"/>
        <v>198.45948071145426</v>
      </c>
      <c r="BQ63" s="45">
        <f t="shared" si="45"/>
        <v>97.36220227269412</v>
      </c>
      <c r="BR63" s="45">
        <f t="shared" si="46"/>
        <v>6.0581795592044365</v>
      </c>
      <c r="BS63" s="45">
        <f t="shared" si="47"/>
        <v>0.30243899984344258</v>
      </c>
      <c r="BT63" s="45">
        <f t="shared" si="48"/>
        <v>9.84387463881502</v>
      </c>
      <c r="BU63" s="45">
        <f t="shared" si="49"/>
        <v>0.61924040522411283</v>
      </c>
      <c r="BV63" s="41">
        <f t="shared" si="50"/>
        <v>0.61542632159461397</v>
      </c>
      <c r="BW63" s="46">
        <f t="shared" si="51"/>
        <v>8.0308367597187777E-2</v>
      </c>
      <c r="BX63" s="42"/>
      <c r="BY63" s="41">
        <f t="shared" si="101"/>
        <v>0.68335083400250263</v>
      </c>
      <c r="BZ63" s="42">
        <v>0</v>
      </c>
      <c r="CA63" s="42">
        <f t="shared" si="52"/>
        <v>4.1398620543192655</v>
      </c>
      <c r="CB63" s="42">
        <f t="shared" si="53"/>
        <v>0.20667194277789924</v>
      </c>
      <c r="CC63" s="42">
        <f t="shared" si="54"/>
        <v>6.7268199442503285</v>
      </c>
      <c r="CD63" s="42">
        <f t="shared" si="55"/>
        <v>0.42315844735794522</v>
      </c>
      <c r="CE63" s="42">
        <f t="shared" si="56"/>
        <v>1.9183175048851711</v>
      </c>
      <c r="CF63" s="42">
        <f t="shared" si="57"/>
        <v>0.36630948739814684</v>
      </c>
      <c r="CG63" s="42">
        <f t="shared" si="58"/>
        <v>3.1170546945646915</v>
      </c>
      <c r="CH63" s="42">
        <f t="shared" si="59"/>
        <v>0.75001450054816299</v>
      </c>
      <c r="CI63" s="44">
        <f t="shared" si="60"/>
        <v>0.61542632159461386</v>
      </c>
      <c r="CJ63" s="44">
        <f t="shared" si="61"/>
        <v>4.9423883263605355E-2</v>
      </c>
      <c r="CL63" s="47">
        <f t="shared" si="62"/>
        <v>299.07613220624927</v>
      </c>
      <c r="CM63" s="42">
        <v>1</v>
      </c>
      <c r="CN63" s="42">
        <v>1</v>
      </c>
      <c r="CO63" s="141">
        <f t="shared" si="63"/>
        <v>2005.1044710299952</v>
      </c>
      <c r="CP63" s="45">
        <f t="shared" si="64"/>
        <v>10.545435926500788</v>
      </c>
      <c r="CQ63" s="42">
        <v>2</v>
      </c>
      <c r="CR63" s="41">
        <f t="shared" si="65"/>
        <v>99.665636975902046</v>
      </c>
      <c r="CS63" s="41">
        <f t="shared" si="66"/>
        <v>14.062575421485958</v>
      </c>
      <c r="CT63" s="42">
        <f t="shared" si="67"/>
        <v>0.22415361154737687</v>
      </c>
      <c r="CU63" s="41">
        <f t="shared" si="68"/>
        <v>576.71821935428761</v>
      </c>
      <c r="CV63" s="41">
        <f t="shared" si="69"/>
        <v>7.9320165691773736</v>
      </c>
      <c r="CW63" s="41">
        <f t="shared" si="70"/>
        <v>15.864033138354747</v>
      </c>
      <c r="CX63" s="41">
        <f t="shared" si="71"/>
        <v>2.7507424953761008</v>
      </c>
      <c r="CY63" s="41">
        <f t="shared" si="72"/>
        <v>7.8682051976441869</v>
      </c>
      <c r="CZ63" s="41">
        <f t="shared" si="73"/>
        <v>15.736410395288374</v>
      </c>
      <c r="DA63" s="41">
        <f t="shared" si="74"/>
        <v>2.5888843738775669</v>
      </c>
      <c r="DB63" s="41">
        <f t="shared" si="75"/>
        <v>0.66204365065962878</v>
      </c>
      <c r="DC63" s="151"/>
      <c r="DD63" s="151"/>
      <c r="DE63" s="153">
        <f t="shared" si="155"/>
        <v>576.71821935428761</v>
      </c>
      <c r="DF63" s="153">
        <f t="shared" si="156"/>
        <v>15.864033138354747</v>
      </c>
      <c r="DG63" s="128"/>
      <c r="DH63" s="128"/>
      <c r="DI63" s="41">
        <f t="shared" si="78"/>
        <v>2.5888843738775669</v>
      </c>
      <c r="DJ63" s="41">
        <f t="shared" si="79"/>
        <v>0.66204365065962878</v>
      </c>
      <c r="DK63" s="42" t="str">
        <f t="shared" si="80"/>
        <v>1176-42</v>
      </c>
      <c r="DL63" s="48">
        <f t="shared" si="81"/>
        <v>7.0872961736172954E-2</v>
      </c>
      <c r="DM63" s="48">
        <f t="shared" si="82"/>
        <v>1.1286370013081971E-3</v>
      </c>
      <c r="DN63" s="48">
        <f t="shared" si="83"/>
        <v>3.3436302409795065E-3</v>
      </c>
      <c r="DO63" s="48">
        <f t="shared" si="84"/>
        <v>2.1105617681370096E-4</v>
      </c>
      <c r="DP63" s="48">
        <v>7.0872961736172954E-2</v>
      </c>
      <c r="DQ63" s="48">
        <f t="shared" si="85"/>
        <v>21.196411274056107</v>
      </c>
      <c r="DR63" s="48">
        <f t="shared" si="86"/>
        <v>1.3709999295086106</v>
      </c>
      <c r="DS63" s="48">
        <f t="shared" si="87"/>
        <v>299.07613220624927</v>
      </c>
      <c r="DT63" s="48">
        <f t="shared" si="88"/>
        <v>18.878243253712345</v>
      </c>
      <c r="DU63" s="48">
        <f t="shared" si="89"/>
        <v>0.96924039601382561</v>
      </c>
      <c r="DV63" s="48">
        <f t="shared" si="90"/>
        <v>3.9571856327807976E-3</v>
      </c>
      <c r="DW63" s="48"/>
      <c r="DX63" s="45">
        <f t="shared" si="91"/>
        <v>6.4680757123574087E-2</v>
      </c>
      <c r="DY63" s="45">
        <f t="shared" si="92"/>
        <v>6.3121865039679953E-2</v>
      </c>
      <c r="DZ63" s="42"/>
      <c r="EA63" s="48">
        <f t="shared" si="93"/>
        <v>20.160707850637998</v>
      </c>
      <c r="EB63" s="48">
        <f t="shared" si="94"/>
        <v>9.9716166169840896</v>
      </c>
      <c r="EC63" s="48">
        <f t="shared" si="95"/>
        <v>0.61542632159461397</v>
      </c>
      <c r="ED63" s="48">
        <f t="shared" si="96"/>
        <v>4.9423883263605362E-2</v>
      </c>
      <c r="EE63" s="48">
        <f t="shared" si="97"/>
        <v>9.9624425285947865E-2</v>
      </c>
      <c r="EF63" s="48">
        <f t="shared" si="98"/>
        <v>3.9571856327807976E-3</v>
      </c>
      <c r="EG63" s="42"/>
      <c r="EH63" s="48">
        <f t="shared" si="99"/>
        <v>0.49460647368433208</v>
      </c>
      <c r="EI63" s="48">
        <f t="shared" si="100"/>
        <v>8.0308367597187777E-2</v>
      </c>
      <c r="EJ63" s="15"/>
      <c r="EK63" s="165">
        <v>3.798</v>
      </c>
      <c r="EL63" s="15"/>
      <c r="EN63" s="15"/>
      <c r="EO63" s="15"/>
      <c r="EP63" s="15"/>
      <c r="ER63" s="18"/>
    </row>
    <row r="64" spans="1:148" s="9" customFormat="1" x14ac:dyDescent="0.2">
      <c r="A64" s="9" t="s">
        <v>9</v>
      </c>
      <c r="B64" s="9" t="s">
        <v>96</v>
      </c>
      <c r="C64" s="42" t="s">
        <v>71</v>
      </c>
      <c r="D64" s="9">
        <v>4038.74</v>
      </c>
      <c r="E64" s="9">
        <v>9.6</v>
      </c>
      <c r="F64" s="9">
        <v>255.69</v>
      </c>
      <c r="G64" s="9">
        <v>2.5</v>
      </c>
      <c r="H64" s="9">
        <v>10.991</v>
      </c>
      <c r="I64" s="9">
        <v>0.32</v>
      </c>
      <c r="J64" s="9">
        <v>94.849000000000004</v>
      </c>
      <c r="K64" s="9">
        <v>0.76</v>
      </c>
      <c r="L64" s="9">
        <v>13.903</v>
      </c>
      <c r="M64" s="9">
        <v>0.74</v>
      </c>
      <c r="N64" s="42" t="s">
        <v>225</v>
      </c>
      <c r="O64" s="9">
        <v>1874.4380000000001</v>
      </c>
      <c r="P64" s="9">
        <v>5.8912740000000001</v>
      </c>
      <c r="Q64" s="9">
        <v>75.423169999999999</v>
      </c>
      <c r="R64" s="9">
        <v>0.41003400000000001</v>
      </c>
      <c r="S64" s="9">
        <v>2.746972</v>
      </c>
      <c r="T64" s="9">
        <v>0.12753700000000001</v>
      </c>
      <c r="U64" s="9">
        <v>91.523579999999995</v>
      </c>
      <c r="V64" s="9">
        <v>0.50625200000000004</v>
      </c>
      <c r="W64" s="9">
        <v>8.0902569999999994</v>
      </c>
      <c r="X64" s="9">
        <v>0.50977399999999995</v>
      </c>
      <c r="Y64" s="42">
        <f t="shared" si="104"/>
        <v>2164.3019999999997</v>
      </c>
      <c r="Z64" s="42">
        <f t="shared" si="105"/>
        <v>11.263530056917148</v>
      </c>
      <c r="AA64" s="42">
        <f t="shared" si="106"/>
        <v>180.26683</v>
      </c>
      <c r="AB64" s="42">
        <f t="shared" si="107"/>
        <v>2.533402431741945</v>
      </c>
      <c r="AC64" s="42">
        <f t="shared" si="108"/>
        <v>8.2440280000000001</v>
      </c>
      <c r="AD64" s="42">
        <f t="shared" si="109"/>
        <v>0.34447886200607436</v>
      </c>
      <c r="AE64" s="42">
        <f t="shared" si="110"/>
        <v>3.3254200000000083</v>
      </c>
      <c r="AF64" s="42"/>
      <c r="AG64" s="42">
        <f t="shared" si="111"/>
        <v>0.91317637261593665</v>
      </c>
      <c r="AH64" s="42">
        <f t="shared" si="112"/>
        <v>5.8127430000000011</v>
      </c>
      <c r="AI64" s="42">
        <f t="shared" si="113"/>
        <v>0.89859308425783024</v>
      </c>
      <c r="AJ64" s="42">
        <v>1</v>
      </c>
      <c r="AK64" s="42">
        <v>0</v>
      </c>
      <c r="AL64" s="42">
        <f t="shared" si="114"/>
        <v>2164.3019999999997</v>
      </c>
      <c r="AM64" s="42">
        <f t="shared" si="115"/>
        <v>11.263530056917148</v>
      </c>
      <c r="AN64" s="9">
        <v>0.99997100000000005</v>
      </c>
      <c r="AO64" s="42">
        <f t="shared" ref="AO64" si="157">AL64</f>
        <v>2164.3019999999997</v>
      </c>
      <c r="AP64" s="42">
        <f t="shared" ref="AP64" si="158">AM64</f>
        <v>11.263530056917148</v>
      </c>
      <c r="AQ64" s="42">
        <f t="shared" ref="AQ64" si="159">AA64*($AQ$19/AN64-$AQ$19+1)</f>
        <v>180.27205788967879</v>
      </c>
      <c r="AR64" s="42">
        <f t="shared" ref="AR64" si="160">AB64</f>
        <v>2.533402431741945</v>
      </c>
      <c r="AS64" s="42">
        <f t="shared" ref="AS64" si="161">AC64*($AS$19/AN64-$AS$19+1)</f>
        <v>8.244506167490858</v>
      </c>
      <c r="AT64" s="42">
        <f t="shared" ref="AT64" si="162">AD64</f>
        <v>0.34447886200607436</v>
      </c>
      <c r="AU64" s="42">
        <f t="shared" ref="AU64" si="163">AE64*($AU$19/AN64-$AU$19+1)</f>
        <v>3.3257093199302856</v>
      </c>
      <c r="AV64" s="42">
        <f t="shared" ref="AV64" si="164">AG64</f>
        <v>0.91317637261593665</v>
      </c>
      <c r="AW64" s="42">
        <f t="shared" ref="AW64" si="165">AH64*($AW$19/AN64-$AW$19+1)</f>
        <v>5.8134172977426362</v>
      </c>
      <c r="AX64" s="42">
        <f t="shared" ref="AX64" si="166">AI64</f>
        <v>0.89859308425783024</v>
      </c>
      <c r="AY64" s="9">
        <v>111.0355</v>
      </c>
      <c r="AZ64" s="9">
        <v>1.0016879999999999</v>
      </c>
      <c r="BA64" s="42">
        <f t="shared" si="116"/>
        <v>2164.3019999999997</v>
      </c>
      <c r="BB64" s="42">
        <f t="shared" si="117"/>
        <v>11.263530056917148</v>
      </c>
      <c r="BC64" s="42">
        <f t="shared" si="118"/>
        <v>180.57635712339655</v>
      </c>
      <c r="BD64" s="42">
        <f t="shared" si="119"/>
        <v>2.5376788150467253</v>
      </c>
      <c r="BE64" s="42">
        <f t="shared" si="120"/>
        <v>8.244506167490858</v>
      </c>
      <c r="BF64" s="42">
        <f t="shared" si="121"/>
        <v>0.34447886200607436</v>
      </c>
      <c r="BG64" s="42">
        <f t="shared" si="122"/>
        <v>369.2717971931192</v>
      </c>
      <c r="BH64" s="42">
        <f t="shared" si="123"/>
        <v>101.39499512159684</v>
      </c>
      <c r="BI64" s="42">
        <f t="shared" si="124"/>
        <v>5.8134172977426362</v>
      </c>
      <c r="BJ64" s="42">
        <f t="shared" si="125"/>
        <v>0.89859308425783024</v>
      </c>
      <c r="BL64" s="45">
        <f t="shared" si="40"/>
        <v>2164.2935148999645</v>
      </c>
      <c r="BM64" s="45">
        <f t="shared" si="41"/>
        <v>11.263530493448011</v>
      </c>
      <c r="BN64" s="141">
        <f t="shared" si="42"/>
        <v>180.33069167487787</v>
      </c>
      <c r="BO64" s="45">
        <f t="shared" si="43"/>
        <v>2.5385944588534057</v>
      </c>
      <c r="BP64" s="45">
        <f t="shared" si="44"/>
        <v>369.2717971931192</v>
      </c>
      <c r="BQ64" s="45">
        <f t="shared" si="45"/>
        <v>101.39499512159684</v>
      </c>
      <c r="BR64" s="45">
        <f t="shared" si="46"/>
        <v>6.100187399274585</v>
      </c>
      <c r="BS64" s="45">
        <f t="shared" si="47"/>
        <v>0.34593825892195756</v>
      </c>
      <c r="BT64" s="45">
        <f t="shared" si="48"/>
        <v>5.7116607613081003</v>
      </c>
      <c r="BU64" s="45">
        <f t="shared" si="49"/>
        <v>0.89902772193613811</v>
      </c>
      <c r="BV64" s="41">
        <f t="shared" si="50"/>
        <v>1.0680234093380405</v>
      </c>
      <c r="BW64" s="46">
        <f t="shared" si="51"/>
        <v>0.16730630708787508</v>
      </c>
      <c r="BX64" s="42"/>
      <c r="BY64" s="41">
        <f t="shared" si="101"/>
        <v>0.34883709583293387</v>
      </c>
      <c r="BZ64" s="42">
        <v>0</v>
      </c>
      <c r="CA64" s="42">
        <f t="shared" si="52"/>
        <v>2.1279716563996041</v>
      </c>
      <c r="CB64" s="42">
        <f t="shared" si="53"/>
        <v>0.12067609757983722</v>
      </c>
      <c r="CC64" s="42">
        <f t="shared" si="54"/>
        <v>1.9924391523576419</v>
      </c>
      <c r="CD64" s="42">
        <f t="shared" si="55"/>
        <v>0.31361421959350083</v>
      </c>
      <c r="CE64" s="42">
        <f t="shared" si="56"/>
        <v>3.9722157428749809</v>
      </c>
      <c r="CF64" s="42">
        <f t="shared" si="57"/>
        <v>0.3663823133190981</v>
      </c>
      <c r="CG64" s="42">
        <f t="shared" si="58"/>
        <v>3.7192216089504582</v>
      </c>
      <c r="CH64" s="42">
        <f t="shared" si="59"/>
        <v>0.95215792993647996</v>
      </c>
      <c r="CI64" s="44">
        <f t="shared" si="60"/>
        <v>1.0680234093380405</v>
      </c>
      <c r="CJ64" s="44">
        <f t="shared" si="61"/>
        <v>0.17868705249974953</v>
      </c>
      <c r="CL64" s="47">
        <f t="shared" si="62"/>
        <v>1086.2532551315146</v>
      </c>
      <c r="CM64" s="42">
        <v>1</v>
      </c>
      <c r="CN64" s="42">
        <v>1</v>
      </c>
      <c r="CO64" s="141">
        <f t="shared" si="63"/>
        <v>2162.3010757476068</v>
      </c>
      <c r="CP64" s="45">
        <f t="shared" si="64"/>
        <v>11.312182506287831</v>
      </c>
      <c r="CQ64" s="42">
        <v>2</v>
      </c>
      <c r="CR64" s="41">
        <f t="shared" si="65"/>
        <v>99.907940436976745</v>
      </c>
      <c r="CS64" s="41">
        <f t="shared" si="66"/>
        <v>11.990754627870372</v>
      </c>
      <c r="CT64" s="42">
        <f t="shared" si="67"/>
        <v>0.18007838469197182</v>
      </c>
      <c r="CU64" s="41">
        <f t="shared" si="68"/>
        <v>502.48704995970013</v>
      </c>
      <c r="CV64" s="41">
        <f t="shared" si="69"/>
        <v>6.6467421693017021</v>
      </c>
      <c r="CW64" s="41">
        <f t="shared" si="70"/>
        <v>13.293484338603404</v>
      </c>
      <c r="CX64" s="41">
        <f t="shared" si="71"/>
        <v>2.6455376988659811</v>
      </c>
      <c r="CY64" s="41">
        <f t="shared" si="72"/>
        <v>6.5865978871179207</v>
      </c>
      <c r="CZ64" s="41">
        <f t="shared" si="73"/>
        <v>13.173195774235841</v>
      </c>
      <c r="DA64" s="41">
        <f t="shared" si="74"/>
        <v>3.8088111147354247</v>
      </c>
      <c r="DB64" s="41">
        <f t="shared" si="75"/>
        <v>0.34078244073531822</v>
      </c>
      <c r="DC64" s="151"/>
      <c r="DD64" s="151"/>
      <c r="DE64" s="153">
        <f t="shared" si="155"/>
        <v>502.48704995970013</v>
      </c>
      <c r="DF64" s="153">
        <f t="shared" si="156"/>
        <v>13.293484338603404</v>
      </c>
      <c r="DG64" s="128"/>
      <c r="DH64" s="128"/>
      <c r="DI64" s="41">
        <f t="shared" si="78"/>
        <v>3.8088111147354247</v>
      </c>
      <c r="DJ64" s="41">
        <f t="shared" si="79"/>
        <v>0.34078244073531822</v>
      </c>
      <c r="DK64" s="42" t="str">
        <f t="shared" si="80"/>
        <v>1176-43</v>
      </c>
      <c r="DL64" s="48">
        <f t="shared" si="81"/>
        <v>8.3320811356408328E-2</v>
      </c>
      <c r="DM64" s="48">
        <f t="shared" si="82"/>
        <v>1.2505300743266784E-3</v>
      </c>
      <c r="DN64" s="48">
        <f t="shared" si="83"/>
        <v>9.205956302325908E-4</v>
      </c>
      <c r="DO64" s="48">
        <f t="shared" si="84"/>
        <v>1.4498291958910816E-4</v>
      </c>
      <c r="DP64" s="48">
        <v>8.3320811356408328E-2</v>
      </c>
      <c r="DQ64" s="48">
        <f t="shared" si="85"/>
        <v>90.507502556097435</v>
      </c>
      <c r="DR64" s="48">
        <f t="shared" si="86"/>
        <v>14.302938523928498</v>
      </c>
      <c r="DS64" s="48">
        <f t="shared" si="87"/>
        <v>1086.2532551315146</v>
      </c>
      <c r="DT64" s="48">
        <f t="shared" si="88"/>
        <v>171.07203550634887</v>
      </c>
      <c r="DU64" s="48">
        <f t="shared" si="89"/>
        <v>0.99548044769554589</v>
      </c>
      <c r="DV64" s="48">
        <f t="shared" si="90"/>
        <v>2.4775438920995724E-2</v>
      </c>
      <c r="DW64" s="48"/>
      <c r="DX64" s="45">
        <f t="shared" si="91"/>
        <v>0.15803041869444356</v>
      </c>
      <c r="DY64" s="45">
        <f t="shared" si="92"/>
        <v>0.15748816834213938</v>
      </c>
      <c r="DZ64" s="42"/>
      <c r="EA64" s="48">
        <f t="shared" si="93"/>
        <v>64.652263610373723</v>
      </c>
      <c r="EB64" s="48">
        <f t="shared" si="94"/>
        <v>20.462224745141615</v>
      </c>
      <c r="EC64" s="48">
        <f t="shared" si="95"/>
        <v>1.0680234093380405</v>
      </c>
      <c r="ED64" s="48">
        <f t="shared" si="96"/>
        <v>0.17868705249974953</v>
      </c>
      <c r="EE64" s="48">
        <f t="shared" si="97"/>
        <v>0.46788586864266157</v>
      </c>
      <c r="EF64" s="48">
        <f t="shared" si="98"/>
        <v>2.4775438920995724E-2</v>
      </c>
      <c r="EG64" s="42"/>
      <c r="EH64" s="48">
        <f t="shared" si="99"/>
        <v>0.31649664841523611</v>
      </c>
      <c r="EI64" s="48">
        <f t="shared" si="100"/>
        <v>0.16730630708787508</v>
      </c>
      <c r="EJ64" s="15"/>
      <c r="EK64" s="165">
        <v>4.0490000000000004</v>
      </c>
      <c r="EL64" s="15"/>
      <c r="EN64" s="15"/>
      <c r="EO64" s="15"/>
      <c r="EP64" s="15"/>
      <c r="ER64" s="18"/>
    </row>
    <row r="65" spans="74:139" x14ac:dyDescent="0.2">
      <c r="BV65" s="41"/>
      <c r="BW65" s="46"/>
      <c r="BX65" s="42"/>
      <c r="BY65" s="41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L65" s="47"/>
      <c r="CM65" s="42"/>
      <c r="CN65" s="42"/>
      <c r="CO65" s="141"/>
      <c r="CP65" s="45"/>
      <c r="CQ65" s="42"/>
      <c r="CR65" s="41"/>
      <c r="CS65" s="41"/>
      <c r="CT65" s="42"/>
      <c r="CU65" s="41"/>
      <c r="CV65" s="41"/>
      <c r="CW65" s="41"/>
      <c r="CX65" s="41"/>
      <c r="CY65" s="41"/>
      <c r="CZ65" s="41"/>
      <c r="DA65" s="41"/>
      <c r="DB65" s="41"/>
      <c r="DC65" s="151"/>
      <c r="DD65" s="151"/>
      <c r="DE65" s="151"/>
      <c r="DF65" s="151"/>
      <c r="DG65" s="47"/>
      <c r="DH65" s="47"/>
      <c r="DI65" s="47"/>
      <c r="DJ65" s="47"/>
      <c r="DK65" s="42"/>
      <c r="DL65" s="48"/>
      <c r="DM65" s="48"/>
      <c r="DN65" s="48"/>
      <c r="DO65" s="48"/>
      <c r="DP65" s="42"/>
      <c r="DQ65" s="48"/>
      <c r="DR65" s="48"/>
      <c r="DS65" s="48"/>
      <c r="DT65" s="48"/>
      <c r="DU65" s="48"/>
      <c r="DV65" s="48"/>
      <c r="DW65" s="48"/>
      <c r="DX65" s="45"/>
      <c r="DY65" s="45"/>
      <c r="DZ65" s="42"/>
      <c r="EA65" s="48"/>
      <c r="EB65" s="48"/>
      <c r="EC65" s="48"/>
      <c r="ED65" s="48"/>
      <c r="EE65" s="48"/>
      <c r="EF65" s="48"/>
      <c r="EG65" s="42"/>
      <c r="EH65" s="48"/>
      <c r="EI65" s="48"/>
    </row>
    <row r="66" spans="74:139" x14ac:dyDescent="0.2">
      <c r="CL66" s="47"/>
      <c r="CM66" s="42"/>
      <c r="CN66" s="42"/>
      <c r="CO66" s="141"/>
      <c r="CP66" s="45"/>
      <c r="CQ66" s="42"/>
      <c r="CR66" s="41"/>
      <c r="CS66" s="41"/>
      <c r="CT66" s="42"/>
      <c r="CU66" s="41"/>
      <c r="CV66" s="41"/>
      <c r="CW66" s="41"/>
      <c r="CX66" s="41"/>
      <c r="CY66" s="41"/>
      <c r="CZ66" s="41"/>
      <c r="DA66" s="41"/>
      <c r="DB66" s="41"/>
      <c r="DC66" s="151"/>
      <c r="DD66" s="151"/>
      <c r="DE66" s="151"/>
      <c r="DF66" s="151"/>
      <c r="DG66" s="47"/>
      <c r="DH66" s="47"/>
      <c r="DI66" s="47"/>
      <c r="DJ66" s="47"/>
      <c r="DK66" s="42"/>
      <c r="DL66" s="48"/>
      <c r="DM66" s="48"/>
      <c r="DN66" s="48"/>
      <c r="DO66" s="48"/>
      <c r="DP66" s="42"/>
      <c r="DQ66" s="48"/>
      <c r="DR66" s="48"/>
      <c r="DS66" s="48"/>
      <c r="DT66" s="48"/>
      <c r="DU66" s="48"/>
      <c r="DV66" s="48"/>
      <c r="DW66" s="48"/>
      <c r="DX66" s="45"/>
      <c r="DY66" s="45"/>
      <c r="DZ66" s="42"/>
      <c r="EA66" s="48"/>
      <c r="EB66" s="48"/>
      <c r="EC66" s="48"/>
      <c r="ED66" s="48"/>
      <c r="EE66" s="48"/>
      <c r="EF66" s="48"/>
      <c r="EG66" s="42"/>
      <c r="EH66" s="48"/>
      <c r="EI66" s="48"/>
    </row>
    <row r="68" spans="74:139" x14ac:dyDescent="0.2">
      <c r="DE68" s="158">
        <f>AVERAGE(DE23:DE24,DE31:DE32,DE46:DE48,DE61,DE62,DE64)</f>
        <v>495.05217353716489</v>
      </c>
      <c r="DF68" s="158">
        <f>STDEV(DE23:DE24,DE31:DE32,DE46:DE48,DE61,DE62,DE64)</f>
        <v>19.958549192849219</v>
      </c>
    </row>
  </sheetData>
  <sortState xmlns:xlrd2="http://schemas.microsoft.com/office/spreadsheetml/2017/richdata2" ref="EF23:EH68">
    <sortCondition ref="EG23:EG68"/>
  </sortState>
  <mergeCells count="13">
    <mergeCell ref="EA20:EI20"/>
    <mergeCell ref="DQ20:DY20"/>
    <mergeCell ref="DL20:DO20"/>
    <mergeCell ref="AY20:BJ20"/>
    <mergeCell ref="BY20:CH20"/>
    <mergeCell ref="BL20:BW20"/>
    <mergeCell ref="CR20:DB20"/>
    <mergeCell ref="CL20:CP20"/>
    <mergeCell ref="D20:M20"/>
    <mergeCell ref="N20:X20"/>
    <mergeCell ref="Y20:AI20"/>
    <mergeCell ref="AJ20:AM20"/>
    <mergeCell ref="AN20:AX20"/>
  </mergeCells>
  <phoneticPr fontId="8" type="noConversion"/>
  <conditionalFormatting sqref="BV22:BV65">
    <cfRule type="cellIs" dxfId="3" priority="9" operator="greaterThan">
      <formula>1.54</formula>
    </cfRule>
  </conditionalFormatting>
  <conditionalFormatting sqref="EL22:EL33">
    <cfRule type="cellIs" dxfId="2" priority="3" operator="greaterThan">
      <formula>1</formula>
    </cfRule>
  </conditionalFormatting>
  <conditionalFormatting sqref="DL22:DL66">
    <cfRule type="cellIs" dxfId="1" priority="2" operator="greaterThan">
      <formula>1.2</formula>
    </cfRule>
  </conditionalFormatting>
  <conditionalFormatting sqref="CI22:CI64">
    <cfRule type="cellIs" dxfId="0" priority="1" operator="greaterThan">
      <formula>1.54</formula>
    </cfRule>
  </conditionalFormatting>
  <pageMargins left="0.75" right="0.75" top="1" bottom="1" header="0.5" footer="0.5"/>
  <colBreaks count="1" manualBreakCount="1">
    <brk id="7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15"/>
  <sheetViews>
    <sheetView workbookViewId="0">
      <selection activeCell="R15" sqref="R15"/>
    </sheetView>
  </sheetViews>
  <sheetFormatPr baseColWidth="10" defaultRowHeight="13" x14ac:dyDescent="0.15"/>
  <sheetData>
    <row r="3" spans="1:21" ht="16" x14ac:dyDescent="0.2">
      <c r="A3" s="129"/>
      <c r="B3" s="129"/>
      <c r="C3" s="129"/>
      <c r="F3" s="131"/>
      <c r="H3" s="133"/>
      <c r="K3" s="134"/>
      <c r="L3" s="135"/>
      <c r="O3" s="132"/>
    </row>
    <row r="4" spans="1:21" ht="16" x14ac:dyDescent="0.2">
      <c r="A4" s="129">
        <v>499.38389068869066</v>
      </c>
      <c r="B4" s="129">
        <v>4.8870983420688798</v>
      </c>
      <c r="C4" s="129">
        <f t="shared" ref="C4:C15" si="0">B4/2</f>
        <v>2.4435491710344399</v>
      </c>
      <c r="F4" s="131">
        <f t="shared" ref="F4:F13" si="1">ABS(A4-$E$15)</f>
        <v>2.2953398922222163</v>
      </c>
      <c r="H4" s="133">
        <f t="shared" ref="H4:H13" si="2">F4/(1.4826*$G$15)</f>
        <v>0.12197065764303897</v>
      </c>
      <c r="K4" s="134">
        <f t="shared" ref="K4:K13" si="3">(1/C4^2)</f>
        <v>0.16747802649160035</v>
      </c>
      <c r="L4" s="135">
        <f t="shared" ref="L4:L13" si="4">K4*A4</f>
        <v>83.635828474238991</v>
      </c>
      <c r="O4" s="132">
        <f t="shared" ref="O4:O13" si="5">(A4-$M$15)^2/(C4^2)</f>
        <v>7.1848776070194534E-2</v>
      </c>
      <c r="S4" s="129">
        <v>558.19922232018723</v>
      </c>
      <c r="T4" s="129">
        <v>5.3557373542641793</v>
      </c>
      <c r="U4" s="129">
        <f>T4/2</f>
        <v>2.6778686771320896</v>
      </c>
    </row>
    <row r="5" spans="1:21" ht="16" x14ac:dyDescent="0.2">
      <c r="A5" s="129">
        <v>494.79321090424628</v>
      </c>
      <c r="B5" s="129">
        <v>5.0493673246640034</v>
      </c>
      <c r="C5" s="129">
        <f t="shared" si="0"/>
        <v>2.5246836623320017</v>
      </c>
      <c r="F5" s="131">
        <f t="shared" si="1"/>
        <v>2.2953398922221595</v>
      </c>
      <c r="H5" s="133">
        <f t="shared" si="2"/>
        <v>0.12197065764303594</v>
      </c>
      <c r="K5" s="134">
        <f t="shared" si="3"/>
        <v>0.15688667567247022</v>
      </c>
      <c r="L5" s="135">
        <f t="shared" si="4"/>
        <v>77.626462004074639</v>
      </c>
      <c r="O5" s="132">
        <f t="shared" si="5"/>
        <v>4.3170490519143163</v>
      </c>
    </row>
    <row r="6" spans="1:21" ht="16" x14ac:dyDescent="0.2">
      <c r="A6" s="129">
        <v>521.56015255342584</v>
      </c>
      <c r="B6" s="129">
        <v>9.3053363535845754</v>
      </c>
      <c r="C6" s="129">
        <f t="shared" si="0"/>
        <v>4.6526681767922877</v>
      </c>
      <c r="F6" s="131">
        <f t="shared" si="1"/>
        <v>24.471601756957398</v>
      </c>
      <c r="H6" s="133">
        <f t="shared" si="2"/>
        <v>1.3003814249857839</v>
      </c>
      <c r="K6" s="134">
        <f t="shared" si="3"/>
        <v>4.6195092337508813E-2</v>
      </c>
      <c r="L6" s="135">
        <f t="shared" si="4"/>
        <v>24.093519406770689</v>
      </c>
      <c r="O6" s="132">
        <f t="shared" si="5"/>
        <v>21.395968227449512</v>
      </c>
    </row>
    <row r="7" spans="1:21" ht="16" x14ac:dyDescent="0.2">
      <c r="A7" s="129">
        <v>526.51555301798589</v>
      </c>
      <c r="B7" s="129">
        <v>9.7297497390554444</v>
      </c>
      <c r="C7" s="129">
        <f t="shared" si="0"/>
        <v>4.8648748695277222</v>
      </c>
      <c r="F7" s="131">
        <f t="shared" si="1"/>
        <v>29.427002221517455</v>
      </c>
      <c r="H7" s="133">
        <f t="shared" si="2"/>
        <v>1.5637034086253627</v>
      </c>
      <c r="K7" s="134">
        <f t="shared" si="3"/>
        <v>4.2252912632158961E-2</v>
      </c>
      <c r="L7" s="135">
        <f t="shared" si="4"/>
        <v>22.246815661141817</v>
      </c>
      <c r="O7" s="132">
        <f t="shared" si="5"/>
        <v>29.619903960345891</v>
      </c>
    </row>
    <row r="8" spans="1:21" ht="16" x14ac:dyDescent="0.2">
      <c r="A8" s="130"/>
      <c r="B8" s="130"/>
      <c r="C8" s="129"/>
      <c r="F8" s="131"/>
      <c r="H8" s="133"/>
      <c r="K8" s="134"/>
      <c r="L8" s="135"/>
      <c r="O8" s="132"/>
      <c r="S8" s="130">
        <v>443.70901008335079</v>
      </c>
      <c r="T8" s="130">
        <v>10.47807353063234</v>
      </c>
      <c r="U8" s="129">
        <f t="shared" ref="U8" si="6">T8/2</f>
        <v>5.23903676531617</v>
      </c>
    </row>
    <row r="9" spans="1:21" ht="16" x14ac:dyDescent="0.2">
      <c r="A9" s="130">
        <v>491.01296745249323</v>
      </c>
      <c r="B9" s="130">
        <v>14.348169464826643</v>
      </c>
      <c r="C9" s="129">
        <f t="shared" si="0"/>
        <v>7.1740847324133217</v>
      </c>
      <c r="F9" s="131">
        <f t="shared" si="1"/>
        <v>6.0755833439752109</v>
      </c>
      <c r="H9" s="133">
        <f t="shared" si="2"/>
        <v>0.32284669409562478</v>
      </c>
      <c r="K9" s="134">
        <f t="shared" si="3"/>
        <v>1.9429740328114072E-2</v>
      </c>
      <c r="L9" s="135">
        <f t="shared" si="4"/>
        <v>9.540254455338669</v>
      </c>
      <c r="O9" s="132">
        <f t="shared" si="5"/>
        <v>1.5828827248684172</v>
      </c>
    </row>
    <row r="10" spans="1:21" ht="16" x14ac:dyDescent="0.2">
      <c r="A10" s="130">
        <v>477.77793754071996</v>
      </c>
      <c r="B10" s="130">
        <v>15.110993670569181</v>
      </c>
      <c r="C10" s="129">
        <f t="shared" si="0"/>
        <v>7.5554968352845906</v>
      </c>
      <c r="F10" s="131">
        <f t="shared" si="1"/>
        <v>19.310613255748478</v>
      </c>
      <c r="H10" s="133">
        <f t="shared" si="2"/>
        <v>1.0261348248575657</v>
      </c>
      <c r="K10" s="134">
        <f t="shared" si="3"/>
        <v>1.7517573323176844E-2</v>
      </c>
      <c r="L10" s="135">
        <f t="shared" si="4"/>
        <v>8.3695100530657687</v>
      </c>
      <c r="O10" s="132">
        <f t="shared" si="5"/>
        <v>8.680821688360961</v>
      </c>
    </row>
    <row r="11" spans="1:21" ht="16" x14ac:dyDescent="0.2">
      <c r="A11" s="130">
        <v>462.09508335251508</v>
      </c>
      <c r="B11" s="130">
        <v>27.109531361639274</v>
      </c>
      <c r="C11" s="129">
        <f t="shared" si="0"/>
        <v>13.554765680819637</v>
      </c>
      <c r="F11" s="131">
        <f t="shared" si="1"/>
        <v>34.993467443953364</v>
      </c>
      <c r="H11" s="133">
        <f t="shared" si="2"/>
        <v>1.8594963873594608</v>
      </c>
      <c r="K11" s="134">
        <f t="shared" si="3"/>
        <v>5.4427197309635496E-3</v>
      </c>
      <c r="L11" s="135">
        <f t="shared" si="4"/>
        <v>2.5150540277439797</v>
      </c>
      <c r="O11" s="132">
        <f t="shared" si="5"/>
        <v>7.8360540080835301</v>
      </c>
    </row>
    <row r="12" spans="1:21" ht="16" x14ac:dyDescent="0.2">
      <c r="A12" s="130">
        <v>475.16309742954559</v>
      </c>
      <c r="B12" s="130">
        <v>14.879751368990087</v>
      </c>
      <c r="C12" s="129">
        <f t="shared" si="0"/>
        <v>7.4398756844950436</v>
      </c>
      <c r="F12" s="131">
        <f t="shared" si="1"/>
        <v>21.925453366922852</v>
      </c>
      <c r="H12" s="133">
        <f t="shared" si="2"/>
        <v>1.1650832085248586</v>
      </c>
      <c r="K12" s="134">
        <f t="shared" si="3"/>
        <v>1.8066276068477782E-2</v>
      </c>
      <c r="L12" s="135">
        <f t="shared" si="4"/>
        <v>8.5844276957151759</v>
      </c>
      <c r="O12" s="132">
        <f t="shared" si="5"/>
        <v>11.179489318948098</v>
      </c>
    </row>
    <row r="13" spans="1:21" ht="16" x14ac:dyDescent="0.2">
      <c r="A13" s="129">
        <v>499.7327924723254</v>
      </c>
      <c r="B13" s="129">
        <v>9.2272194866975603</v>
      </c>
      <c r="C13" s="129">
        <f t="shared" si="0"/>
        <v>4.6136097433487802</v>
      </c>
      <c r="F13" s="131">
        <f t="shared" si="1"/>
        <v>2.6442416758569607</v>
      </c>
      <c r="H13" s="133">
        <f t="shared" si="2"/>
        <v>0.1405107353661508</v>
      </c>
      <c r="K13" s="134">
        <f t="shared" si="3"/>
        <v>4.6980570780715353E-2</v>
      </c>
      <c r="L13" s="135">
        <f t="shared" si="4"/>
        <v>23.47773182819062</v>
      </c>
      <c r="O13" s="132">
        <f t="shared" si="5"/>
        <v>4.40144035214954E-3</v>
      </c>
    </row>
    <row r="14" spans="1:21" ht="16" x14ac:dyDescent="0.2">
      <c r="A14" s="130"/>
      <c r="B14" s="130"/>
      <c r="C14" s="129"/>
      <c r="F14" s="131"/>
      <c r="H14" s="133"/>
      <c r="K14" s="134"/>
      <c r="L14" s="135"/>
      <c r="O14" s="132"/>
      <c r="S14" s="130">
        <v>576.71821935428761</v>
      </c>
      <c r="T14" s="130">
        <v>15.864033138354747</v>
      </c>
      <c r="U14" s="129">
        <f t="shared" ref="U14" si="7">T14/2</f>
        <v>7.9320165691773736</v>
      </c>
    </row>
    <row r="15" spans="1:21" ht="16" x14ac:dyDescent="0.2">
      <c r="A15" s="130">
        <v>502.48704995970013</v>
      </c>
      <c r="B15" s="130">
        <v>13.293484338603404</v>
      </c>
      <c r="C15" s="129">
        <f t="shared" si="0"/>
        <v>6.6467421693017021</v>
      </c>
      <c r="E15" s="129">
        <f>MEDIAN(A3:A15)</f>
        <v>497.08855079646844</v>
      </c>
      <c r="F15" s="131">
        <f>ABS(A15-$E$15)</f>
        <v>5.3984991632316905</v>
      </c>
      <c r="G15" s="131">
        <f>MEDIAN(F3:F15)</f>
        <v>12.693098299861845</v>
      </c>
      <c r="H15" s="133">
        <f>F15/(1.4826*$G$15)</f>
        <v>0.28686753341235366</v>
      </c>
      <c r="K15" s="134">
        <f>(1/C15^2)</f>
        <v>2.2635095690677318E-2</v>
      </c>
      <c r="L15" s="135">
        <f>K15*A15</f>
        <v>11.373842459163967</v>
      </c>
      <c r="M15" s="136">
        <f>SUM(L3:L15)/SUM(K3:K15)</f>
        <v>500.03887480743396</v>
      </c>
      <c r="N15" s="137">
        <f>SQRT(1/(SUM(K3:K15)))*2</f>
        <v>2.714414717257347</v>
      </c>
      <c r="O15" s="132">
        <f>(A15-$M$15)^2/(C15^2)</f>
        <v>0.13566483980465402</v>
      </c>
      <c r="P15" s="129">
        <f>SUM(O3:O15)/(COUNT(F3:F15)-1)</f>
        <v>9.424898226244192</v>
      </c>
      <c r="Q15" s="132">
        <f>1+SQRT(2/(COUNT(F3:F15)-1))*2</f>
        <v>1.9428090415820634</v>
      </c>
      <c r="R15" s="129">
        <f>SQRT(P15)*N15</f>
        <v>8.3332523978254791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PlotDat1</vt:lpstr>
      <vt:lpstr>PlotDat4</vt:lpstr>
      <vt:lpstr>Mb2</vt:lpstr>
      <vt:lpstr>Sheet1</vt:lpstr>
      <vt:lpstr>Ca_K v Age</vt:lpstr>
      <vt:lpstr>Age Profile 1</vt:lpstr>
      <vt:lpstr>Age Profile 2</vt:lpstr>
      <vt:lpstr>Age Profile 3</vt:lpstr>
      <vt:lpstr>Counts Profile 1</vt:lpstr>
      <vt:lpstr>Counts Profile 2</vt:lpstr>
      <vt:lpstr>Counts Profile 3</vt:lpstr>
      <vt:lpstr>Isochron1</vt:lpstr>
      <vt:lpstr>_gXY1</vt:lpstr>
      <vt:lpstr>Ellipse1_1</vt:lpstr>
      <vt:lpstr>Ellipse1_10</vt:lpstr>
      <vt:lpstr>Ellipse1_11</vt:lpstr>
      <vt:lpstr>Ellipse1_12</vt:lpstr>
      <vt:lpstr>Ellipse1_13</vt:lpstr>
      <vt:lpstr>Ellipse1_2</vt:lpstr>
      <vt:lpstr>Ellipse1_3</vt:lpstr>
      <vt:lpstr>Ellipse1_4</vt:lpstr>
      <vt:lpstr>Ellipse1_5</vt:lpstr>
      <vt:lpstr>Ellipse1_6</vt:lpstr>
      <vt:lpstr>Ellipse1_7</vt:lpstr>
      <vt:lpstr>Ellipse1_8</vt:lpstr>
      <vt:lpstr>Ellipse1_9</vt:lpstr>
    </vt:vector>
  </TitlesOfParts>
  <Company>SESE (ASU)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BattleCat</dc:creator>
  <cp:lastModifiedBy>Matthijs Van Soest</cp:lastModifiedBy>
  <dcterms:created xsi:type="dcterms:W3CDTF">2016-03-17T22:43:47Z</dcterms:created>
  <dcterms:modified xsi:type="dcterms:W3CDTF">2020-04-07T15:09:13Z</dcterms:modified>
</cp:coreProperties>
</file>