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MSEGOVIA\Desktop\SDM\"/>
    </mc:Choice>
  </mc:AlternateContent>
  <xr:revisionPtr revIDLastSave="0" documentId="13_ncr:1_{402D9E06-C5F1-412E-8BBC-17131ED1E63C}" xr6:coauthVersionLast="47" xr6:coauthVersionMax="47" xr10:uidLastSave="{00000000-0000-0000-0000-000000000000}"/>
  <bookViews>
    <workbookView xWindow="-120" yWindow="-120" windowWidth="29040" windowHeight="15840" activeTab="1" xr2:uid="{EC38AE5C-BECA-4AFE-8433-6189BB7A5EB0}"/>
  </bookViews>
  <sheets>
    <sheet name="INFO" sheetId="5" r:id="rId1"/>
    <sheet name="P_violacea_Spain_Med" sheetId="14" r:id="rId2"/>
    <sheet name="Info_heridas" sheetId="16" r:id="rId3"/>
    <sheet name="P_violacea_Heridas" sheetId="15" r:id="rId4"/>
    <sheet name="Conteo_year" sheetId="8" r:id="rId5"/>
    <sheet name="Conteo_region" sheetId="9" r:id="rId6"/>
    <sheet name="Conteo_year_regions" sheetId="7" r:id="rId7"/>
  </sheets>
  <definedNames>
    <definedName name="_xlnm._FilterDatabase" localSheetId="0" hidden="1">INFO!$A$1:$F$20</definedName>
    <definedName name="_xlnm._FilterDatabase" localSheetId="3" hidden="1">P_violacea_Heridas!$A$1:$AX$1048406</definedName>
    <definedName name="_xlnm._FilterDatabase" localSheetId="1" hidden="1">P_violacea_Spain_Med!$A$1:$AM$461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3" i="15" l="1"/>
  <c r="AF4" i="15"/>
  <c r="AF5" i="15"/>
  <c r="AF6" i="15"/>
  <c r="AF8" i="15"/>
  <c r="AF12" i="15"/>
  <c r="AF14" i="15"/>
  <c r="AF16" i="15"/>
  <c r="AF18" i="15"/>
  <c r="AF20" i="15"/>
  <c r="AF22" i="15"/>
  <c r="AF23" i="15"/>
  <c r="AF24" i="15"/>
  <c r="AF25" i="15"/>
  <c r="AF26" i="15"/>
  <c r="AF27" i="15"/>
  <c r="AF28" i="15"/>
  <c r="AF29" i="15"/>
  <c r="AF30" i="15"/>
  <c r="AF31" i="15"/>
  <c r="AF32" i="15"/>
  <c r="AF34" i="15"/>
  <c r="AF37" i="15"/>
  <c r="AF39" i="15"/>
  <c r="AF40" i="15"/>
  <c r="AF42" i="15"/>
  <c r="AF44" i="15"/>
  <c r="AF45" i="15"/>
  <c r="AF47" i="15"/>
  <c r="AF49" i="15"/>
  <c r="AF51" i="15"/>
  <c r="AF52" i="15"/>
  <c r="AF54" i="15"/>
  <c r="AF55" i="15"/>
  <c r="AF57" i="15"/>
  <c r="AF59" i="15"/>
  <c r="AF60" i="15"/>
  <c r="AF65" i="15"/>
  <c r="AF67" i="15"/>
  <c r="AF68" i="15"/>
  <c r="AF69" i="15"/>
  <c r="AF71" i="15"/>
  <c r="AF72" i="15"/>
  <c r="AF73" i="15"/>
  <c r="AF74" i="15"/>
  <c r="AF75" i="15"/>
  <c r="AF76" i="15"/>
  <c r="AF80" i="15"/>
  <c r="AF81" i="15"/>
  <c r="AF83" i="15"/>
  <c r="AF84" i="15"/>
  <c r="AF85" i="15"/>
  <c r="AF86" i="15"/>
  <c r="AF88" i="15"/>
  <c r="AF89" i="15"/>
  <c r="AF91" i="15"/>
  <c r="AF95" i="15"/>
  <c r="AF98" i="15"/>
  <c r="AF99" i="15"/>
  <c r="AF100" i="15"/>
  <c r="AF103" i="15"/>
  <c r="AF105" i="15"/>
  <c r="AF107" i="15"/>
  <c r="AF112" i="15"/>
  <c r="AF113" i="15"/>
  <c r="AF114" i="15"/>
  <c r="AF115" i="15"/>
  <c r="AF116" i="15"/>
  <c r="AF118" i="15"/>
  <c r="AF119" i="15"/>
  <c r="AF120" i="15"/>
  <c r="AF123" i="15"/>
  <c r="AF128" i="15"/>
  <c r="AF130" i="15"/>
  <c r="AF133" i="15"/>
  <c r="AF134" i="15"/>
  <c r="AF135" i="15"/>
  <c r="AF136" i="15"/>
  <c r="AF138" i="15"/>
  <c r="AF139" i="15"/>
  <c r="AF140" i="15"/>
  <c r="AF142" i="15"/>
  <c r="AF145" i="15"/>
  <c r="AF148" i="15"/>
  <c r="AF149" i="15"/>
  <c r="AF150" i="15"/>
  <c r="AF151" i="15"/>
  <c r="AF152" i="15"/>
  <c r="AF153" i="15"/>
  <c r="AF155" i="15"/>
  <c r="AF167" i="15"/>
  <c r="AF168" i="15"/>
  <c r="AF172" i="15"/>
  <c r="AF173" i="15"/>
  <c r="AF180" i="15"/>
  <c r="AF181" i="15"/>
  <c r="AF184" i="15"/>
  <c r="AF185" i="15"/>
  <c r="AF186" i="15"/>
  <c r="AF187" i="15"/>
  <c r="AF189" i="15"/>
  <c r="AF196" i="15"/>
  <c r="AF199" i="15"/>
  <c r="AF200" i="15"/>
  <c r="AF204" i="15"/>
  <c r="AF208" i="15"/>
  <c r="AF211" i="15"/>
  <c r="AF214" i="15"/>
  <c r="AF216" i="15"/>
  <c r="AF217" i="15"/>
  <c r="AF218" i="15"/>
  <c r="AF221" i="15"/>
  <c r="AF222" i="15"/>
  <c r="AF226" i="15"/>
  <c r="AF227" i="15"/>
  <c r="AF228" i="15"/>
  <c r="AF230" i="15"/>
  <c r="AF231" i="15"/>
  <c r="AF233" i="15"/>
  <c r="AF234" i="15"/>
  <c r="AF238" i="15"/>
  <c r="AF239" i="15"/>
  <c r="AF240" i="15"/>
  <c r="AF242" i="15"/>
  <c r="AF245" i="15"/>
  <c r="AF246" i="15"/>
  <c r="AF248" i="15"/>
  <c r="AF250" i="15"/>
  <c r="AF251" i="15"/>
  <c r="AF254" i="15"/>
  <c r="AF255" i="15"/>
  <c r="AF256" i="15"/>
  <c r="AF257" i="15"/>
  <c r="AF259" i="15"/>
  <c r="AF260" i="15"/>
  <c r="AF263" i="15"/>
  <c r="AF266" i="15"/>
  <c r="AF268" i="15"/>
  <c r="AF269" i="15"/>
  <c r="AF272" i="15"/>
  <c r="AF275" i="15"/>
  <c r="AF277" i="15"/>
  <c r="AF278" i="15"/>
  <c r="AF279" i="15"/>
  <c r="AF280" i="15"/>
  <c r="AF283" i="15"/>
  <c r="AF284" i="15"/>
  <c r="AF23" i="7" l="1"/>
  <c r="AE23" i="7"/>
  <c r="AD23" i="7"/>
  <c r="AC23" i="7"/>
  <c r="AA23" i="7"/>
  <c r="Z23" i="7"/>
  <c r="Y23" i="7"/>
  <c r="X23" i="7"/>
  <c r="W23" i="7"/>
  <c r="U23" i="7"/>
  <c r="T23" i="7"/>
  <c r="S23" i="7"/>
  <c r="Q23" i="7"/>
  <c r="P23" i="7"/>
  <c r="O23" i="7"/>
  <c r="M23" i="7"/>
  <c r="L23" i="7"/>
  <c r="K23" i="7"/>
  <c r="J23" i="7"/>
  <c r="I23" i="7"/>
  <c r="H23" i="7"/>
  <c r="G23" i="7"/>
  <c r="F23" i="7"/>
  <c r="E23" i="7"/>
  <c r="D23" i="7"/>
  <c r="C23" i="7"/>
  <c r="B23" i="7"/>
  <c r="AF22" i="7"/>
  <c r="AE22" i="7"/>
  <c r="AD22" i="7"/>
  <c r="AC22" i="7"/>
  <c r="AA22" i="7"/>
  <c r="Z22" i="7"/>
  <c r="Y22" i="7"/>
  <c r="X22" i="7"/>
  <c r="W22" i="7"/>
  <c r="U22" i="7"/>
  <c r="T22" i="7"/>
  <c r="S22" i="7"/>
  <c r="Q22" i="7"/>
  <c r="P22" i="7"/>
  <c r="O22" i="7"/>
  <c r="M22" i="7"/>
  <c r="L22" i="7"/>
  <c r="K22" i="7"/>
  <c r="J22" i="7"/>
  <c r="I22" i="7"/>
  <c r="H22" i="7"/>
  <c r="G22" i="7"/>
  <c r="F22" i="7"/>
  <c r="E22" i="7"/>
  <c r="D22" i="7"/>
  <c r="C22" i="7"/>
  <c r="B22" i="7"/>
  <c r="AF21" i="7"/>
  <c r="AE21" i="7"/>
  <c r="AD21" i="7"/>
  <c r="AC21" i="7"/>
  <c r="AA21" i="7"/>
  <c r="Z21" i="7"/>
  <c r="Y21" i="7"/>
  <c r="X21" i="7"/>
  <c r="W21" i="7"/>
  <c r="U21" i="7"/>
  <c r="T21" i="7"/>
  <c r="S21" i="7"/>
  <c r="Q21" i="7"/>
  <c r="P21" i="7"/>
  <c r="O21" i="7"/>
  <c r="M21" i="7"/>
  <c r="L21" i="7"/>
  <c r="K21" i="7"/>
  <c r="J21" i="7"/>
  <c r="I21" i="7"/>
  <c r="H21" i="7"/>
  <c r="G21" i="7"/>
  <c r="F21" i="7"/>
  <c r="E21" i="7"/>
  <c r="D21" i="7"/>
  <c r="C21" i="7"/>
  <c r="B21" i="7"/>
  <c r="AF20" i="7"/>
  <c r="AE20" i="7"/>
  <c r="AD20" i="7"/>
  <c r="AC20" i="7"/>
  <c r="AA20" i="7"/>
  <c r="Z20" i="7"/>
  <c r="Y20" i="7"/>
  <c r="X20" i="7"/>
  <c r="W20" i="7"/>
  <c r="U20" i="7"/>
  <c r="T20" i="7"/>
  <c r="S20" i="7"/>
  <c r="Q20" i="7"/>
  <c r="P20" i="7"/>
  <c r="O20" i="7"/>
  <c r="M20" i="7"/>
  <c r="L20" i="7"/>
  <c r="K20" i="7"/>
  <c r="J20" i="7"/>
  <c r="I20" i="7"/>
  <c r="H20" i="7"/>
  <c r="G20" i="7"/>
  <c r="F20" i="7"/>
  <c r="E20" i="7"/>
  <c r="D20" i="7"/>
  <c r="C20" i="7"/>
  <c r="B20" i="7"/>
  <c r="AF19" i="7"/>
  <c r="AE19" i="7"/>
  <c r="AD19" i="7"/>
  <c r="AC19" i="7"/>
  <c r="AA19" i="7"/>
  <c r="Z19" i="7"/>
  <c r="Y19" i="7"/>
  <c r="X19" i="7"/>
  <c r="W19" i="7"/>
  <c r="U19" i="7"/>
  <c r="T19" i="7"/>
  <c r="S19" i="7"/>
  <c r="Q19" i="7"/>
  <c r="P19" i="7"/>
  <c r="O19" i="7"/>
  <c r="M19" i="7"/>
  <c r="L19" i="7"/>
  <c r="K19" i="7"/>
  <c r="J19" i="7"/>
  <c r="I19" i="7"/>
  <c r="H19" i="7"/>
  <c r="G19" i="7"/>
  <c r="F19" i="7"/>
  <c r="E19" i="7"/>
  <c r="D19" i="7"/>
  <c r="C19" i="7"/>
  <c r="B19" i="7"/>
  <c r="AF18" i="7"/>
  <c r="AE18" i="7"/>
  <c r="AD18" i="7"/>
  <c r="AC18" i="7"/>
  <c r="AA18" i="7"/>
  <c r="Z18" i="7"/>
  <c r="Y18" i="7"/>
  <c r="X18" i="7"/>
  <c r="W18" i="7"/>
  <c r="U18" i="7"/>
  <c r="T18" i="7"/>
  <c r="S18" i="7"/>
  <c r="Q18" i="7"/>
  <c r="P18" i="7"/>
  <c r="O18" i="7"/>
  <c r="M18" i="7"/>
  <c r="L18" i="7"/>
  <c r="K18" i="7"/>
  <c r="J18" i="7"/>
  <c r="I18" i="7"/>
  <c r="H18" i="7"/>
  <c r="G18" i="7"/>
  <c r="F18" i="7"/>
  <c r="E18" i="7"/>
  <c r="D18" i="7"/>
  <c r="C18" i="7"/>
  <c r="B18" i="7"/>
  <c r="AF17" i="7"/>
  <c r="AE17" i="7"/>
  <c r="AD17" i="7"/>
  <c r="AC17" i="7"/>
  <c r="AA17" i="7"/>
  <c r="Z17" i="7"/>
  <c r="Y17" i="7"/>
  <c r="X17" i="7"/>
  <c r="W17" i="7"/>
  <c r="U17" i="7"/>
  <c r="T17" i="7"/>
  <c r="S17" i="7"/>
  <c r="Q17" i="7"/>
  <c r="P17" i="7"/>
  <c r="O17" i="7"/>
  <c r="M17" i="7"/>
  <c r="L17" i="7"/>
  <c r="K17" i="7"/>
  <c r="J17" i="7"/>
  <c r="I17" i="7"/>
  <c r="H17" i="7"/>
  <c r="G17" i="7"/>
  <c r="F17" i="7"/>
  <c r="E17" i="7"/>
  <c r="D17" i="7"/>
  <c r="C17" i="7"/>
  <c r="B17" i="7"/>
  <c r="AF16" i="7"/>
  <c r="AE16" i="7"/>
  <c r="AD16" i="7"/>
  <c r="AC16" i="7"/>
  <c r="AA16" i="7"/>
  <c r="Z16" i="7"/>
  <c r="Y16" i="7"/>
  <c r="X16" i="7"/>
  <c r="W16" i="7"/>
  <c r="U16" i="7"/>
  <c r="T16" i="7"/>
  <c r="S16" i="7"/>
  <c r="Q16" i="7"/>
  <c r="P16" i="7"/>
  <c r="O16" i="7"/>
  <c r="M16" i="7"/>
  <c r="L16" i="7"/>
  <c r="K16" i="7"/>
  <c r="J16" i="7"/>
  <c r="I16" i="7"/>
  <c r="H16" i="7"/>
  <c r="G16" i="7"/>
  <c r="F16" i="7"/>
  <c r="E16" i="7"/>
  <c r="D16" i="7"/>
  <c r="C16" i="7"/>
  <c r="B16" i="7"/>
  <c r="AF15" i="7"/>
  <c r="AE15" i="7"/>
  <c r="AD15" i="7"/>
  <c r="AC15" i="7"/>
  <c r="AA15" i="7"/>
  <c r="Z15" i="7"/>
  <c r="Y15" i="7"/>
  <c r="X15" i="7"/>
  <c r="W15" i="7"/>
  <c r="U15" i="7"/>
  <c r="T15" i="7"/>
  <c r="S15" i="7"/>
  <c r="Q15" i="7"/>
  <c r="P15" i="7"/>
  <c r="O15" i="7"/>
  <c r="M15" i="7"/>
  <c r="L15" i="7"/>
  <c r="K15" i="7"/>
  <c r="J15" i="7"/>
  <c r="I15" i="7"/>
  <c r="H15" i="7"/>
  <c r="G15" i="7"/>
  <c r="F15" i="7"/>
  <c r="E15" i="7"/>
  <c r="D15" i="7"/>
  <c r="C15" i="7"/>
  <c r="B15" i="7"/>
  <c r="AF14" i="7"/>
  <c r="AE14" i="7"/>
  <c r="AD14" i="7"/>
  <c r="AC14" i="7"/>
  <c r="AA14" i="7"/>
  <c r="Z14" i="7"/>
  <c r="Y14" i="7"/>
  <c r="X14" i="7"/>
  <c r="W14" i="7"/>
  <c r="U14" i="7"/>
  <c r="T14" i="7"/>
  <c r="S14" i="7"/>
  <c r="Q14" i="7"/>
  <c r="P14" i="7"/>
  <c r="O14" i="7"/>
  <c r="M14" i="7"/>
  <c r="L14" i="7"/>
  <c r="K14" i="7"/>
  <c r="J14" i="7"/>
  <c r="I14" i="7"/>
  <c r="H14" i="7"/>
  <c r="G14" i="7"/>
  <c r="F14" i="7"/>
  <c r="E14" i="7"/>
  <c r="D14" i="7"/>
  <c r="C14" i="7"/>
  <c r="B14" i="7"/>
  <c r="AF13" i="7"/>
  <c r="AE13" i="7"/>
  <c r="AD13" i="7"/>
  <c r="AC13" i="7"/>
  <c r="AA13" i="7"/>
  <c r="Z13" i="7"/>
  <c r="Y13" i="7"/>
  <c r="X13" i="7"/>
  <c r="W13" i="7"/>
  <c r="U13" i="7"/>
  <c r="T13" i="7"/>
  <c r="S13" i="7"/>
  <c r="Q13" i="7"/>
  <c r="P13" i="7"/>
  <c r="O13" i="7"/>
  <c r="M13" i="7"/>
  <c r="L13" i="7"/>
  <c r="K13" i="7"/>
  <c r="J13" i="7"/>
  <c r="I13" i="7"/>
  <c r="H13" i="7"/>
  <c r="G13" i="7"/>
  <c r="F13" i="7"/>
  <c r="E13" i="7"/>
  <c r="D13" i="7"/>
  <c r="C13" i="7"/>
  <c r="B13" i="7"/>
  <c r="AF12" i="7"/>
  <c r="AE12" i="7"/>
  <c r="AD12" i="7"/>
  <c r="AC12" i="7"/>
  <c r="AA12" i="7"/>
  <c r="Z12" i="7"/>
  <c r="Y12" i="7"/>
  <c r="X12" i="7"/>
  <c r="W12" i="7"/>
  <c r="U12" i="7"/>
  <c r="T12" i="7"/>
  <c r="S12" i="7"/>
  <c r="Q12" i="7"/>
  <c r="P12" i="7"/>
  <c r="O12" i="7"/>
  <c r="M12" i="7"/>
  <c r="L12" i="7"/>
  <c r="K12" i="7"/>
  <c r="J12" i="7"/>
  <c r="I12" i="7"/>
  <c r="H12" i="7"/>
  <c r="G12" i="7"/>
  <c r="F12" i="7"/>
  <c r="E12" i="7"/>
  <c r="D12" i="7"/>
  <c r="C12" i="7"/>
  <c r="B12" i="7"/>
  <c r="AF11" i="7"/>
  <c r="AE11" i="7"/>
  <c r="AD11" i="7"/>
  <c r="AC11" i="7"/>
  <c r="AA11" i="7"/>
  <c r="Z11" i="7"/>
  <c r="Y11" i="7"/>
  <c r="X11" i="7"/>
  <c r="W11" i="7"/>
  <c r="U11" i="7"/>
  <c r="T11" i="7"/>
  <c r="S11" i="7"/>
  <c r="Q11" i="7"/>
  <c r="P11" i="7"/>
  <c r="O11" i="7"/>
  <c r="M11" i="7"/>
  <c r="L11" i="7"/>
  <c r="K11" i="7"/>
  <c r="J11" i="7"/>
  <c r="I11" i="7"/>
  <c r="H11" i="7"/>
  <c r="G11" i="7"/>
  <c r="F11" i="7"/>
  <c r="E11" i="7"/>
  <c r="D11" i="7"/>
  <c r="C11" i="7"/>
  <c r="B11" i="7"/>
  <c r="AF10" i="7"/>
  <c r="AE10" i="7"/>
  <c r="AD10" i="7"/>
  <c r="AC10" i="7"/>
  <c r="AA10" i="7"/>
  <c r="Z10" i="7"/>
  <c r="Y10" i="7"/>
  <c r="X10" i="7"/>
  <c r="W10" i="7"/>
  <c r="U10" i="7"/>
  <c r="T10" i="7"/>
  <c r="S10" i="7"/>
  <c r="Q10" i="7"/>
  <c r="P10" i="7"/>
  <c r="O10" i="7"/>
  <c r="M10" i="7"/>
  <c r="L10" i="7"/>
  <c r="K10" i="7"/>
  <c r="J10" i="7"/>
  <c r="I10" i="7"/>
  <c r="H10" i="7"/>
  <c r="G10" i="7"/>
  <c r="F10" i="7"/>
  <c r="E10" i="7"/>
  <c r="D10" i="7"/>
  <c r="C10" i="7"/>
  <c r="B10" i="7"/>
  <c r="AF9" i="7"/>
  <c r="AE9" i="7"/>
  <c r="AD9" i="7"/>
  <c r="AC9" i="7"/>
  <c r="AA9" i="7"/>
  <c r="Z9" i="7"/>
  <c r="Y9" i="7"/>
  <c r="X9" i="7"/>
  <c r="W9" i="7"/>
  <c r="U9" i="7"/>
  <c r="T9" i="7"/>
  <c r="S9" i="7"/>
  <c r="Q9" i="7"/>
  <c r="P9" i="7"/>
  <c r="O9" i="7"/>
  <c r="M9" i="7"/>
  <c r="L9" i="7"/>
  <c r="K9" i="7"/>
  <c r="J9" i="7"/>
  <c r="I9" i="7"/>
  <c r="H9" i="7"/>
  <c r="G9" i="7"/>
  <c r="F9" i="7"/>
  <c r="E9" i="7"/>
  <c r="D9" i="7"/>
  <c r="C9" i="7"/>
  <c r="B9" i="7"/>
  <c r="AF8" i="7"/>
  <c r="AE8" i="7"/>
  <c r="AD8" i="7"/>
  <c r="AC8" i="7"/>
  <c r="AA8" i="7"/>
  <c r="Z8" i="7"/>
  <c r="Y8" i="7"/>
  <c r="X8" i="7"/>
  <c r="W8" i="7"/>
  <c r="U8" i="7"/>
  <c r="T8" i="7"/>
  <c r="S8" i="7"/>
  <c r="Q8" i="7"/>
  <c r="P8" i="7"/>
  <c r="O8" i="7"/>
  <c r="M8" i="7"/>
  <c r="L8" i="7"/>
  <c r="K8" i="7"/>
  <c r="J8" i="7"/>
  <c r="I8" i="7"/>
  <c r="H8" i="7"/>
  <c r="G8" i="7"/>
  <c r="F8" i="7"/>
  <c r="E8" i="7"/>
  <c r="D8" i="7"/>
  <c r="C8" i="7"/>
  <c r="B8" i="7"/>
  <c r="AF7" i="7"/>
  <c r="AE7" i="7"/>
  <c r="AD7" i="7"/>
  <c r="AC7" i="7"/>
  <c r="AA7" i="7"/>
  <c r="Z7" i="7"/>
  <c r="Y7" i="7"/>
  <c r="X7" i="7"/>
  <c r="W7" i="7"/>
  <c r="U7" i="7"/>
  <c r="T7" i="7"/>
  <c r="S7" i="7"/>
  <c r="Q7" i="7"/>
  <c r="P7" i="7"/>
  <c r="O7" i="7"/>
  <c r="M7" i="7"/>
  <c r="L7" i="7"/>
  <c r="K7" i="7"/>
  <c r="J7" i="7"/>
  <c r="I7" i="7"/>
  <c r="H7" i="7"/>
  <c r="G7" i="7"/>
  <c r="F7" i="7"/>
  <c r="E7" i="7"/>
  <c r="D7" i="7"/>
  <c r="C7" i="7"/>
  <c r="B7" i="7"/>
  <c r="AF6" i="7"/>
  <c r="AE6" i="7"/>
  <c r="AD6" i="7"/>
  <c r="AC6" i="7"/>
  <c r="AA6" i="7"/>
  <c r="Z6" i="7"/>
  <c r="Y6" i="7"/>
  <c r="X6" i="7"/>
  <c r="W6" i="7"/>
  <c r="U6" i="7"/>
  <c r="T6" i="7"/>
  <c r="S6" i="7"/>
  <c r="Q6" i="7"/>
  <c r="P6" i="7"/>
  <c r="O6" i="7"/>
  <c r="M6" i="7"/>
  <c r="L6" i="7"/>
  <c r="K6" i="7"/>
  <c r="J6" i="7"/>
  <c r="I6" i="7"/>
  <c r="H6" i="7"/>
  <c r="G6" i="7"/>
  <c r="F6" i="7"/>
  <c r="E6" i="7"/>
  <c r="D6" i="7"/>
  <c r="C6" i="7"/>
  <c r="B6" i="7"/>
  <c r="AF5" i="7"/>
  <c r="AE5" i="7"/>
  <c r="AD5" i="7"/>
  <c r="AC5" i="7"/>
  <c r="AA5" i="7"/>
  <c r="Z5" i="7"/>
  <c r="Y5" i="7"/>
  <c r="X5" i="7"/>
  <c r="W5" i="7"/>
  <c r="U5" i="7"/>
  <c r="T5" i="7"/>
  <c r="S5" i="7"/>
  <c r="Q5" i="7"/>
  <c r="P5" i="7"/>
  <c r="O5" i="7"/>
  <c r="M5" i="7"/>
  <c r="L5" i="7"/>
  <c r="K5" i="7"/>
  <c r="J5" i="7"/>
  <c r="I5" i="7"/>
  <c r="H5" i="7"/>
  <c r="G5" i="7"/>
  <c r="F5" i="7"/>
  <c r="E5" i="7"/>
  <c r="D5" i="7"/>
  <c r="C5" i="7"/>
  <c r="B5" i="7"/>
  <c r="AF4" i="7"/>
  <c r="AE4" i="7"/>
  <c r="AD4" i="7"/>
  <c r="AC4" i="7"/>
  <c r="AA4" i="7"/>
  <c r="Z4" i="7"/>
  <c r="Y4" i="7"/>
  <c r="X4" i="7"/>
  <c r="W4" i="7"/>
  <c r="U4" i="7"/>
  <c r="T4" i="7"/>
  <c r="S4" i="7"/>
  <c r="Q4" i="7"/>
  <c r="P4" i="7"/>
  <c r="O4" i="7"/>
  <c r="M4" i="7"/>
  <c r="L4" i="7"/>
  <c r="K4" i="7"/>
  <c r="J4" i="7"/>
  <c r="I4" i="7"/>
  <c r="H4" i="7"/>
  <c r="G4" i="7"/>
  <c r="F4" i="7"/>
  <c r="E4" i="7"/>
  <c r="D4" i="7"/>
  <c r="C4" i="7"/>
  <c r="B4" i="7"/>
  <c r="AF3" i="7"/>
  <c r="AE3" i="7"/>
  <c r="AD3" i="7"/>
  <c r="AC3" i="7"/>
  <c r="AA3" i="7"/>
  <c r="Z3" i="7"/>
  <c r="Y3" i="7"/>
  <c r="X3" i="7"/>
  <c r="W3" i="7"/>
  <c r="U3" i="7"/>
  <c r="T3" i="7"/>
  <c r="S3" i="7"/>
  <c r="Q3" i="7"/>
  <c r="P3" i="7"/>
  <c r="O3" i="7"/>
  <c r="M3" i="7"/>
  <c r="L3" i="7"/>
  <c r="K3" i="7"/>
  <c r="J3" i="7"/>
  <c r="I3" i="7"/>
  <c r="H3" i="7"/>
  <c r="G3" i="7"/>
  <c r="F3" i="7"/>
  <c r="E3" i="7"/>
  <c r="D3" i="7"/>
  <c r="C3" i="7"/>
  <c r="B3" i="7"/>
  <c r="AF2" i="7"/>
  <c r="AE2" i="7"/>
  <c r="AD2" i="7"/>
  <c r="AC2" i="7"/>
  <c r="AA2" i="7"/>
  <c r="Z2" i="7"/>
  <c r="Y2" i="7"/>
  <c r="X2" i="7"/>
  <c r="W2" i="7"/>
  <c r="U2" i="7"/>
  <c r="T2" i="7"/>
  <c r="S2" i="7"/>
  <c r="Q2" i="7"/>
  <c r="P2" i="7"/>
  <c r="O2" i="7"/>
  <c r="M2" i="7"/>
  <c r="L2" i="7"/>
  <c r="K2" i="7"/>
  <c r="J2" i="7"/>
  <c r="I2" i="7"/>
  <c r="H2" i="7"/>
  <c r="G2" i="7"/>
  <c r="F2" i="7"/>
  <c r="E2" i="7"/>
  <c r="D2" i="7"/>
  <c r="C2" i="7"/>
  <c r="B2" i="7"/>
  <c r="S23" i="9"/>
  <c r="R23" i="9"/>
  <c r="Q23" i="9"/>
  <c r="P23" i="9"/>
  <c r="N23" i="9"/>
  <c r="M23" i="9"/>
  <c r="L23" i="9"/>
  <c r="K23" i="9"/>
  <c r="J23" i="9"/>
  <c r="H23" i="9"/>
  <c r="G23" i="9"/>
  <c r="F23" i="9"/>
  <c r="D23" i="9"/>
  <c r="C23" i="9"/>
  <c r="B23" i="9"/>
  <c r="S22" i="9"/>
  <c r="R22" i="9"/>
  <c r="Q22" i="9"/>
  <c r="P22" i="9"/>
  <c r="N22" i="9"/>
  <c r="M22" i="9"/>
  <c r="L22" i="9"/>
  <c r="K22" i="9"/>
  <c r="J22" i="9"/>
  <c r="H22" i="9"/>
  <c r="G22" i="9"/>
  <c r="F22" i="9"/>
  <c r="D22" i="9"/>
  <c r="C22" i="9"/>
  <c r="B22" i="9"/>
  <c r="S21" i="9"/>
  <c r="R21" i="9"/>
  <c r="Q21" i="9"/>
  <c r="P21" i="9"/>
  <c r="N21" i="9"/>
  <c r="M21" i="9"/>
  <c r="L21" i="9"/>
  <c r="K21" i="9"/>
  <c r="J21" i="9"/>
  <c r="H21" i="9"/>
  <c r="G21" i="9"/>
  <c r="F21" i="9"/>
  <c r="D21" i="9"/>
  <c r="C21" i="9"/>
  <c r="B21" i="9"/>
  <c r="S20" i="9"/>
  <c r="R20" i="9"/>
  <c r="Q20" i="9"/>
  <c r="P20" i="9"/>
  <c r="N20" i="9"/>
  <c r="M20" i="9"/>
  <c r="L20" i="9"/>
  <c r="K20" i="9"/>
  <c r="J20" i="9"/>
  <c r="H20" i="9"/>
  <c r="G20" i="9"/>
  <c r="F20" i="9"/>
  <c r="D20" i="9"/>
  <c r="C20" i="9"/>
  <c r="B20" i="9"/>
  <c r="S19" i="9"/>
  <c r="R19" i="9"/>
  <c r="Q19" i="9"/>
  <c r="P19" i="9"/>
  <c r="N19" i="9"/>
  <c r="M19" i="9"/>
  <c r="L19" i="9"/>
  <c r="K19" i="9"/>
  <c r="J19" i="9"/>
  <c r="H19" i="9"/>
  <c r="G19" i="9"/>
  <c r="F19" i="9"/>
  <c r="D19" i="9"/>
  <c r="C19" i="9"/>
  <c r="B19" i="9"/>
  <c r="S18" i="9"/>
  <c r="R18" i="9"/>
  <c r="Q18" i="9"/>
  <c r="P18" i="9"/>
  <c r="N18" i="9"/>
  <c r="M18" i="9"/>
  <c r="L18" i="9"/>
  <c r="K18" i="9"/>
  <c r="J18" i="9"/>
  <c r="H18" i="9"/>
  <c r="G18" i="9"/>
  <c r="F18" i="9"/>
  <c r="D18" i="9"/>
  <c r="C18" i="9"/>
  <c r="B18" i="9"/>
  <c r="S17" i="9"/>
  <c r="R17" i="9"/>
  <c r="Q17" i="9"/>
  <c r="P17" i="9"/>
  <c r="N17" i="9"/>
  <c r="M17" i="9"/>
  <c r="L17" i="9"/>
  <c r="K17" i="9"/>
  <c r="J17" i="9"/>
  <c r="H17" i="9"/>
  <c r="G17" i="9"/>
  <c r="F17" i="9"/>
  <c r="D17" i="9"/>
  <c r="C17" i="9"/>
  <c r="B17" i="9"/>
  <c r="S16" i="9"/>
  <c r="R16" i="9"/>
  <c r="Q16" i="9"/>
  <c r="P16" i="9"/>
  <c r="N16" i="9"/>
  <c r="M16" i="9"/>
  <c r="L16" i="9"/>
  <c r="K16" i="9"/>
  <c r="J16" i="9"/>
  <c r="H16" i="9"/>
  <c r="G16" i="9"/>
  <c r="F16" i="9"/>
  <c r="D16" i="9"/>
  <c r="C16" i="9"/>
  <c r="B16" i="9"/>
  <c r="S15" i="9"/>
  <c r="R15" i="9"/>
  <c r="Q15" i="9"/>
  <c r="P15" i="9"/>
  <c r="N15" i="9"/>
  <c r="M15" i="9"/>
  <c r="L15" i="9"/>
  <c r="K15" i="9"/>
  <c r="J15" i="9"/>
  <c r="H15" i="9"/>
  <c r="G15" i="9"/>
  <c r="F15" i="9"/>
  <c r="D15" i="9"/>
  <c r="C15" i="9"/>
  <c r="B15" i="9"/>
  <c r="S14" i="9"/>
  <c r="R14" i="9"/>
  <c r="Q14" i="9"/>
  <c r="P14" i="9"/>
  <c r="N14" i="9"/>
  <c r="M14" i="9"/>
  <c r="L14" i="9"/>
  <c r="K14" i="9"/>
  <c r="J14" i="9"/>
  <c r="H14" i="9"/>
  <c r="G14" i="9"/>
  <c r="F14" i="9"/>
  <c r="D14" i="9"/>
  <c r="C14" i="9"/>
  <c r="B14" i="9"/>
  <c r="S13" i="9"/>
  <c r="R13" i="9"/>
  <c r="Q13" i="9"/>
  <c r="P13" i="9"/>
  <c r="N13" i="9"/>
  <c r="M13" i="9"/>
  <c r="L13" i="9"/>
  <c r="K13" i="9"/>
  <c r="J13" i="9"/>
  <c r="H13" i="9"/>
  <c r="G13" i="9"/>
  <c r="F13" i="9"/>
  <c r="D13" i="9"/>
  <c r="C13" i="9"/>
  <c r="B13" i="9"/>
  <c r="S12" i="9"/>
  <c r="R12" i="9"/>
  <c r="Q12" i="9"/>
  <c r="P12" i="9"/>
  <c r="N12" i="9"/>
  <c r="M12" i="9"/>
  <c r="L12" i="9"/>
  <c r="K12" i="9"/>
  <c r="J12" i="9"/>
  <c r="H12" i="9"/>
  <c r="G12" i="9"/>
  <c r="F12" i="9"/>
  <c r="D12" i="9"/>
  <c r="C12" i="9"/>
  <c r="B12" i="9"/>
  <c r="S11" i="9"/>
  <c r="R11" i="9"/>
  <c r="Q11" i="9"/>
  <c r="P11" i="9"/>
  <c r="N11" i="9"/>
  <c r="M11" i="9"/>
  <c r="L11" i="9"/>
  <c r="K11" i="9"/>
  <c r="J11" i="9"/>
  <c r="H11" i="9"/>
  <c r="G11" i="9"/>
  <c r="F11" i="9"/>
  <c r="D11" i="9"/>
  <c r="C11" i="9"/>
  <c r="B11" i="9"/>
  <c r="S10" i="9"/>
  <c r="R10" i="9"/>
  <c r="Q10" i="9"/>
  <c r="P10" i="9"/>
  <c r="N10" i="9"/>
  <c r="M10" i="9"/>
  <c r="L10" i="9"/>
  <c r="K10" i="9"/>
  <c r="J10" i="9"/>
  <c r="H10" i="9"/>
  <c r="G10" i="9"/>
  <c r="F10" i="9"/>
  <c r="D10" i="9"/>
  <c r="C10" i="9"/>
  <c r="B10" i="9"/>
  <c r="S9" i="9"/>
  <c r="R9" i="9"/>
  <c r="Q9" i="9"/>
  <c r="P9" i="9"/>
  <c r="N9" i="9"/>
  <c r="M9" i="9"/>
  <c r="L9" i="9"/>
  <c r="K9" i="9"/>
  <c r="J9" i="9"/>
  <c r="H9" i="9"/>
  <c r="G9" i="9"/>
  <c r="F9" i="9"/>
  <c r="D9" i="9"/>
  <c r="C9" i="9"/>
  <c r="B9" i="9"/>
  <c r="S8" i="9"/>
  <c r="R8" i="9"/>
  <c r="Q8" i="9"/>
  <c r="P8" i="9"/>
  <c r="N8" i="9"/>
  <c r="M8" i="9"/>
  <c r="L8" i="9"/>
  <c r="K8" i="9"/>
  <c r="J8" i="9"/>
  <c r="H8" i="9"/>
  <c r="G8" i="9"/>
  <c r="F8" i="9"/>
  <c r="D8" i="9"/>
  <c r="C8" i="9"/>
  <c r="B8" i="9"/>
  <c r="S7" i="9"/>
  <c r="R7" i="9"/>
  <c r="Q7" i="9"/>
  <c r="P7" i="9"/>
  <c r="N7" i="9"/>
  <c r="M7" i="9"/>
  <c r="L7" i="9"/>
  <c r="K7" i="9"/>
  <c r="J7" i="9"/>
  <c r="H7" i="9"/>
  <c r="G7" i="9"/>
  <c r="F7" i="9"/>
  <c r="D7" i="9"/>
  <c r="C7" i="9"/>
  <c r="B7" i="9"/>
  <c r="S6" i="9"/>
  <c r="R6" i="9"/>
  <c r="Q6" i="9"/>
  <c r="P6" i="9"/>
  <c r="N6" i="9"/>
  <c r="M6" i="9"/>
  <c r="L6" i="9"/>
  <c r="K6" i="9"/>
  <c r="J6" i="9"/>
  <c r="H6" i="9"/>
  <c r="G6" i="9"/>
  <c r="F6" i="9"/>
  <c r="D6" i="9"/>
  <c r="C6" i="9"/>
  <c r="B6" i="9"/>
  <c r="S5" i="9"/>
  <c r="R5" i="9"/>
  <c r="Q5" i="9"/>
  <c r="P5" i="9"/>
  <c r="N5" i="9"/>
  <c r="M5" i="9"/>
  <c r="L5" i="9"/>
  <c r="K5" i="9"/>
  <c r="J5" i="9"/>
  <c r="H5" i="9"/>
  <c r="G5" i="9"/>
  <c r="F5" i="9"/>
  <c r="D5" i="9"/>
  <c r="C5" i="9"/>
  <c r="B5" i="9"/>
  <c r="S4" i="9"/>
  <c r="R4" i="9"/>
  <c r="Q4" i="9"/>
  <c r="P4" i="9"/>
  <c r="N4" i="9"/>
  <c r="M4" i="9"/>
  <c r="L4" i="9"/>
  <c r="K4" i="9"/>
  <c r="J4" i="9"/>
  <c r="H4" i="9"/>
  <c r="G4" i="9"/>
  <c r="F4" i="9"/>
  <c r="D4" i="9"/>
  <c r="C4" i="9"/>
  <c r="B4" i="9"/>
  <c r="S3" i="9"/>
  <c r="R3" i="9"/>
  <c r="Q3" i="9"/>
  <c r="P3" i="9"/>
  <c r="N3" i="9"/>
  <c r="M3" i="9"/>
  <c r="L3" i="9"/>
  <c r="K3" i="9"/>
  <c r="J3" i="9"/>
  <c r="H3" i="9"/>
  <c r="G3" i="9"/>
  <c r="F3" i="9"/>
  <c r="D3" i="9"/>
  <c r="C3" i="9"/>
  <c r="B3" i="9"/>
  <c r="S2" i="9"/>
  <c r="R2" i="9"/>
  <c r="Q2" i="9"/>
  <c r="P2" i="9"/>
  <c r="N2" i="9"/>
  <c r="M2" i="9"/>
  <c r="L2" i="9"/>
  <c r="K2" i="9"/>
  <c r="J2" i="9"/>
  <c r="H2" i="9"/>
  <c r="G2" i="9"/>
  <c r="F2" i="9"/>
  <c r="D2" i="9"/>
  <c r="C2" i="9"/>
  <c r="B2" i="9"/>
  <c r="M23" i="8"/>
  <c r="L23" i="8"/>
  <c r="K23" i="8"/>
  <c r="J23" i="8"/>
  <c r="I23" i="8"/>
  <c r="H23" i="8"/>
  <c r="G23" i="8"/>
  <c r="F23" i="8"/>
  <c r="E23" i="8"/>
  <c r="D23" i="8"/>
  <c r="C23" i="8"/>
  <c r="B23" i="8"/>
  <c r="M22" i="8"/>
  <c r="L22" i="8"/>
  <c r="K22" i="8"/>
  <c r="J22" i="8"/>
  <c r="I22" i="8"/>
  <c r="H22" i="8"/>
  <c r="G22" i="8"/>
  <c r="F22" i="8"/>
  <c r="E22" i="8"/>
  <c r="D22" i="8"/>
  <c r="C22" i="8"/>
  <c r="B22" i="8"/>
  <c r="M21" i="8"/>
  <c r="L21" i="8"/>
  <c r="K21" i="8"/>
  <c r="J21" i="8"/>
  <c r="I21" i="8"/>
  <c r="H21" i="8"/>
  <c r="G21" i="8"/>
  <c r="F21" i="8"/>
  <c r="E21" i="8"/>
  <c r="D21" i="8"/>
  <c r="C21" i="8"/>
  <c r="B21" i="8"/>
  <c r="M20" i="8"/>
  <c r="L20" i="8"/>
  <c r="K20" i="8"/>
  <c r="J20" i="8"/>
  <c r="I20" i="8"/>
  <c r="H20" i="8"/>
  <c r="G20" i="8"/>
  <c r="F20" i="8"/>
  <c r="E20" i="8"/>
  <c r="D20" i="8"/>
  <c r="C20" i="8"/>
  <c r="B20" i="8"/>
  <c r="M19" i="8"/>
  <c r="L19" i="8"/>
  <c r="K19" i="8"/>
  <c r="J19" i="8"/>
  <c r="I19" i="8"/>
  <c r="H19" i="8"/>
  <c r="G19" i="8"/>
  <c r="F19" i="8"/>
  <c r="E19" i="8"/>
  <c r="D19" i="8"/>
  <c r="C19" i="8"/>
  <c r="B19" i="8"/>
  <c r="M18" i="8"/>
  <c r="L18" i="8"/>
  <c r="K18" i="8"/>
  <c r="J18" i="8"/>
  <c r="I18" i="8"/>
  <c r="H18" i="8"/>
  <c r="G18" i="8"/>
  <c r="F18" i="8"/>
  <c r="E18" i="8"/>
  <c r="D18" i="8"/>
  <c r="C18" i="8"/>
  <c r="B18" i="8"/>
  <c r="M17" i="8"/>
  <c r="L17" i="8"/>
  <c r="K17" i="8"/>
  <c r="J17" i="8"/>
  <c r="I17" i="8"/>
  <c r="H17" i="8"/>
  <c r="G17" i="8"/>
  <c r="F17" i="8"/>
  <c r="E17" i="8"/>
  <c r="D17" i="8"/>
  <c r="C17" i="8"/>
  <c r="B17" i="8"/>
  <c r="M16" i="8"/>
  <c r="L16" i="8"/>
  <c r="K16" i="8"/>
  <c r="J16" i="8"/>
  <c r="I16" i="8"/>
  <c r="H16" i="8"/>
  <c r="G16" i="8"/>
  <c r="F16" i="8"/>
  <c r="E16" i="8"/>
  <c r="D16" i="8"/>
  <c r="C16" i="8"/>
  <c r="B16" i="8"/>
  <c r="M15" i="8"/>
  <c r="L15" i="8"/>
  <c r="K15" i="8"/>
  <c r="J15" i="8"/>
  <c r="I15" i="8"/>
  <c r="H15" i="8"/>
  <c r="G15" i="8"/>
  <c r="F15" i="8"/>
  <c r="E15" i="8"/>
  <c r="D15" i="8"/>
  <c r="C15" i="8"/>
  <c r="B15" i="8"/>
  <c r="M14" i="8"/>
  <c r="L14" i="8"/>
  <c r="K14" i="8"/>
  <c r="J14" i="8"/>
  <c r="I14" i="8"/>
  <c r="H14" i="8"/>
  <c r="G14" i="8"/>
  <c r="F14" i="8"/>
  <c r="E14" i="8"/>
  <c r="D14" i="8"/>
  <c r="C14" i="8"/>
  <c r="B14" i="8"/>
  <c r="M13" i="8"/>
  <c r="L13" i="8"/>
  <c r="K13" i="8"/>
  <c r="J13" i="8"/>
  <c r="I13" i="8"/>
  <c r="H13" i="8"/>
  <c r="G13" i="8"/>
  <c r="F13" i="8"/>
  <c r="E13" i="8"/>
  <c r="D13" i="8"/>
  <c r="C13" i="8"/>
  <c r="B13" i="8"/>
  <c r="M12" i="8"/>
  <c r="L12" i="8"/>
  <c r="K12" i="8"/>
  <c r="J12" i="8"/>
  <c r="I12" i="8"/>
  <c r="H12" i="8"/>
  <c r="G12" i="8"/>
  <c r="F12" i="8"/>
  <c r="E12" i="8"/>
  <c r="D12" i="8"/>
  <c r="C12" i="8"/>
  <c r="B12" i="8"/>
  <c r="M11" i="8"/>
  <c r="L11" i="8"/>
  <c r="K11" i="8"/>
  <c r="J11" i="8"/>
  <c r="I11" i="8"/>
  <c r="H11" i="8"/>
  <c r="G11" i="8"/>
  <c r="F11" i="8"/>
  <c r="E11" i="8"/>
  <c r="D11" i="8"/>
  <c r="C11" i="8"/>
  <c r="B11" i="8"/>
  <c r="M10" i="8"/>
  <c r="L10" i="8"/>
  <c r="K10" i="8"/>
  <c r="J10" i="8"/>
  <c r="I10" i="8"/>
  <c r="H10" i="8"/>
  <c r="G10" i="8"/>
  <c r="F10" i="8"/>
  <c r="E10" i="8"/>
  <c r="D10" i="8"/>
  <c r="C10" i="8"/>
  <c r="B10" i="8"/>
  <c r="M9" i="8"/>
  <c r="L9" i="8"/>
  <c r="K9" i="8"/>
  <c r="J9" i="8"/>
  <c r="I9" i="8"/>
  <c r="H9" i="8"/>
  <c r="G9" i="8"/>
  <c r="F9" i="8"/>
  <c r="E9" i="8"/>
  <c r="D9" i="8"/>
  <c r="C9" i="8"/>
  <c r="B9" i="8"/>
  <c r="M8" i="8"/>
  <c r="L8" i="8"/>
  <c r="K8" i="8"/>
  <c r="J8" i="8"/>
  <c r="I8" i="8"/>
  <c r="H8" i="8"/>
  <c r="G8" i="8"/>
  <c r="F8" i="8"/>
  <c r="E8" i="8"/>
  <c r="D8" i="8"/>
  <c r="C8" i="8"/>
  <c r="B8" i="8"/>
  <c r="M7" i="8"/>
  <c r="L7" i="8"/>
  <c r="K7" i="8"/>
  <c r="J7" i="8"/>
  <c r="I7" i="8"/>
  <c r="H7" i="8"/>
  <c r="G7" i="8"/>
  <c r="F7" i="8"/>
  <c r="E7" i="8"/>
  <c r="D7" i="8"/>
  <c r="C7" i="8"/>
  <c r="B7" i="8"/>
  <c r="M6" i="8"/>
  <c r="L6" i="8"/>
  <c r="K6" i="8"/>
  <c r="J6" i="8"/>
  <c r="I6" i="8"/>
  <c r="H6" i="8"/>
  <c r="G6" i="8"/>
  <c r="F6" i="8"/>
  <c r="E6" i="8"/>
  <c r="D6" i="8"/>
  <c r="C6" i="8"/>
  <c r="B6" i="8"/>
  <c r="M5" i="8"/>
  <c r="L5" i="8"/>
  <c r="K5" i="8"/>
  <c r="J5" i="8"/>
  <c r="I5" i="8"/>
  <c r="H5" i="8"/>
  <c r="G5" i="8"/>
  <c r="F5" i="8"/>
  <c r="E5" i="8"/>
  <c r="D5" i="8"/>
  <c r="C5" i="8"/>
  <c r="B5" i="8"/>
  <c r="M4" i="8"/>
  <c r="L4" i="8"/>
  <c r="K4" i="8"/>
  <c r="J4" i="8"/>
  <c r="I4" i="8"/>
  <c r="H4" i="8"/>
  <c r="G4" i="8"/>
  <c r="F4" i="8"/>
  <c r="E4" i="8"/>
  <c r="D4" i="8"/>
  <c r="C4" i="8"/>
  <c r="B4" i="8"/>
  <c r="M3" i="8"/>
  <c r="L3" i="8"/>
  <c r="K3" i="8"/>
  <c r="J3" i="8"/>
  <c r="I3" i="8"/>
  <c r="H3" i="8"/>
  <c r="G3" i="8"/>
  <c r="F3" i="8"/>
  <c r="E3" i="8"/>
  <c r="D3" i="8"/>
  <c r="C3" i="8"/>
  <c r="B3" i="8"/>
  <c r="M2" i="8"/>
  <c r="L2" i="8"/>
  <c r="K2" i="8"/>
  <c r="J2" i="8"/>
  <c r="I2" i="8"/>
  <c r="H2" i="8"/>
  <c r="G2" i="8"/>
  <c r="F2" i="8"/>
  <c r="E2" i="8"/>
  <c r="D2" i="8"/>
  <c r="C2" i="8"/>
  <c r="B2" i="8"/>
  <c r="I2" i="9" l="1"/>
  <c r="I8" i="9"/>
  <c r="I7" i="9"/>
  <c r="I23" i="9"/>
  <c r="N10" i="8"/>
  <c r="N13" i="8"/>
  <c r="N14" i="8"/>
  <c r="N16" i="8"/>
  <c r="N18" i="8"/>
  <c r="N20" i="8"/>
  <c r="N21" i="8"/>
  <c r="N22" i="8"/>
  <c r="I5" i="9"/>
  <c r="E8" i="9"/>
  <c r="I11" i="9"/>
  <c r="O15" i="9"/>
  <c r="E16" i="9"/>
  <c r="O23" i="9"/>
  <c r="I10" i="9"/>
  <c r="O14" i="9"/>
  <c r="E15" i="9"/>
  <c r="I20" i="9"/>
  <c r="O22" i="9"/>
  <c r="O13" i="9"/>
  <c r="E14" i="9"/>
  <c r="O6" i="9"/>
  <c r="I16" i="9"/>
  <c r="I6" i="9"/>
  <c r="E12" i="9"/>
  <c r="E2" i="9"/>
  <c r="E4" i="9"/>
  <c r="E11" i="9"/>
  <c r="E20" i="9"/>
  <c r="I22" i="9"/>
  <c r="I4" i="9"/>
  <c r="I12" i="9"/>
  <c r="O16" i="9"/>
  <c r="E5" i="9"/>
  <c r="I17" i="9"/>
  <c r="I3" i="9"/>
  <c r="O18" i="9"/>
  <c r="O21" i="9"/>
  <c r="E22" i="9"/>
  <c r="E23" i="9"/>
  <c r="I13" i="9"/>
  <c r="I9" i="9"/>
  <c r="O17" i="9"/>
  <c r="E18" i="9"/>
  <c r="E19" i="9"/>
  <c r="O20" i="9"/>
  <c r="O7" i="9"/>
  <c r="O9" i="9"/>
  <c r="O10" i="9"/>
  <c r="O12" i="9"/>
  <c r="E17" i="9"/>
  <c r="O19" i="9"/>
  <c r="E21" i="9"/>
  <c r="O3" i="9"/>
  <c r="O5" i="9"/>
  <c r="E6" i="9"/>
  <c r="E7" i="9"/>
  <c r="O8" i="9"/>
  <c r="E9" i="9"/>
  <c r="E10" i="9"/>
  <c r="I18" i="9"/>
  <c r="I19" i="9"/>
  <c r="O2" i="9"/>
  <c r="E3" i="9"/>
  <c r="O4" i="9"/>
  <c r="O11" i="9"/>
  <c r="E13" i="9"/>
  <c r="I14" i="9"/>
  <c r="I15" i="9"/>
  <c r="I21" i="9"/>
  <c r="N6" i="8"/>
  <c r="N8" i="8"/>
  <c r="N2" i="8"/>
  <c r="N4" i="8"/>
  <c r="N5" i="8"/>
  <c r="N12" i="8"/>
  <c r="N3" i="8"/>
  <c r="N7" i="8"/>
  <c r="N9" i="8"/>
  <c r="N11" i="8"/>
  <c r="N15" i="8"/>
  <c r="N17" i="8"/>
  <c r="N19" i="8"/>
  <c r="N23" i="8"/>
  <c r="R8" i="7"/>
  <c r="V8" i="7"/>
  <c r="R5" i="7"/>
  <c r="R4" i="7"/>
  <c r="V7" i="7"/>
  <c r="N7" i="7"/>
  <c r="R6" i="7"/>
  <c r="R7" i="7"/>
  <c r="R23" i="7"/>
  <c r="AB6" i="7"/>
  <c r="R19" i="7"/>
  <c r="N5" i="7"/>
  <c r="V5" i="7"/>
  <c r="AB4" i="7"/>
  <c r="N8" i="7"/>
  <c r="AB7" i="7"/>
  <c r="N6" i="7"/>
  <c r="V6" i="7"/>
  <c r="AB5" i="7"/>
  <c r="N4" i="7"/>
  <c r="V4" i="7"/>
  <c r="AB8" i="7"/>
  <c r="AB3" i="7"/>
  <c r="V3" i="7"/>
  <c r="R3" i="7"/>
  <c r="N3" i="7"/>
  <c r="AB23" i="7"/>
  <c r="R22" i="7"/>
  <c r="AB20" i="7"/>
  <c r="AB9" i="7"/>
  <c r="V11" i="7"/>
  <c r="AB13" i="7"/>
  <c r="V15" i="7"/>
  <c r="AB17" i="7"/>
  <c r="R20" i="7"/>
  <c r="R9" i="7"/>
  <c r="R13" i="7"/>
  <c r="R17" i="7"/>
  <c r="V19" i="7"/>
  <c r="R21" i="7"/>
  <c r="R10" i="7"/>
  <c r="R14" i="7"/>
  <c r="R18" i="7"/>
  <c r="N19" i="7"/>
  <c r="V2" i="7"/>
  <c r="AB10" i="7"/>
  <c r="V12" i="7"/>
  <c r="AB14" i="7"/>
  <c r="V16" i="7"/>
  <c r="AB18" i="7"/>
  <c r="N22" i="7"/>
  <c r="V22" i="7"/>
  <c r="N2" i="7"/>
  <c r="N12" i="7"/>
  <c r="N16" i="7"/>
  <c r="AB21" i="7"/>
  <c r="V9" i="7"/>
  <c r="AB11" i="7"/>
  <c r="V13" i="7"/>
  <c r="AB15" i="7"/>
  <c r="V17" i="7"/>
  <c r="N20" i="7"/>
  <c r="V20" i="7"/>
  <c r="N11" i="7"/>
  <c r="N9" i="7"/>
  <c r="R11" i="7"/>
  <c r="N13" i="7"/>
  <c r="R15" i="7"/>
  <c r="N17" i="7"/>
  <c r="AB19" i="7"/>
  <c r="N23" i="7"/>
  <c r="V23" i="7"/>
  <c r="N15" i="7"/>
  <c r="V10" i="7"/>
  <c r="AB12" i="7"/>
  <c r="V14" i="7"/>
  <c r="AB16" i="7"/>
  <c r="V18" i="7"/>
  <c r="AB22" i="7"/>
  <c r="AB2" i="7"/>
  <c r="R2" i="7"/>
  <c r="N10" i="7"/>
  <c r="R12" i="7"/>
  <c r="N14" i="7"/>
  <c r="R16" i="7"/>
  <c r="N18" i="7"/>
  <c r="N21" i="7"/>
  <c r="V21" i="7"/>
  <c r="T17" i="9" l="1"/>
  <c r="T22" i="9"/>
  <c r="T12" i="9"/>
  <c r="T14" i="9"/>
  <c r="T18" i="9"/>
  <c r="T11" i="9"/>
  <c r="T8" i="9"/>
  <c r="T21" i="9"/>
  <c r="AG11" i="7"/>
  <c r="AH11" i="7" s="1"/>
  <c r="AG2" i="7"/>
  <c r="AH2" i="7" s="1"/>
  <c r="AG3" i="7"/>
  <c r="AH3" i="7" s="1"/>
  <c r="T4" i="9"/>
  <c r="T7" i="9"/>
  <c r="T2" i="9"/>
  <c r="T6" i="9"/>
  <c r="T23" i="9"/>
  <c r="T16" i="9"/>
  <c r="T13" i="9"/>
  <c r="T9" i="9"/>
  <c r="T3" i="9"/>
  <c r="T20" i="9"/>
  <c r="T15" i="9"/>
  <c r="T19" i="9"/>
  <c r="T10" i="9"/>
  <c r="T5" i="9"/>
  <c r="AG21" i="7"/>
  <c r="AH21" i="7" s="1"/>
  <c r="AG15" i="7"/>
  <c r="AH15" i="7" s="1"/>
  <c r="AG4" i="7"/>
  <c r="AH4" i="7" s="1"/>
  <c r="AG18" i="7"/>
  <c r="AH18" i="7" s="1"/>
  <c r="AG20" i="7"/>
  <c r="AH20" i="7" s="1"/>
  <c r="AG19" i="7"/>
  <c r="AH19" i="7" s="1"/>
  <c r="AG5" i="7"/>
  <c r="AH5" i="7" s="1"/>
  <c r="AG12" i="7"/>
  <c r="AH12" i="7" s="1"/>
  <c r="AG6" i="7"/>
  <c r="AH6" i="7" s="1"/>
  <c r="AG17" i="7"/>
  <c r="AH17" i="7" s="1"/>
  <c r="AG22" i="7"/>
  <c r="AH22" i="7" s="1"/>
  <c r="AG14" i="7"/>
  <c r="AH14" i="7" s="1"/>
  <c r="AG16" i="7"/>
  <c r="AH16" i="7" s="1"/>
  <c r="AG13" i="7"/>
  <c r="AH13" i="7" s="1"/>
  <c r="AG9" i="7"/>
  <c r="AH9" i="7" s="1"/>
  <c r="AG10" i="7"/>
  <c r="AH10" i="7" s="1"/>
  <c r="AG23" i="7"/>
  <c r="AH23" i="7" s="1"/>
  <c r="AG8" i="7"/>
  <c r="AH8" i="7" s="1"/>
  <c r="AG7" i="7"/>
  <c r="AH7"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Pol Carrasco</author>
  </authors>
  <commentList>
    <comment ref="N1" authorId="0" shapeId="0" xr:uid="{A33DF3CE-7B68-433E-B5FD-4922E1B89F2F}">
      <text>
        <r>
          <rPr>
            <b/>
            <sz val="9"/>
            <color indexed="81"/>
            <rFont val="Tahoma"/>
            <charset val="1"/>
          </rPr>
          <t>Pol Carrasco:</t>
        </r>
        <r>
          <rPr>
            <sz val="9"/>
            <color indexed="81"/>
            <rFont val="Tahoma"/>
            <charset val="1"/>
          </rPr>
          <t xml:space="preserve">
Solo están los que tienen heridas confirmadas tanto ausencia (NO) como presencia (SI)</t>
        </r>
      </text>
    </comment>
  </commentList>
</comments>
</file>

<file path=xl/sharedStrings.xml><?xml version="1.0" encoding="utf-8"?>
<sst xmlns="http://schemas.openxmlformats.org/spreadsheetml/2006/main" count="8962" uniqueCount="1452">
  <si>
    <t>Fecha</t>
  </si>
  <si>
    <t>Hora</t>
  </si>
  <si>
    <t>Ubicación</t>
  </si>
  <si>
    <t>Provincia</t>
  </si>
  <si>
    <t>Observaciones</t>
  </si>
  <si>
    <t>Viva</t>
  </si>
  <si>
    <t>nd</t>
  </si>
  <si>
    <t>DW</t>
  </si>
  <si>
    <t>Islas Baleares</t>
  </si>
  <si>
    <t>Lat</t>
  </si>
  <si>
    <t>Long</t>
  </si>
  <si>
    <t>Fuente</t>
  </si>
  <si>
    <t>Link</t>
  </si>
  <si>
    <t>Heridas</t>
  </si>
  <si>
    <t>https://www.instagram.com/reel/DKZbKj5tjsB/?igsh=d2xnbDBsM2FpaXRw</t>
  </si>
  <si>
    <t>Cala Vedella, Sant Josep (Ibiza)</t>
  </si>
  <si>
    <t>No</t>
  </si>
  <si>
    <t>Redes Sociales</t>
  </si>
  <si>
    <t>En orilla de la playa, aguas muy someras</t>
  </si>
  <si>
    <t>Comunidad Valenciana</t>
  </si>
  <si>
    <t>Cataluña</t>
  </si>
  <si>
    <t>Andalucía</t>
  </si>
  <si>
    <t/>
  </si>
  <si>
    <t>Región de Murcia</t>
  </si>
  <si>
    <t>Barcelona</t>
  </si>
  <si>
    <t>Alicante</t>
  </si>
  <si>
    <t>Islas Columbretes</t>
  </si>
  <si>
    <t>Adult</t>
  </si>
  <si>
    <t>Muerta</t>
  </si>
  <si>
    <t>Dos individuos juntos</t>
  </si>
  <si>
    <t>It was swimming among the people unbothered and was beaching itself into the shore constantly. Any idea of what could be wrong with it??? It had a wound on the fin, seemed to be stressed or just unwell</t>
  </si>
  <si>
    <t>Fixed and preserved in alcohol</t>
  </si>
  <si>
    <t>,Hola Júlia,&lt;br /&gt; &lt;br /&gt; Muchas gracias por tu observación! Esta especie es muy importante en nuestro #retoraya ya que podría ser indicadora del cambio climático,&lt;br /&gt; &lt;br /&gt; saludos&lt;br /&gt; &lt;br /&gt; Claudio</t>
  </si>
  <si>
    <t>Hola de nuevo! Os vuelvo a escribir ya que hoy estando en Ses Salines ( Ibiza) hemos estado con una raya que estaba como a un metro de profundidad donde había unos 10 metros, todo el rato estaba con nosotros cosa extraña pero pensábamos q las aletas le hacían gracia, tengo fotos y vídeos con ella pero el programa no me deja agregar más de una foto. Lo raro es que al rato hemos divisas otra raya diferente desde el barco en la misma zona aunque esta parecía enferma y estaba todo el rato en superficie y tenía señales de herida, no se si están ahí por un casual o realmente están enfermas por alguna razón. No se que puedo hacer al respecto por eso os escribo y espero que me respondan porque me he ido del lugar preocupada ya que seguía una de ella por superficie. Muchas gracias.,Hola Monica,&lt;br /&gt; Esta raya es una raya látigo violeta, es habitual verlas mar adentro pero en su período reproductivo tienden a acercarse a la costa. Si te fijas bien la raya de la foto tiene una mancha blanca, seguramente provocada por el macho en el momento del apareamiento, lo que también explicaría el extraño comportamiento que describes, &lt;br /&gt; &lt;br /&gt; saludos y muchas gracias por tu observación!&lt;br /&gt; &lt;br /&gt; Claudio</t>
  </si>
  <si>
    <t>Nedant per fons sorrenc i entre dues barres de roques.,Muchas gracias Pere,&lt;br /&gt; &lt;br /&gt; Podrías enviarme la foto a mi correo por favor, creo que es un macho pero no lo puedo ver desde aquí,&lt;br /&gt; &lt;br /&gt; muchas gracias!&lt;br /&gt; &lt;br /&gt; Claudio</t>
  </si>
  <si>
    <t>Tengo alguna foto más. No estoy al 100% seguro de que sea esta especie,Muchas gracias Juan! He validado la especie en base a las otras fotos que me mandaste. Tu observación ha sido fundamental para poder confirmar la presencia de esta especie en la Costa Brava: este es el principal valor de "Observadores del mar"! Confirmaría que esta especie se ha dejado ver mucho más al norte y mucho más frecuentemente que nunca en aguas litorales del Mediterráneo noroccidental.</t>
  </si>
  <si>
    <t>Tamaño estimado 70-80 cm&lt;br /&gt; Peso estimado 20 kg,Hola J. Antonio, muchas gracias por tu observación. Esta es una especie muy interesante, de la cual no hay muchos reportes en estas costas, si puedes enviarme más fotos estaría muy bien, saludos</t>
  </si>
  <si>
    <t>Foto de Gregor Schlüter,Muchas gracias por esta observación Tramuntana Diving! Esta especie es muy importante en nuestro #retoraya ya que podría ser indicadora del cambio climático,&lt;br /&gt; &lt;br /&gt; saludos&lt;br /&gt; &lt;br /&gt; Claudio</t>
  </si>
  <si>
    <t>Observado y grabado por bañistas en la orilla https://www.facebook.com/cronicas.naturales.torrevieja/videos/575727133369145/?t=21,</t>
  </si>
  <si>
    <t>Aquest exemplar es movia per la mateixa vorera de la cala. Es va acostar en dues ocasions.,Hola Mika,&lt;br /&gt; Esta especie es una raya látigo violeta, de tonalidad mucho más oscura que la pastinaca. Es la raya pelágica más abundante del Mediterráneo y una de las especies objetivo del #retoraya.&lt;br /&gt; &lt;br /&gt; Muchas gracias por tu observación!</t>
  </si>
  <si>
    <t>Colera</t>
  </si>
  <si>
    <t>Arenales del Sol</t>
  </si>
  <si>
    <t>La Almadraba de Monteleva</t>
  </si>
  <si>
    <t>Cala la Tía Antonia</t>
  </si>
  <si>
    <t>Rat-Penat</t>
  </si>
  <si>
    <t>Pla de l'Avella</t>
  </si>
  <si>
    <t>Garrucha</t>
  </si>
  <si>
    <t>Almería</t>
  </si>
  <si>
    <t>Playa La Roqueta, Guardamar del Segura</t>
  </si>
  <si>
    <t>Morro Castell</t>
  </si>
  <si>
    <t>Urbanova</t>
  </si>
  <si>
    <t>Cabo de las Huertas</t>
  </si>
  <si>
    <t>Cala del Bonete Grande</t>
  </si>
  <si>
    <t>Cala Santanyí</t>
  </si>
  <si>
    <t>Málaga</t>
  </si>
  <si>
    <t>Portocolom</t>
  </si>
  <si>
    <t>Ensenada de los Berengueles</t>
  </si>
  <si>
    <t>Granada</t>
  </si>
  <si>
    <t>Platja Grifeu</t>
  </si>
  <si>
    <t>Girona</t>
  </si>
  <si>
    <t>Cala en Basset</t>
  </si>
  <si>
    <t>Illa del Toro</t>
  </si>
  <si>
    <t>Bellavista</t>
  </si>
  <si>
    <t>Platja de Montgat</t>
  </si>
  <si>
    <t>La Mata</t>
  </si>
  <si>
    <t>San Francesc de s'Estany</t>
  </si>
  <si>
    <t>Si</t>
  </si>
  <si>
    <t>Torredembara</t>
  </si>
  <si>
    <t>Torredembarra</t>
  </si>
  <si>
    <t>Tarragona</t>
  </si>
  <si>
    <t>Sa Tuna</t>
  </si>
  <si>
    <t>La Azohía</t>
  </si>
  <si>
    <t>Torrevieja</t>
  </si>
  <si>
    <t>Cap de Formentor</t>
  </si>
  <si>
    <t>Águilas</t>
  </si>
  <si>
    <t>Bañalbufar</t>
  </si>
  <si>
    <t>Cala Montjoi</t>
  </si>
  <si>
    <t>Sóller</t>
  </si>
  <si>
    <t>Castellón</t>
  </si>
  <si>
    <t>Rep</t>
  </si>
  <si>
    <t>GBIF</t>
  </si>
  <si>
    <t>Obsdelmar</t>
  </si>
  <si>
    <t>Enix</t>
  </si>
  <si>
    <t>Moraira</t>
  </si>
  <si>
    <t>Santa Margalida</t>
  </si>
  <si>
    <t>Punta Prima</t>
  </si>
  <si>
    <t>Motril</t>
  </si>
  <si>
    <t>Valencia</t>
  </si>
  <si>
    <t>Caldas de Estrach</t>
  </si>
  <si>
    <t>Cabo de Gata</t>
  </si>
  <si>
    <t>Playa Arrabassada</t>
  </si>
  <si>
    <t>Llançà</t>
  </si>
  <si>
    <t>Badalona</t>
  </si>
  <si>
    <t>Barceloneta</t>
  </si>
  <si>
    <t>Cólera</t>
  </si>
  <si>
    <t>Portbou</t>
  </si>
  <si>
    <t>Tossa de Mar</t>
  </si>
  <si>
    <t>Roses</t>
  </si>
  <si>
    <t>Pineda de Mar</t>
  </si>
  <si>
    <t>Platja de Segur de Calafell</t>
  </si>
  <si>
    <t>El Prat de Llobregat</t>
  </si>
  <si>
    <t>Platja de l'Arrabassada</t>
  </si>
  <si>
    <t>Platja de Garbet</t>
  </si>
  <si>
    <t>Platja del Morts</t>
  </si>
  <si>
    <t>Platja d'Arenys</t>
  </si>
  <si>
    <t>Calella</t>
  </si>
  <si>
    <t>Estaritit</t>
  </si>
  <si>
    <t>Sant Pere Pescador</t>
  </si>
  <si>
    <t>Empordà</t>
  </si>
  <si>
    <t>La Herradura</t>
  </si>
  <si>
    <t>Vendrell</t>
  </si>
  <si>
    <t>Arenys de Mar</t>
  </si>
  <si>
    <t>Cala Macarelleta</t>
  </si>
  <si>
    <t>Port Fòrum</t>
  </si>
  <si>
    <t>Alt Empordà</t>
  </si>
  <si>
    <t>Platja del Garbet</t>
  </si>
  <si>
    <t>Blanes</t>
  </si>
  <si>
    <t>L'Atmella</t>
  </si>
  <si>
    <t>Costa del Montgri</t>
  </si>
  <si>
    <t>Roca Plana</t>
  </si>
  <si>
    <t>Caldes d'Estrac</t>
  </si>
  <si>
    <t>Lloret de Mar</t>
  </si>
  <si>
    <t>Sant Martí d'Empúries</t>
  </si>
  <si>
    <t>Cabo Tiñoso</t>
  </si>
  <si>
    <t>Mazarrón</t>
  </si>
  <si>
    <t>Cunit</t>
  </si>
  <si>
    <t>Murcia</t>
  </si>
  <si>
    <t>Cap de L'Horta</t>
  </si>
  <si>
    <t>Cartagena</t>
  </si>
  <si>
    <t>Grau de Castelló</t>
  </si>
  <si>
    <t>Cap de Creus</t>
  </si>
  <si>
    <t>Ibiza</t>
  </si>
  <si>
    <t>Platja d'Aró</t>
  </si>
  <si>
    <t>Cap d'en font</t>
  </si>
  <si>
    <t>Menorca</t>
  </si>
  <si>
    <t>Mallorca</t>
  </si>
  <si>
    <t>Jávea</t>
  </si>
  <si>
    <t>Oropesa</t>
  </si>
  <si>
    <t>Cabo de Palos</t>
  </si>
  <si>
    <t>Coord imp, cuanta ya no existe. Pesca</t>
  </si>
  <si>
    <t>Mal ID</t>
  </si>
  <si>
    <t>https://www.youtube.com/watch?v=FTKvVXQBYJ8</t>
  </si>
  <si>
    <t>https://vimeo.com/175886064</t>
  </si>
  <si>
    <t>www.facebook.com/L.Elasmogrup/posts/542435975957971</t>
  </si>
  <si>
    <t>https://twitter.com/irenina14/status/759349778249572352</t>
  </si>
  <si>
    <t>https://twitter.com/tomeumir78/status/761594642739716097</t>
  </si>
  <si>
    <t>https://twitter.com/rtvenoticies/status/762408730164072448</t>
  </si>
  <si>
    <t>https://twitter.com/losMotriles/status/774338161153568768</t>
  </si>
  <si>
    <t>www.instagram.com/p/BXSTZaJg_4N</t>
  </si>
  <si>
    <t>https://www.instagram.com/p/BX21NNjBey0/</t>
  </si>
  <si>
    <t>www.instagram.com/p/BmBjT8iHfnH</t>
  </si>
  <si>
    <t>www.instagram.com/p/BmAtL64jV7m</t>
  </si>
  <si>
    <t>www.instagram.com/p/Blamn6VnUT_</t>
  </si>
  <si>
    <t>https://twitter.com/daniel_julia/status/1021662703264382976</t>
  </si>
  <si>
    <t>www.facebook.com/Sotosypuente/videos/1761400767228286</t>
  </si>
  <si>
    <t>https://www.youtube.com/watch?v=OwBd5KjYMqA&amp;ab_channel=JaumeEsteve</t>
  </si>
  <si>
    <t>www.instagram.com/p/BlyYoZhAZdc</t>
  </si>
  <si>
    <t>www.instagram.com/p/Bl0z5khFRiV</t>
  </si>
  <si>
    <t>www.facebook.com/4allDivers/photos/a.400957879929895.116171.400925973266419/2574877045871290</t>
  </si>
  <si>
    <t>https://www.facebook.com/enric.e.rovira/posts/10216189025339313</t>
  </si>
  <si>
    <t>https://twitter.com/LluciGarcia/status/1024667361222316033</t>
  </si>
  <si>
    <t>https://twitter.com/Jnaduch/status/1024613071527075840</t>
  </si>
  <si>
    <t>https://twitter.com/alcantara_alb/status/1025004484844572672</t>
  </si>
  <si>
    <t>https://www.youtube.com/watch?v=eJnhYL7uiGE&amp;ab_channel=TarragonaDigital</t>
  </si>
  <si>
    <t>www.instagram.com/p/Bl-wlDkDqUl</t>
  </si>
  <si>
    <t>https://twitter.com/alcantara_alb/status/1025270992590000128</t>
  </si>
  <si>
    <t>https://twitter.com/OnaLaTorre/status/1025431119670509568</t>
  </si>
  <si>
    <t>https://twitter.com/HoladeValls/status/1025347903970271233</t>
  </si>
  <si>
    <t>www.instagram.com/p/BmBkFVLnffp</t>
  </si>
  <si>
    <t>www.instagram.com/p/BmD9X8cg8l5</t>
  </si>
  <si>
    <t>www.instagram.com/p/BmDX4s8BfW3</t>
  </si>
  <si>
    <t>www.instagram.com/p/BmBjf2sH5As</t>
  </si>
  <si>
    <t>https://twitter.com/BeyondBCN/status/1025761056495464448</t>
  </si>
  <si>
    <t>https://twitter.com/angelina_muntal/status/1025816020886466561</t>
  </si>
  <si>
    <t>https://twitter.com/Albert_Pasto/status/1025627132553248768</t>
  </si>
  <si>
    <t>https://www.instagram.com/p/BmDzo1PA-na/</t>
  </si>
  <si>
    <t>www.instagram.com/p/BmGTjjaHlqj</t>
  </si>
  <si>
    <t>https://twitter.com/mar_chico/status/1025883868228923393</t>
  </si>
  <si>
    <t>https://www.instagram.com/p/BmGUQqZD_B4/</t>
  </si>
  <si>
    <t>www.instagram.com/p/BmIHY_hnj7q</t>
  </si>
  <si>
    <t>https://twitter.com/FotosdeXavier/status/1026372679207673858</t>
  </si>
  <si>
    <t>https://twitter.com/sebas_leno/status/1026412574366154752</t>
  </si>
  <si>
    <t>https://twitter.com/AjArenys/status/1026385327160795136</t>
  </si>
  <si>
    <t>www.instagram.com/p/BmLDwejHVTk</t>
  </si>
  <si>
    <t>https://twitter.com/narcistorra/status/1026792595970842626</t>
  </si>
  <si>
    <t>www.instagram.com/p/BmOPh_iDWQ3</t>
  </si>
  <si>
    <t>www.instagram.com/p/BmNalzbnfaW</t>
  </si>
  <si>
    <t>www.instagram.com/p/BmLMxSTjlUl</t>
  </si>
  <si>
    <t>https://www.instagram.com/p/BmS64hanr6G/</t>
  </si>
  <si>
    <t>www.instagram.com/p/BmT8XTVnmen</t>
  </si>
  <si>
    <t>https://www.youtube.com/watch?v=eASRoCay8bM</t>
  </si>
  <si>
    <t>www.facebook.com/PlanctonDiving/posts/484209765323769</t>
  </si>
  <si>
    <t>https://www.youtube.com/watch?v=W2FRi52LKNk&amp;ab_channel=JosepMestras</t>
  </si>
  <si>
    <t>https://twitter.com/AbelloPere/status/1030231294901403650</t>
  </si>
  <si>
    <t>https://twitter.com/tamborinaire/status/1030354124829806592</t>
  </si>
  <si>
    <t>https://twitter.com/isaacribera81/status/1032649437083066371</t>
  </si>
  <si>
    <t>https://twitter.com/Gon_CF/status/768760705852043264</t>
  </si>
  <si>
    <t>https://www.instagram.com/p/BnOySXZhhG6/</t>
  </si>
  <si>
    <t>https://twitter.com/emergenciescat/status/1036932320962531328</t>
  </si>
  <si>
    <t>https://twitter.com/jmsirvent3/status/1039457591003369472</t>
  </si>
  <si>
    <t>https://www.youtube.com/watch?v=ewKgpCyXMIM&amp;ab_channel=Xavimoliner</t>
  </si>
  <si>
    <t>https://www.youtube.com/watch?v=fsN-5WJjkM0&amp;ab_channel=BuceoReservaMarinaCaboTi%C3%B1oso</t>
  </si>
  <si>
    <t>https://www.youtube.com/watch?v=SK8t63zPgzk&amp;ab_channel=juanidiver</t>
  </si>
  <si>
    <t>https://www.youtube.com/watch?v=YK_6mNkzZBg&amp;ab_channel=CentrodeBuceoCaboTi%C3%B1oso</t>
  </si>
  <si>
    <t>https://www.instagram.com/p/B0zA57cClVH/</t>
  </si>
  <si>
    <t>https://twitter.com/coletaspelos2/status/1159264679061008385</t>
  </si>
  <si>
    <t>https://www.facebook.com/groups/TiburonesRayasMediterraneoOccidental/posts/1496164143877802/</t>
  </si>
  <si>
    <t>https://vimeo.com/435363353</t>
  </si>
  <si>
    <t>https://vimeo.com/435682597</t>
  </si>
  <si>
    <t>https://www.instagram.com/p/CDH1NRoo9on/</t>
  </si>
  <si>
    <t>https://www.instagram.com/p/CDKTWXtCv7z/</t>
  </si>
  <si>
    <t>https://www.youtube.com/watch?v=5X8kA6uihho&amp;ab_channel=Fot%C3%B3grafo</t>
  </si>
  <si>
    <t>https://twitter.com/AreaSeguridadCS/status/1408383594041688064</t>
  </si>
  <si>
    <t>https://vimeo.com/527535538</t>
  </si>
  <si>
    <t>https://www.instagram.com/p/CJQmId0hgzd/</t>
  </si>
  <si>
    <t>https://www.youtube.com/watch?v=iRT0fzDIRos&amp;ab_channel=AdrianSub</t>
  </si>
  <si>
    <t>https://twitter.com/avatarjs_/status/1418137016101900293</t>
  </si>
  <si>
    <t>https://www.instagram.com/p/CSjzU77Nd5y/</t>
  </si>
  <si>
    <t>https://www.youtube.com/watch?v=RcKYPzoSZYI</t>
  </si>
  <si>
    <t>https://www.youtube.com/watch?v=sahsJLJbQPM</t>
  </si>
  <si>
    <t>https://www.youtube.com/watch?v=MY5wC9skffk</t>
  </si>
  <si>
    <t>https://www.youtube.com/watch?v=Pb8UDpibg5o</t>
  </si>
  <si>
    <t>https://www.instagram.com/p/Cwo-vUYtqON/</t>
  </si>
  <si>
    <t>https://www.instagram.com/p/BmWfVLSnTyh/</t>
  </si>
  <si>
    <t>https://www.instagram.com/p/CEROSrLj40_/</t>
  </si>
  <si>
    <t>https://www.instagram.com/p/BJ8FsLhgrEC/</t>
  </si>
  <si>
    <t>https://www.instagram.com/p/BnHNmPQhp5C/?img_index=1</t>
  </si>
  <si>
    <t>https://www.instagram.com/p/CDM2zS0IcXE/</t>
  </si>
  <si>
    <t>https://www.instagram.com/p/CwNvIu7sq45/</t>
  </si>
  <si>
    <t>https://www.instagram.com/p/CyF5XcOMKZr/?img_index=1</t>
  </si>
  <si>
    <t>Deltebre</t>
  </si>
  <si>
    <t>Salou</t>
  </si>
  <si>
    <t>Coma-ruga</t>
  </si>
  <si>
    <t>Prensa</t>
  </si>
  <si>
    <t>Apareamiento</t>
  </si>
  <si>
    <t>https://www.gerio.cat/noticia/342399/proteccio-civil-alerta-de-la-presencia-de-mantes-a-les-platges-de-colera-i-roses</t>
  </si>
  <si>
    <t>https://www.diaridetarragona.com/ebre/Alerta-en-una-playa-de-Deltebre-por-la-presencia-de-un-pez-raya-20180807-0040.html</t>
  </si>
  <si>
    <t>https://www.antena3.com/noticias/sociedad/peces-raya_201808085b6ac35a0cf227b4079e0488.html</t>
  </si>
  <si>
    <t>https://www.diarimes.com/noticies/penedes/2018/08/16/una_rajada_deixa_veure_pocs_metres_vora_platja_del_francas_45023_3058.html</t>
  </si>
  <si>
    <t>https://www.ccma.cat/el-temps/insolites-imatges-de-laparellament-de-dues-rajades-a-la-costa-brava/noticia/2872858/</t>
  </si>
  <si>
    <t>Parece que está embarazada!</t>
  </si>
  <si>
    <t>Embarazada</t>
  </si>
  <si>
    <t>En playa y fue reorientada</t>
  </si>
  <si>
    <t>Página no existe ya</t>
  </si>
  <si>
    <t>Dando luz en playa a 2 crías!</t>
  </si>
  <si>
    <t>Cuenta privada</t>
  </si>
  <si>
    <t>Cerca de costa</t>
  </si>
  <si>
    <t>Si/No</t>
  </si>
  <si>
    <t>Creo que la publicación son 2 ejemplares diferentes porque una tiene herida y otra no en la misma aleta. Curiosamente una foto de una violacea en el fondo semienterrada</t>
  </si>
  <si>
    <t>Muy cerca de la orilla</t>
  </si>
  <si>
    <t>Anzuelo en la boca</t>
  </si>
  <si>
    <t>Cerca de playa</t>
  </si>
  <si>
    <t>Buena calidad de video</t>
  </si>
  <si>
    <t>Descansando sobre el fondo</t>
  </si>
  <si>
    <t>Semiterrada en el fondo</t>
  </si>
  <si>
    <t>Meco. Muy cerca de orilla</t>
  </si>
  <si>
    <t>Tiene la región dorsal como "hinchada", creo que está contrayendo el disco como respuesta por estrés</t>
  </si>
  <si>
    <t>Manipulada y sobre fondo de arena (posiblemente muy estresada)</t>
  </si>
  <si>
    <t>Varada en playa y reintroducida</t>
  </si>
  <si>
    <t>Lleva basura y redes enganchadas</t>
  </si>
  <si>
    <t>En orilla y parece ir buscando por el fondo</t>
  </si>
  <si>
    <t>No tiene coords (imposible y habría que preguntar o "aproximar"…). Pero llevaba un anzuelo de palangre con algas y plásticos, es un ejemplar pequeñito</t>
  </si>
  <si>
    <t>https://www.inaturalist.org/observations/236888541</t>
  </si>
  <si>
    <t>https://www.inaturalist.org/observations/235534224</t>
  </si>
  <si>
    <t>https://www.inaturalist.org/observations/235315927</t>
  </si>
  <si>
    <t>https://www.inaturalist.org/observations/207353854</t>
  </si>
  <si>
    <t>https://www.inaturalist.org/observations/230749822</t>
  </si>
  <si>
    <t>https://www.inaturalist.org/observations/230290665</t>
  </si>
  <si>
    <t>https://www.inaturalist.org/observations/231243061</t>
  </si>
  <si>
    <t>https://www.inaturalist.org/observations/229545021</t>
  </si>
  <si>
    <t>https://www.inaturalist.org/observations/224610635</t>
  </si>
  <si>
    <t>https://www.inaturalist.org/observations/164288211</t>
  </si>
  <si>
    <t>https://www.inaturalist.org/observations/164288148</t>
  </si>
  <si>
    <t>https://www.inaturalist.org/observations/143898564</t>
  </si>
  <si>
    <t>https://www.inaturalist.org/observations/127125698</t>
  </si>
  <si>
    <t>https://www.inaturalist.org/observations/120705686</t>
  </si>
  <si>
    <t>https://www.inaturalist.org/observations/92599368</t>
  </si>
  <si>
    <t>https://www.inaturalist.org/observations/90363596</t>
  </si>
  <si>
    <t>https://www.inaturalist.org/observations/15205269</t>
  </si>
  <si>
    <t>https://www.inaturalist.org/observations/52570881</t>
  </si>
  <si>
    <t>https://www.inaturalist.org/observations/3968440</t>
  </si>
  <si>
    <t>https://marineinfo.org/id/dataset/6526</t>
  </si>
  <si>
    <t>4A9DDA1F-B7E7-3E13-E053-2614A8C02B7C</t>
  </si>
  <si>
    <t>Coordenadas ocultas y por ende aproximadas</t>
  </si>
  <si>
    <t>Marina Alta</t>
  </si>
  <si>
    <t>Nadando por el puerto</t>
  </si>
  <si>
    <t>Tiene la región dorsal como "hinchada"</t>
  </si>
  <si>
    <t>Parece tener la región dorsal laterlamente "hinchada"</t>
  </si>
  <si>
    <t>https://www.facebook.com/cronicas.naturales.torrevieja/videos/575727133369145/?t=21</t>
  </si>
  <si>
    <t>Maro</t>
  </si>
  <si>
    <t>https://www.observadoresdelmar.es/Observations/218410</t>
  </si>
  <si>
    <t>https://www.observadoresdelmar.es/Observations/213425</t>
  </si>
  <si>
    <t>New</t>
  </si>
  <si>
    <t>https://www.observadoresdelmar.es/Observations/213423</t>
  </si>
  <si>
    <t>Es MUY pequeño y gran herida</t>
  </si>
  <si>
    <t>https://www.observadoresdelmar.es/Observations/213424</t>
  </si>
  <si>
    <t>Se ve muy pequeño y se puede estimar tamaño</t>
  </si>
  <si>
    <t>https://www.observadoresdelmar.es/Observations/213426</t>
  </si>
  <si>
    <t>https://www.observadoresdelmar.es/Observations/210182</t>
  </si>
  <si>
    <t>Renclí Beach</t>
  </si>
  <si>
    <t>https://www.observadoresdelmar.es/Observations/224988</t>
  </si>
  <si>
    <t>https://www.observadoresdelmar.es/Observations/210579</t>
  </si>
  <si>
    <t>https://www.observadoresdelmar.es/Observations/213672</t>
  </si>
  <si>
    <t>Tiene la región dorsal como "hinchada" lateralmente</t>
  </si>
  <si>
    <t>https://www.observadoresdelmar.es/Observations/214758</t>
  </si>
  <si>
    <t>https://www.observadoresdelmar.es/Observations/210451</t>
  </si>
  <si>
    <t>https://www.observadoresdelmar.es/Observations/219397</t>
  </si>
  <si>
    <t>Marina Manresa</t>
  </si>
  <si>
    <t>Descansando sobre el fondo y cerca de orilla</t>
  </si>
  <si>
    <t>https://www.observadoresdelmar.es/Observations/210402</t>
  </si>
  <si>
    <t>https://www.observadoresdelmar.es/Observations/210173</t>
  </si>
  <si>
    <t>https://www.observadoresdelmar.es/Observations/210025</t>
  </si>
  <si>
    <t>https://www.observadoresdelmar.es/Observations/210403</t>
  </si>
  <si>
    <t>https://www.observadoresdelmar.es/Observations/206216</t>
  </si>
  <si>
    <t>Torre del Mar</t>
  </si>
  <si>
    <t>https://www.observadoresdelmar.es/Observations/1801197</t>
  </si>
  <si>
    <t>Coords aproximadas</t>
  </si>
  <si>
    <t>https://www.observadoresdelmar.es/Observations/1801184</t>
  </si>
  <si>
    <t>https://www.observadoresdelmar.es/Observations/1800306</t>
  </si>
  <si>
    <t>San Agustín</t>
  </si>
  <si>
    <t>https://www.observadoresdelmar.es/Observations/1800301</t>
  </si>
  <si>
    <t>https://www.observadoresdelmar.es/Observations/1800354</t>
  </si>
  <si>
    <t>https://www.observadoresdelmar.es/Observations/1801217</t>
  </si>
  <si>
    <t>Retamar</t>
  </si>
  <si>
    <t>https://www.observadoresdelmar.es/Observations/1801214</t>
  </si>
  <si>
    <t>Calarreona</t>
  </si>
  <si>
    <t>https://www.observadoresdelmar.es/Observations/1800428</t>
  </si>
  <si>
    <t>Cope</t>
  </si>
  <si>
    <t>Puntas de Calnegre</t>
  </si>
  <si>
    <t>https://www.observadoresdelmar.es/Observations/1801213</t>
  </si>
  <si>
    <t>https://www.observadoresdelmar.es/Observations/1800488</t>
  </si>
  <si>
    <t>https://www.observadoresdelmar.es/Observations/1800483</t>
  </si>
  <si>
    <t>https://www.observadoresdelmar.es/Observations/1801207</t>
  </si>
  <si>
    <t>Cola cortada</t>
  </si>
  <si>
    <t>https://www.observadoresdelmar.es/Observations/1800452</t>
  </si>
  <si>
    <t>https://www.observadoresdelmar.es/Observations/1800502</t>
  </si>
  <si>
    <t>Perelló</t>
  </si>
  <si>
    <t>https://www.observadoresdelmar.es/Observations/1801158</t>
  </si>
  <si>
    <t>Parece cerca de orilla</t>
  </si>
  <si>
    <t>https://www.observadoresdelmar.es/Observations/1800929</t>
  </si>
  <si>
    <t>https://www.observadoresdelmar.es/Observations/1800457</t>
  </si>
  <si>
    <t>https://www.observadoresdelmar.es/Observations/1800421</t>
  </si>
  <si>
    <t>https://www.observadoresdelmar.es/Observations/1800133</t>
  </si>
  <si>
    <t>Capturada</t>
  </si>
  <si>
    <t>https://www.observadoresdelmar.es/Observations/1801182</t>
  </si>
  <si>
    <t>https://www.observadoresdelmar.es/Observations/1801204</t>
  </si>
  <si>
    <t>https://www.observadoresdelmar.es/Observations/1800308</t>
  </si>
  <si>
    <t>https://www.observadoresdelmar.es/Observations/1800449</t>
  </si>
  <si>
    <t>L'Escala</t>
  </si>
  <si>
    <t>Golf de Roses</t>
  </si>
  <si>
    <t>https://www.observadoresdelmar.es/Observations/1800448</t>
  </si>
  <si>
    <t>https://www.observadoresdelmar.es/Observations/1800446</t>
  </si>
  <si>
    <t>https://www.observadoresdelmar.es/Observations/1800051</t>
  </si>
  <si>
    <t>Algo. Int.</t>
  </si>
  <si>
    <t>Parece juvenil. Capturada</t>
  </si>
  <si>
    <t>Vilassar de Mar</t>
  </si>
  <si>
    <t>https://www.facebook.com/cronicas.naturales.torrevieja/videos/460370937778322/?__cft__[0]=AZV-4kUzkPmaFFIcQE2xwud3ToEW7XMbp6NHxDXdPXdvPLREqswXzN9ihIAg-R_wqsYnDTFbCUTGaeAyFy-0hPnx3xiwPF7o8V9us9L8eNQlvNDDdY_8rJI4Vat18owd5vbVLUogJBS2bjBf8tv5ofjq_ba9iLWrYH7IKRmI6em17xKKk71alKox2NFTz0k9XT-9dEs6RvNa0BydE00r0ejY&amp;__tn__=%2CO%2CP-R</t>
  </si>
  <si>
    <t>Mar Menor</t>
  </si>
  <si>
    <t>https://www.facebook.com/marmenor.marmayor/videos/1637452739714078/?__tn__=%2CO-R</t>
  </si>
  <si>
    <t>Playa del Cura</t>
  </si>
  <si>
    <t>https://www.facebook.com/cronicas.naturales.torrevieja/videos/243407818596796/?__tn__=%2CO</t>
  </si>
  <si>
    <t>https://www.facebook.com/proyectomastral/videos/624049464755264/?__tn__=%2CO</t>
  </si>
  <si>
    <t>https://www.facebook.com/miguel.vila.3990/videos/10163914757765298/?__tn__=%2CO-R</t>
  </si>
  <si>
    <t>https://www.facebook.com/watch/?v=358986731677088&amp;rdid=94zj56MsGoSvXyqy</t>
  </si>
  <si>
    <t>No hay ubicación ni coords, aproximada a partir de fotos de su perfil en esas fechas. Y parece que está embarazada!</t>
  </si>
  <si>
    <t>https://www.facebook.com/watch/?v=989793194453155&amp;rdid=gyZOVCdabON18HiS</t>
  </si>
  <si>
    <t>Xàbia</t>
  </si>
  <si>
    <t>https://www.facebook.com/share/v/12FCN9YTGFn/</t>
  </si>
  <si>
    <t>Canet</t>
  </si>
  <si>
    <t>Fecha dudosa</t>
  </si>
  <si>
    <t>Pou des Lleó</t>
  </si>
  <si>
    <t>https://www.facebook.com/pavel.berka.37/posts/pfbid02ydjvszRbQxCZqdsmSKsBnPJZUDF5UfW5xpE3xSwb1cq5AqNMX1fh9NyRf8Tyrvx2l?__cft__[0]=AZUo2wUZIVThwLcZqi7ukXeQoHp-d7fwUq7S5yvZUdc7IU2VxUew6D2ETd0c4KvEMhECJQTGSLiEYaqqxmtwTGubS1_ojn0txo_xTO0xjykuzhZU3ZaZuZ9L1NElrUeQGzc&amp;__tn__=%2CO%2CP-R</t>
  </si>
  <si>
    <t>Varada en aguas muy someras. Cola cortada</t>
  </si>
  <si>
    <t>Playa de Gavà</t>
  </si>
  <si>
    <t>https://www.tiktok.com/@gava.info/video/7508451490256719126?q=raya%20pelagica&amp;t=1749295137493</t>
  </si>
  <si>
    <t>https://www.tiktok.com/@gg.mariia/video/7392736678999379233</t>
  </si>
  <si>
    <t>Playa San Andrés</t>
  </si>
  <si>
    <t>Playa de Levante, Benidorm</t>
  </si>
  <si>
    <t>https://www.tiktok.com/@belen95s/video/7398138608718236960</t>
  </si>
  <si>
    <t>Playa del Vivero, Mar Menor</t>
  </si>
  <si>
    <t>https://www.tiktok.com/@vulcano727/video/7401402561745440032</t>
  </si>
  <si>
    <t>Playa del Fórum</t>
  </si>
  <si>
    <t>https://www.tiktok.com/@el_periodico/video/7398195533908643104</t>
  </si>
  <si>
    <t>Playa de Peníscola</t>
  </si>
  <si>
    <t>https://www.tiktok.com/@shofff.ia/video/7510261135577222422</t>
  </si>
  <si>
    <t>https://www.tiktok.com/@javiermurciarequena/video/7431294612980895008</t>
  </si>
  <si>
    <t>https://www.tiktok.com/@sentounderwater/video/7403432197790731552</t>
  </si>
  <si>
    <t>Marina del Este</t>
  </si>
  <si>
    <t>http://youtube.com/watch?v=assWCQoHTtw&amp;ab_channel=JoseFernandez</t>
  </si>
  <si>
    <t>Palma</t>
  </si>
  <si>
    <t>https://www.youtube.com/watch?v=fv0huisSrTQ&amp;ab_channel=pacov.</t>
  </si>
  <si>
    <t>https://www.youtube.com/watch?v=jA6QWGsaRdE&amp;ab_channel=ElCuadernoENVIVO</t>
  </si>
  <si>
    <t>La Manga</t>
  </si>
  <si>
    <t>https://www.youtube.com/watch?v=hEXeJvMYOlw&amp;ab_channel=Murciamarysierrasalvaje</t>
  </si>
  <si>
    <t>https://www.youtube.com/watch?v=7kUOqfPQiaw&amp;ab_channel=Ecopixeladas</t>
  </si>
  <si>
    <t>Costa de Granada</t>
  </si>
  <si>
    <t>https://www.youtube.com/shorts/yeOpMHISmWA</t>
  </si>
  <si>
    <t>https://www.youtube.com/watch?v=qj3zzvC2bU8&amp;ab_channel=ElPeri%C3%B3dicodeCeuta-Mediodigital</t>
  </si>
  <si>
    <t>Foso de las Murallas Reales</t>
  </si>
  <si>
    <t>Ceuta</t>
  </si>
  <si>
    <t>https://www.youtube.com/watch?v=RS3nXFw91Do&amp;ab_channel=LARQUE</t>
  </si>
  <si>
    <t>https://www.youtube.com/watch?v=DxFCt4fCdDo&amp;ab_channel=HugoCormor%C3%A1n</t>
  </si>
  <si>
    <t>Parece tener la región dorsal laterlamente "hinchada". Coords aproximadas. Cola cortada</t>
  </si>
  <si>
    <t>https://www.youtube.com/shorts/ktao-8uGrwg</t>
  </si>
  <si>
    <t>https://www.youtube.com/watch?v=Mqcgv6MKX8M&amp;ab_channel=Marcel%C2%B7l%C3%ADMiret</t>
  </si>
  <si>
    <t>Platja del Cristall</t>
  </si>
  <si>
    <t>Cala de la Media Luna</t>
  </si>
  <si>
    <t>https://www.youtube.com/watch?v=wCBtYuAlgLc&amp;ab_channel=waljalapensacola</t>
  </si>
  <si>
    <t>Carboneras</t>
  </si>
  <si>
    <t>https://www.youtube.com/shorts/sVJiB5Ft1nU</t>
  </si>
  <si>
    <t>Atmella de Mar</t>
  </si>
  <si>
    <t>https://x.com/deifox/status/1032221036287324160</t>
  </si>
  <si>
    <t>https://x.com/NuestroMarMenor/status/1819303391794712769</t>
  </si>
  <si>
    <t>https://x.com/MirasIbanez/status/1564922022160998400</t>
  </si>
  <si>
    <t>Parque Regional de Cabo Cope y Puntas de Calnegre</t>
  </si>
  <si>
    <t>https://x.com/Mario17N/status/1559257307443347456</t>
  </si>
  <si>
    <t>Alcossebre</t>
  </si>
  <si>
    <t>https://x.com/csinformacion/status/1009752948019220480</t>
  </si>
  <si>
    <t>https://www.facebook.com/groups/TiburonesRayasMediterraneoOccidental/posts/2628506550643550/?__cft__[0]=AZX72r_5p1Ejye25TsdWwrwVY5kMzCcwuZmJ9efgoPaIGdwHs5anZNLlb8YKi2kTYFLg02MR8_YukbUECGXzkrBTuAXdbDYia1XkRRbdr7oaJKS7Gz9Ll1MJACsQ4ad4lZMMNC5dakXneyNOzyvEPTE5KzwG0wTm1VPnXH6phE4kTlnhgLU0DY8lD30gJ4wROHe_9ARLPbwj6giBxwy1eyBO&amp;__tn__=%2CO%2CP-R</t>
  </si>
  <si>
    <t>Puerto de Mazarrón</t>
  </si>
  <si>
    <t>https://www.instagram.com/reel/ChH8Vfyqmub</t>
  </si>
  <si>
    <t>Lleva un sedal</t>
  </si>
  <si>
    <t>https://www.facebook.com/groups/TiburonesRayasMediterraneoOccidental/posts/2112966838864193/?__cft__[0]=AZXl9vES1VHBS6VrLnwhR9dzRFbs1GSqUYF-TU5VUSiLwY1CC9zd9AWhIqEQSzAJAeWQO_-atDD8KNxYWNn-V1NM7H52XAhFspBWZvc3EXtV7qQMgBXZVH-fIUcY1rb-Kh4dtwVjG9jqk4i6fmrJ2x4lWvtahvaI3SXARU9EVdY5OeFmADseKDLclP8oWeZLxKwwlYop_9h-hfkYWq106lYc&amp;__tn__=%2CO%2CP-R</t>
  </si>
  <si>
    <t>Cala Higuera, Cabo de Gata</t>
  </si>
  <si>
    <t>https://www.facebook.com/groups/TiburonesRayasMediterraneoOccidental/posts/1693450184149196/?__cft__[0]=AZWEFemFOq1GJu055xgp-5zGVog897Nb0Fybcqs-YXpxmecaUJbKOnMyazMtAX0w0W2Jf9MjZSu7Ix41j0SZQrM4BaybF2oennSktNY4r0IM4uIRw8jp81j4uw0MJvzL5-ZBgtI_UXsFvJ-wbS4YvttHY_9k3rPKAW0Gb81XeiMnlw&amp;__tn__=%2CO%2CP-R</t>
  </si>
  <si>
    <t>Agregación de varios ejemplares. Y una hembra embarazada</t>
  </si>
  <si>
    <t>Calpe (Puerto)</t>
  </si>
  <si>
    <t>https://www.facebook.com/groups/TiburonesRayasMediterraneoOccidental/posts/1534567936704089/?__cft__[0]=AZUSOW-j5eRj2E_VisE6vEdljttV8nvxCePcRz6YWvYEceVTqF5kdovEdbVJWWT9iKu3ZECO26gGzvWVor2GZATxLizOxiqMMvdmka_-fVtVeyJApoCp2ceBgqthnL93UpA38xIt3DkR22fSOfwIv9vZ6Rls5Ry_VA5ygs7C1-vavg&amp;__tn__=%2CO%2CP-R-R</t>
  </si>
  <si>
    <t>Cola cortada y embarazada</t>
  </si>
  <si>
    <t>https://www.facebook.com/groups/TiburonesRayasMediterraneoOccidental/posts/1532637770230439/?__cft__[0]=AZVgYUuZZxAvZGMRfIL00oqnvKTuCIT8O6btkozo4hJ3oqMTtptwJv9yWxPe0LS1Sqp6rDF1Y4jskOidB_HqVg5ycjg9T6sHfhuJVDOyP3QqjOLHRQKCn4dL7uOuJYoLj3LP50pVnU4d2eZ2fGtLAq8FseOdufPTjOBS1w0_z1TFS0yBqf2k889hfXnB2Rg_dpLWlCIuihNZNENDA9i6kFa-&amp;__tn__=%2CO%2CP-R</t>
  </si>
  <si>
    <t>https://www.facebook.com/reel/3642763749311246/?s=group_other&amp;__cft__[0]=AZVqsFCZLFKID0RjmKFdpJlKmsYjaahlN2nqo8n9nvVDLOiD_qsSs4qRlL41T4CjBoSr_5fCVNhM4nPoTrYr16NxHTW7Q7-JVzUHwY3IbelLq7S6KcKtOEox4CNGYHrFL5cZ3kAgevCAwzU7sQTHiWLAip-oHoziQC8SqFBuofzGlVafL3gf_Kfeaz4cRlia90Vwmq3fA-Jibgc0ae-bZsfn&amp;__tn__=H-R</t>
  </si>
  <si>
    <t>Santa Pola playa</t>
  </si>
  <si>
    <t>https://www.facebook.com/groups/TiburonesRayasMediterraneoOccidental/posts/1585162668311282/?__cft__[0]=AZX41NVgo0sLBywXe3z-4adNH3NgII9TzpIHuVcO6OhufOfvnZQq_lug9ytDgA9dr-Fm_mMxpfAME-VCOgL3mMZXEm0p7zJljAkn_v6cdh_2rIVARFxLeqSElpbAG1d960kqER7lXwHpV-rmDmt573Y6oeP4F7kpr0dQQE-ZnpB1kAwRubEH5l1EkK5IS_xkDP3HV3ISV45IOa6afDHvPlB_&amp;__tn__=%2CO%2CP-R</t>
  </si>
  <si>
    <t>Playa del Portet de Moraira</t>
  </si>
  <si>
    <t>https://www.levante-emv.com/videos/la-marina/2020/07/10/raya-pasea-banistas-playa-portet-11104426.html</t>
  </si>
  <si>
    <t>https://www.facebook.com/groups/TiburonesRayasMediterraneoOccidental/posts/1539342796226603/?__cft__[0]=AZWhhSxnvyPDwuHqjnPj0MkAAEh-to7VB5dTudIcADyu3RTNX_qQjh7Q17vbsSco-jPn3C5yTh_T-TNvbPVf47TcP5ptieBQf8eRTb7m116GVBi1MT9Un3_m8ei-lxWhUFWA4la13hulJE_edRop-dJ3KhV-QiZdSEhCvCOGShiQmHzxzvsZwAdwI3szzsE96d0S56m59nd7xu_9XIL9J-JQ&amp;__tn__=%2CO%2CP-R</t>
  </si>
  <si>
    <t>Una lleva un anzuelo</t>
  </si>
  <si>
    <t>isla Mitjana Benidorm</t>
  </si>
  <si>
    <t>https://www.facebook.com/groups/TiburonesRayasMediterraneoOccidental/posts/1840968412730705/?__cft__[0]=AZUbtvcYFvVmi-GSUDei2ENL7-kncFi1IoDUQ5mTJ8NhNhYszUrRrXdRt-nM6H7I-1F02XbqYEHdEfNOoORpX_yl8Z8bg2fSWdlfCYiJ2lK4LBWquJN34QmCXzFeZifI3xcRCGpGezFlRyNa-YmBvTsE3RDJ9Y9xhLEhdaiOChdX4MIYSMuj62JUvhGu4kf3XVx-pnP8zXCepyoO8Z25wyZu&amp;__tn__=%2CO%2CP-R</t>
  </si>
  <si>
    <t>https://www.facebook.com/groups/TiburonesRayasMediterraneoOccidental/posts/1732319336928947/?__cft__[0]=AZV6S-Rz6cx_MVhnystgo8_fvFB9OwuQU_KQE-vfYsegsuXyK7XSlPUPfJqBVaXH_00Pwh6cFP9RjE_cy8s_ZYMjROc8svPC6b3kkL9Z20LpXZbUd52Cnyb9QP_1Y8pKJnIP7CEH3C7dtTk4fFxL0-bJHbfeL9YqpegX7QynqXnAvAbbVJNKuvL547n6SkwmtZGC9iwlaZEbJ4Yhzx3g_gLH&amp;__tn__=%2CO%2CP-R</t>
  </si>
  <si>
    <t>Paraje Natural Acantilados de Maro-Cerro Gordo</t>
  </si>
  <si>
    <t>Illa Grossa Columbretes</t>
  </si>
  <si>
    <t>https://www.facebook.com/groups/TiburonesRayasMediterraneoOccidental/posts/1539501549544061/?__cft__[0]=AZURvSsjSGlNUZ7kDCsV6jJCXL6YOvxZdktLm_pc5CaEXwWsSWnQH2WmgyosYBvkkSfRPWdXoOqiywDMQL9IPjyK2jx9OgygyfYaf-zHwcsODG9pGh30k8sE5zZe6csjSZr0h68ZS3czl5pQPFBE1gms3w_lQeYu6-iuh5jv63FEqIwa1VX27MX5wjegHo-4MP8qL4rB8hWuUplGlQbU2zhR&amp;__tn__=%2CO%2CP-R</t>
  </si>
  <si>
    <t>Calpe Arcos</t>
  </si>
  <si>
    <t>https://www.facebook.com/groups/TiburonesRayasMediterraneoOccidental/posts/1549812068513009/?__cft__[0]=AZWys8slyi2JC0lxIouL6yWq5suocMO104O5DVXrNGa3U3QpAKjR_7YlOHL91CpLkCNpUS2c4n3NygFq53zzqRcVvYP0FJrjDP7pge-uONA0DjsHMrPzWbtlFO1f2KFcRFFSblGOHaC_0xIu7-nGS7ykUGw6_zyaEAL_lK2JINs_q-bHL8VojK5KtBapcrPoZDHXEaRXpNNibc7cut_caVrq&amp;__tn__=%2CO%2CP-R</t>
  </si>
  <si>
    <t>https://www.facebook.com/groups/TiburonesRayasMediterraneoOccidental/posts/1525215304306019/?__cft__[0]=AZWQvkZ8wsVKaP0MYd4Vd-jh7HtARmavM9BhsoEbVSXm84AQZrFRgTr7f6hjR1Qu8J2lZHwq7Sh5hlMFe60zWnK7IU4bZLAgsTLgsCCp8u17RK9rj_YYWnDL7_CJOWzSo9vjU_fd_6wc_fcbo0TDoN4Vk1PRGFOKQikDlDCEHY7ya9OrdaKzPEifmIdC2NYAZr9GiLV9L3UV7doqPkMidJFg&amp;__tn__=%2CO%2CP-R</t>
  </si>
  <si>
    <t>Isla de Portixol</t>
  </si>
  <si>
    <t>https://www.facebook.com/groups/TiburonesRayasMediterraneoOccidental/posts/1537591196401763/?__cft__[0]=AZUaSvm-C6jw_9NI669-l5li9ZnafJMAytO8I2q87bvoi53jUhS9W-tAYEUfBjM3Wp2qw4e2VWXkfP3doJB3JvpWb4s3QRg8ed9b_wX8LLzIrEo21OwK99YdSJouXLPmEgFqc9Kn-YK_d5IQ4cvacKQpVEo8sfkyoXkzbhmhrL0tTZrHowv1uSmbbU_J8CP4kbK2D9clijgiU2yvbBWO6ARi&amp;__tn__=%2CO%2CP-R</t>
  </si>
  <si>
    <t>Benidorm puerto</t>
  </si>
  <si>
    <t>https://www.facebook.com/reel/3918443631563336/?s=group_other&amp;__cft__[0]=AZUfgcC7y7JY7WRj18_GBztOwyjaUqTkjKjNvzfSFmNVfNyrqu7ohINpbcpDAFnkEQ55Paw9IIJ3GFWWShtOduoFGb9aB5-OxW_JuLm-DKinR-Py74nzkqXW-1rOEek3etsaw6PEgqdshMG7jd5_EbNA7mZY9h8pSf6ut8RbZxFyZWLA7pJ_5O9Y0DOAy8jDnK4RsGN5ozW3CWMnE6rV_Ngs&amp;__tn__=H-R</t>
  </si>
  <si>
    <t>Isla de Benidorm</t>
  </si>
  <si>
    <t>https://www.facebook.com/groups/TiburonesRayasMediterraneoOccidental/posts/1544433992384150/?__cft__[0]=AZX5rELQ5tNwC_ca8jbNqoSXLD2sTXetTQbIKpfN0CiEnHNR97ucj095YPqGp8jWLvkYl6vj8CnpdOkSzdscQEBAJQzNQLvt5KDCc4iVR8wH5Q1KJ2EcUlgeIKSUT5vO5jJjLzCxL0WgGU98GBeT26MhhQzPLGWp4i0RPy658HZNEW4g8ygnocJunN5R4dE3wtI&amp;__tn__=%2CO%2CP-R</t>
  </si>
  <si>
    <t>https://www.facebook.com/groups/TiburonesRayasMediterraneoOccidental/posts/1538804902947059/?__cft__[0]=AZUMpyIe5QfbZ3dXDIfR_6nduHoA_8LPH-GcVveDvialhukBvlZpMndhq_TIyKBfD5qtpTfq49MGWjhspnvsqxIaREtoqFfk-1LmjQA1L0Uwk3P_h26f9qK8Fz2qwled1b6JndgVDp_jOVod9rXe-gniuEbVdUsqXAE54s4lrvl6O13dq9StBV8pVSMCKmqAELCUhjLqadzft8D9GphiN_vv&amp;__tn__=%2CO%2CP-R</t>
  </si>
  <si>
    <t>Playa ensenada del esparto</t>
  </si>
  <si>
    <t>https://www.facebook.com/ivan.ramongomezdemercado/videos/3341700455873232/?__cft__[0]=AZVTxAV3hkass-2Thi5-ZNgfUd18MTqJMjqeM9EjT5pSlfejNWhsZ6Aoi4REmFTkG3tkJkYZr0X0u3PqJNK-VPsc38hendgw7A5KaJCG3mkzXHJ_m95Ii8m9bHIgjPzi2O8B79_vVi0cJ9V-2UszXm_hzNPPKRG4lQ9sebmGZefKnOFGQUAjIkkilNbgK0Vh5ZCklTfvE7NBrCSCKoO7o3jEFJ_kLo5BlZIVoFRKwQ-3Vw&amp;__tn__=%2CO%2CP-y-R</t>
  </si>
  <si>
    <t>https://www.facebook.com/francisco.lopezcampos.5492/videos/890436638118846/?__cft__[0]=AZW6VVt2xLiBJut6EKWzjR28G397w3zWKjYQn0jf-xJpW6KW-2NH9_LCtLOXq749-eOAK0BZHE_tYH14kTferTdi_jVqXqOpfjpsijLsYlWPi0guMF_Ivd4akiAk_KBdCuK8tethGih_150nnolnMIdCXadsdtMhw3BSjOZsgMI6t76bWUVU9ffCLASl3pGJEJHuCBbLfObR9TAjOXIRbhmYUxQOAE_V9WCikC_MR-1bMpEUbhqc7SgXNcxq_3e3wqQ&amp;__tn__=%2CO%2CP-y-R</t>
  </si>
  <si>
    <t>https://l.facebook.com/l.php?u=https%3A%2F%2Fwww.youtube.com%2Fwatch%3Fv%3D0MMdeYQasOE%26fbclid%3DIwZXh0bgNhZW0CMTAAYnJpZBEwcDBmWVFzWVdrRmh0UzVzaQEe4V_Z_P1eTQudViCUpNIfhRO0xFRbcqJSisIYR46YBwiHubPxK-Xz43YDdjo_aem_vGT5id0Coz-1wi21DBwGFQ&amp;h=AT3i0ynG81-l2AUxiXph_1XwMYKNp7pM2nRVpGXUHJ5h7Bsf_r_m59gCytL-WpkGrY-rUrttppGK6Z4LeDiu4pgeFxM7X4M2rnQv7TFkNNg5tuyCkpxEJ7E8N2F81aEO2Pwq&amp;__tn__=-UK-R&amp;c[0]=AT2T_fd4yIx5M30wJFXDY2MlI8nz_e0wJyoYsmTAXtEWjq23x6sr_dVh3N0f_0a2PKAHaB9FKHzYRleuY_gA5h67jh8MhQFZ9DkN5M4j5kxejAffXIKhzM_op4qWZKQmqzBMpZ3zID7Plfz3PMKkSRQbdpAT-DOXr_bcQlpqosVBtg52MsL0qiT1uEc3Q8KmRyK-_dkbyFZP7I6sG9cpRPezDshwKvZk-Q</t>
  </si>
  <si>
    <t>https://www.facebook.com/groups/TiburonesRayasMediterraneoOccidental/posts/1610730565754492/?__cft__[0]=AZWWdmaMMhS4G0dBYrigpSqERP7G7Lc252mPzMtMXRj70VTu7SdJsXmxQ0AU_G5BnAmOymXtb1gImeTHgQ5h6L0IoJ-FQsL8-omnsSk7eHz4hWBxK9FEkenMBRrFPONYvyn2zbcTZwFHa5GSS6J0C9UpdOfJ9za3nqtYV52ZwJIGTct9wFYF_3-lpPPMqBXHjOUlikbt8zGv_ZT2cimVXufO&amp;__tn__=%2CO%2CP-R</t>
  </si>
  <si>
    <t>https://www.facebook.com/groups/TiburonesRayasMediterraneoOccidental/posts/1539328939561322/?__cft__[0]=AZXLJulGlhUhefCKXnq3iFWdDPs4KDGQu0dIgvSVErubVPBX1Ikl-KPqEpyQNygNPo6zxwHhC3VC7FPjm6_5RC3uY4PjKdcEpSwqxvnF-rcGxZpd0tMF9w4YxaJfdg_u-0mDKZgLe3lrTBD5up_R8dGMRTBEDg6yaHCYIMRrRZdPXK6WMMPymDrfRACkxORDkocHKASGIddlGwsmnUo13nb0&amp;__tn__=%2CO%2CP-R</t>
  </si>
  <si>
    <t>Puerto de Cartagena</t>
  </si>
  <si>
    <t>https://www.facebook.com/tarayparaisoveneziola/videos/2312641719038232/?__cft__[0]=AZWEYGxhDxkZRFIgrapv_9RAN5y5aSFR99zA1Nf81gKvz6KVp2MycVaKzdIWqBFoCQnerBfkuh2pcjE32IDQ6JnL04zIEp4mtufxfqV8S9wJmXUO5T_EXr-nIMGbVkmBkCqiHLt-zrtqfBSJxhg_uWmCOA_OaK9Awnm-py4vNGkmfaLp7K58piPIyZWz3eRpnwl5HtuBCwY2LppFjDbIzbk7f-ZGM89HMsXJK7V2IMeUhQ&amp;__tn__=%2CO%2CP-y-R</t>
  </si>
  <si>
    <t>https://www.facebook.com/groups/TiburonesRayasMediterraneoOccidental/posts/1823658241128389/?__cft__[0]=AZUOy3ZaSK-sZd29P2QLLMqI8SqTTovztCkr2qGo_PKnIt32C_ZoCfPrGFiHF7fKN6P-DQAI5Ee1K6n3t9aimWD4qK0FqsQwb0A3dHnYGwRTmkUC5QaFqg9T6B4ztBzzh8FRaD7aHG5Cqsh6uWSFHUAxFr9B14WkL-ONautDpfx9bbJSMf5Y9VxzRLPzDUSO3Smy0zO6E1fw9vSq7tS6y-ny&amp;__tn__=%2CO%2CP-R</t>
  </si>
  <si>
    <t>https://www.facebook.com/groups/TiburonesRayasMediterraneoOccidental/posts/1701775793316635/?__cft__[0]=AZXAP50NV74Oy6oeEMsSfTFB9_IUrXEHcgpKRgOs1fg5XoTV8mIV3f1v6Ol-YBm37jIiKkesp84ak6DRUEYZaWGAO9CzfbYItT-Zv_I5gxCFNCerpTCePS6gSCSwT_3TkMXmLCYH9sgWEw7NM5T8fc00pEwmCyHw5VfAXzRQkFjKYNhocsEggaHYDAnds-Bo1y1jkwjAW8AdKdiqLytvmuqJ&amp;__tn__=%2CO%2CP-R</t>
  </si>
  <si>
    <t>Parece tener la región dorsal "hinchada"</t>
  </si>
  <si>
    <t>https://www.facebook.com/reel/541408837293403</t>
  </si>
  <si>
    <t>https://www.facebook.com/groups/TiburonesRayasMediterraneoOccidental/posts/1514458152048401/?__cft__[0]=AZUj7mf48WckxZxNTQjn7Y1L5B_kxFzitxLCTFcnZX0tjd9jGJt2_uM28bkWuEAzF3-Jjm04j4NQ3liZccf0Zi_Pma_6dNdZVBJ0kETHDWmqQw89IIdVHb35QzfY0GE2hQV2I_2ii9RBJNIN_c7LBtzsytuUN8AOos7kWi7RE_TJEfSdeRpi-yeq8So74arOyUP1NRXCUsGDAINLlFHq4Lkd&amp;__tn__=%2CO%2CP-R</t>
  </si>
  <si>
    <t>https://www.facebook.com/groups/TiburonesRayasMediterraneoOccidental/posts/1837658003061746/?__cft__[0]=AZUHHerJedPoN-uaPScpTBpiPbTg0yJp6L_csjBuztIPR-yGriAidEmiNaA68_JnAvjtInmU5vkEWD1TJBu06hGIfENCeAS1WwaVukKTXNOcZOpg4a8dL-F-3klI1bJf-PqqQB2kqpaDYw7qtGC_pAgkGzmraqeMGgDFksH6lvFTenpC0u0sSNJpG8rAd-05HF64IE2uKeWu2XrnG5kts9kgP7K1vL2sumRQxTUz7s-RmFHnR6pqWp7CKqHsmXwqtc4&amp;__tn__=%2CO%2CP-R</t>
  </si>
  <si>
    <t>https://www.facebook.com/reel/10220690847479670/?s=group_other&amp;__cft__[0]=AZVLP0QgUCS37Vp7nGGW8weeoR5GRbmdVysGp4UNRAbi3wwe0lxVnl-YNQciH_d8mLNRqzx6ywGb7X1-GwthbmRtu5GCUveJ4m7oRHX3rq2IYan6mPPLdfe1NCfJX5ofchvMYEaF3cWZHGbM1xJmUZR_U6JwAElaGAbsFJ0s7lxzCacxkRy96VVK3jOCj6adkX6QOw5ZwGbkwL2MNTTqrwkQonlKiwIkVrNB5xM_8h8PaA&amp;__tn__=H-R</t>
  </si>
  <si>
    <t>Cala del Racó, Calpe</t>
  </si>
  <si>
    <t>https://www.facebook.com/groups/TiburonesRayasMediterraneoOccidental/posts/1546188052208744/?__cft__[0]=AZUOlXifX7hLi1fKDuIdUYOwwqWhXaP03cq5GSboHjTxd5wovPejoV5XA5viXxV8J5pNfkwWDUs5BJuQ9kXj3AeTtYL4EAXjRJxANrX_w3DeL0cV17pTHke_RUwJMc_6bVNcWKWnACwImNYuY4ysZHYISxtxlmxPnte7rYUX3LkDU6zhqXs1FD5cpNIzMAeXBPl-0uFrciJSRUFEqw5sDaBb&amp;__tn__=%2CO%2CP-R</t>
  </si>
  <si>
    <t>Alfas del Pi serra gelada</t>
  </si>
  <si>
    <t>https://www.facebook.com/groups/TiburonesRayasMediterraneoOccidental/posts/1541656865995196/?__cft__[0]=AZUK9I3zQiSPBqDbZVehALOxYBbyaxkoA4lvuCJLube5cr2g1btHHvZ2xGlRurTdQz7r-9dM7ogWAuR9A--3f5Qnf99Yws3sS4Kz6QHeaxMqEICXLBKBrtC5me-I5uOPgozbH-S_1_p5YYJEmxVJ1keXSx5jd6i3ZawvYNigGgmUzg&amp;__tn__=%2CO%2CP-R</t>
  </si>
  <si>
    <t>Varias hembras por la misma zona</t>
  </si>
  <si>
    <t>Los Rubios</t>
  </si>
  <si>
    <t>https://www.facebook.com/groups/TiburonesRayasMediterraneoOccidental/posts/1556998644461018/?__cft__[0]=AZVPjaSvidgweS92lO5ZxDoo1iyN5gOxdBIUUha9P9WWYOQizDjfJhS43sSPXD9L5toLa4UFxHZksxEQbyOIFYbTd4BYm2y6rFZUQfqmVDZ2b51-B5uDYzU5LZOm9CHZo6mydCRPuoy2InBcoEb-cY2mCGojLAd6-J0oLv0WQZ5efIyvK1RZ2wpLtWQiLx74xjc-a75GfKLjFnLhY2Cvt-_w&amp;__tn__=%2CO%2CP-R</t>
  </si>
  <si>
    <t>https://www.facebook.com/groups/TiburonesRayasMediterraneoOccidental/posts/1546126635548219/?__cft__[0]=AZVDVnD6w5_0K0Dd0O0KIldx-7bCmYJcAfMdI2tdl7gIOu5J-AXdJEniYrvXrJPmCTuO71KW4dbbpfOBXuRoaewcdMjOrGsa7Nl-1HIVibF8tDUWy73CgSlOEeZuHTr2YU2lQ-NInyEI81qAQkDYih5Lo-NkRsYqjYdzwmdDiAB7aw&amp;__tn__=%2CO%2CP-R</t>
  </si>
  <si>
    <t>Playa Galúa</t>
  </si>
  <si>
    <t>La Mina, El Albir</t>
  </si>
  <si>
    <t>Cala S'Agulla</t>
  </si>
  <si>
    <t>Bajo de las Losas</t>
  </si>
  <si>
    <t>Isla Grossa de Columbretes</t>
  </si>
  <si>
    <t>Playa Almazora (2 millas)</t>
  </si>
  <si>
    <t>Puerto de Burriana (5 millas)</t>
  </si>
  <si>
    <t>Playa de las Amoladeras</t>
  </si>
  <si>
    <t>https://www.instagram.com/p/BniOmhxgFtf/</t>
  </si>
  <si>
    <t>El Garraf</t>
  </si>
  <si>
    <t>https://www.instagram.com/p/BVz9nP8FeiZ/</t>
  </si>
  <si>
    <t>https://www.instagram.com/p/C9XlAm3iUTl/?img_index=3</t>
  </si>
  <si>
    <t>https://www.instagram.com/p/CCQDpKZsMM3/</t>
  </si>
  <si>
    <t>https://www.instagram.com/p/CFv6vG0CnkJ/</t>
  </si>
  <si>
    <t>https://www.instagram.com/p/C_Knb-XNuDB/</t>
  </si>
  <si>
    <t>PN Cap de Creus</t>
  </si>
  <si>
    <t>https://www.instagram.com/p/C_S9mGtISuj/?img_index=4</t>
  </si>
  <si>
    <t>https://www.instagram.com/p/B-kWXqbqKkk/</t>
  </si>
  <si>
    <t>https://www.instagram.com/p/BmvBCQPH4Vj/</t>
  </si>
  <si>
    <t>Les Rotes, Dénia</t>
  </si>
  <si>
    <t>https://www.instagram.com/p/CDG-PXABP8f/</t>
  </si>
  <si>
    <t>https://www.instagram.com/p/CELjZ_KiQqe/</t>
  </si>
  <si>
    <t>https://www.instagram.com/p/CCxuqrjCfVx/</t>
  </si>
  <si>
    <t>https://www.instagram.com/p/CgZ1KEBMZ0U/?img_index=1</t>
  </si>
  <si>
    <t>https://www.instagram.com/p/Chu7Yj9MqYD/?img_index=3</t>
  </si>
  <si>
    <t>https://www.instagram.com/p/C95iVkhMg8I/?img_index=1</t>
  </si>
  <si>
    <t>Sant Pol de Mar</t>
  </si>
  <si>
    <t>https://www.instagram.com/p/ChKxVXjMsDK/</t>
  </si>
  <si>
    <t>https://www.instagram.com/p/CBFzpurpNOy/</t>
  </si>
  <si>
    <t>Arenales Del Sol-El Altet, Playas De Elche</t>
  </si>
  <si>
    <t>Platja Malgrat de Mar</t>
  </si>
  <si>
    <t>Playa del Riluete</t>
  </si>
  <si>
    <t>https://www.laverdad.es/murcia/mazarron/raya-sorprende-nadando-20200615174603-nt.html</t>
  </si>
  <si>
    <t>https://www.abc.es/espana/comunidad-valenciana/abci-video-raya-sorprende-banistas-playa-torrevieja-202006281655_video.html</t>
  </si>
  <si>
    <t>Port de Sant Miquel</t>
  </si>
  <si>
    <t>https://www.periodicodeibiza.es/pitiusas/ibiza/2025/06/06/2403213/normal-haya-rayas-orillas-playas-ibiza.html</t>
  </si>
  <si>
    <t>Playa del Postiguet</t>
  </si>
  <si>
    <t>https://www.tiktok.com/@edy_ferreiira/video/7387691909109566753</t>
  </si>
  <si>
    <t>https://www.tiktok.com/@mariajosetamuffy/video/7393289540238101792</t>
  </si>
  <si>
    <t>https://www.tiktok.com/@marinagvilla8/video/7395543107292450081</t>
  </si>
  <si>
    <t>Playa del Castellar</t>
  </si>
  <si>
    <t>Año</t>
  </si>
  <si>
    <t>Ene</t>
  </si>
  <si>
    <t>Feb</t>
  </si>
  <si>
    <t>Mar</t>
  </si>
  <si>
    <t>May</t>
  </si>
  <si>
    <t>Jun</t>
  </si>
  <si>
    <t>Jul</t>
  </si>
  <si>
    <t>Ago</t>
  </si>
  <si>
    <t>Sep</t>
  </si>
  <si>
    <t>Oct</t>
  </si>
  <si>
    <t>Nov</t>
  </si>
  <si>
    <t>Dic</t>
  </si>
  <si>
    <t>Abr</t>
  </si>
  <si>
    <t>Gir</t>
  </si>
  <si>
    <t>Bcn</t>
  </si>
  <si>
    <t>Tar</t>
  </si>
  <si>
    <t>CAT</t>
  </si>
  <si>
    <t>Cas</t>
  </si>
  <si>
    <t>Vlc</t>
  </si>
  <si>
    <t>Alc</t>
  </si>
  <si>
    <t>C. VAL</t>
  </si>
  <si>
    <t>R. MUR</t>
  </si>
  <si>
    <t>Alm</t>
  </si>
  <si>
    <t>Gra</t>
  </si>
  <si>
    <t>Mal</t>
  </si>
  <si>
    <t>Cad</t>
  </si>
  <si>
    <t>AND</t>
  </si>
  <si>
    <t>I. BAL</t>
  </si>
  <si>
    <t>CEU</t>
  </si>
  <si>
    <t>MEL</t>
  </si>
  <si>
    <t>Embarazo</t>
  </si>
  <si>
    <t>Posible Emb</t>
  </si>
  <si>
    <t>Parto</t>
  </si>
  <si>
    <t>Agreg</t>
  </si>
  <si>
    <t>Otros</t>
  </si>
  <si>
    <t>Descanso</t>
  </si>
  <si>
    <t>Estrés</t>
  </si>
  <si>
    <t>Alimen</t>
  </si>
  <si>
    <t>Hoja 1</t>
  </si>
  <si>
    <t>Datos generales</t>
  </si>
  <si>
    <t>Hoja 2</t>
  </si>
  <si>
    <t>Hoja 3</t>
  </si>
  <si>
    <t>Hoja 4</t>
  </si>
  <si>
    <t>Datos anuales</t>
  </si>
  <si>
    <t>Datos por regiones</t>
  </si>
  <si>
    <t>Hoja con contabiliza el número de INDIVIDUOS de forma anual (es automática se actualiza en base a la hoja 1)</t>
  </si>
  <si>
    <t>Hoja con contabiliza el número de INDIVIDUOS de según provincias y comunidades autónomas (es automática se actualiza en base a la hoja 1)</t>
  </si>
  <si>
    <t>Hoja con todos los datos en "bruto" de las ocurrencias de rayas pelágicas. Es importante mantener el formato de todos los datos, para que las otras hojas puedan registrar correctamente los datos</t>
  </si>
  <si>
    <t>Colección ICM y fue capturada</t>
  </si>
  <si>
    <t>Parece tener la región dorsal lateralmente "hinchada"</t>
  </si>
  <si>
    <t>Cola pelada y parece mostrar estrés al "comprimir" el disco o es la sensación que da. Movimientos erráticos y varamientos en playa</t>
  </si>
  <si>
    <t>Coord aproximada. Parece que la cuenta ya no existe</t>
  </si>
  <si>
    <t>https://www.elperiodicomediterraneo.com/castello/2016/07/20/oceanografic-acoge-raya-herida-orpesa-41667297.html</t>
  </si>
  <si>
    <t>Anzuelo en hendiduras branquiales. Coords aproximadas</t>
  </si>
  <si>
    <t>La Malva-Rosa</t>
  </si>
  <si>
    <t>Playa del Cabanyal</t>
  </si>
  <si>
    <t>https://www.levante-emv.com/valencia/2013/08/01/reabren-playas-valencia-verse-ayer-12875744.html</t>
  </si>
  <si>
    <t>Morro del Gos, Oropesa</t>
  </si>
  <si>
    <t>Cala Mondragó</t>
  </si>
  <si>
    <t>https://www.ultimahora.es/noticias/local/2025/06/11/2406265/avistan-nueva-mantarraya-cala-mondrago.html</t>
  </si>
  <si>
    <t>Com. Pers.</t>
  </si>
  <si>
    <t>Mara Segovia</t>
  </si>
  <si>
    <t>La ubi que mande, el día 11 las tres muy juntas en superficie, a unos 10m aprox unas de otras</t>
  </si>
  <si>
    <t>Pesca con caña</t>
  </si>
  <si>
    <t>Cullera</t>
  </si>
  <si>
    <t>https://www.tiktok.com/@ivonne_dela_r/video/7513623887939128581</t>
  </si>
  <si>
    <t>Magaluf</t>
  </si>
  <si>
    <t>https://www.tiktok.com/@nayragil19/video/7516241610913352982</t>
  </si>
  <si>
    <t>https://www.ultimahora.es/noticias/part-forana/2025/06/14/2408629/aparece-nueva-mantarraya-playa-magaluf.html</t>
  </si>
  <si>
    <t>https://www.cronicabalear.es/mallorca/2025-06-11/nueva-mantarraya-avistada-en-una-playa-de-mallorca-torrente-pareis/</t>
  </si>
  <si>
    <t>desembocadura del torrent de Pareis</t>
  </si>
  <si>
    <t>Masia Blanca</t>
  </si>
  <si>
    <t>https://www.diaridetarragona.com/costa/233899/avistan-raya-orilla-coma-ruga.html</t>
  </si>
  <si>
    <t>Platja del Canyadell</t>
  </si>
  <si>
    <t>https://www.diaridetarragona.com/costa/233488/mantarraya-joven-acerca-banistas-torredembarra.html</t>
  </si>
  <si>
    <t>Platja de Riells</t>
  </si>
  <si>
    <t>https://x.com/taispla/status/1935455938464321727</t>
  </si>
  <si>
    <t>Tiene coords raras (40.9790000, 1.9335000)... lo he aproximado a BCN/Garraf que es el punto de costa más cercano porque a 1 metro en alta mar es imposible! Comentario obsdelmar: Lo he puesto en conocimiento del 112 por si la raya sufria algun daño de las personas o las personas de la raya ,ya que estaba en la misma orilla con solo medio metro de profundidad,mide algo mas de un metro con cola incluida,Hola Genoveva,&lt;br /&gt; &lt;br /&gt; Muchas gracias por observación, es muy interesante!. A pesar de que se han avistado muchas rayas de esta especie este verano, es la primera observación de una raya en estas condiciones, una pena. &lt;br /&gt; &lt;br /&gt; saludos&lt;br /&gt; &lt;br /&gt; Claudio</t>
  </si>
  <si>
    <t>No se conoce la ubicación, pero pinta a ser Marbella (coords aproximadas) por datos del usuario que ha subido el video</t>
  </si>
  <si>
    <t>Imp sacar/estimar coords solo sabemos isla</t>
  </si>
  <si>
    <t>Total year</t>
  </si>
  <si>
    <t>COMPROBACIÓN</t>
  </si>
  <si>
    <t>Total Regions</t>
  </si>
  <si>
    <t>Playa de Levante</t>
  </si>
  <si>
    <t>Claudio Barría</t>
  </si>
  <si>
    <t>Descansando sobre el fondo de la orilla</t>
  </si>
  <si>
    <t>Morro del Gos</t>
  </si>
  <si>
    <t>Anabel Colmenero</t>
  </si>
  <si>
    <t>Ses Figueretes</t>
  </si>
  <si>
    <t>https://www.periodicodeibiza.es/pitiusas/ibiza/2025/06/10/2405839/aparece-nueva-raya-costa-ibiza.html</t>
  </si>
  <si>
    <t>Macho con herida/roncha cerca de oruilla</t>
  </si>
  <si>
    <t>https://www.instagram.com/reel/DLaI64BNs64/?igsh=bWd1d2k5eXNxcHZj</t>
  </si>
  <si>
    <t>Platja Sa Conca</t>
  </si>
  <si>
    <t>Castelldefels</t>
  </si>
  <si>
    <t>https://www.instagram.com/reel/DKKEo9dNkpp/?igsh=MTAzb3h3aGZtMmJkdQ==</t>
  </si>
  <si>
    <t>Natación lenta cerca de costa</t>
  </si>
  <si>
    <t>Imágenes en carpeta</t>
  </si>
  <si>
    <t>Playa del Moncayo</t>
  </si>
  <si>
    <t>Tiene la región dorsal como abultada</t>
  </si>
  <si>
    <t>https://www.instagram.com/reel/C9sKXiQNvzi/?igsh=Zm82bzRhOHMxdXlo</t>
  </si>
  <si>
    <t>https://www.instagram.com/reel/DKcd_TJilwO/?igsh=MWNnOWFtYWZoNm1naw%3D%3D</t>
  </si>
  <si>
    <t>Platja de Ben-Afelí</t>
  </si>
  <si>
    <t>https://www.instagram.com/p/Bm3WiA6nxc-/?igsh=MWxmcjdrZGtrZmQzcg%3D%3D</t>
  </si>
  <si>
    <t>https://www.facebook.com/reel/1082473630419193</t>
  </si>
  <si>
    <t>Platja del Tres Micos</t>
  </si>
  <si>
    <t>https://www.facebook.com/groups/888396354528181/?multi_permalinks=24300693432871810&amp;hoisted_section_header_type=recently_seen</t>
  </si>
  <si>
    <t>Son Moll</t>
  </si>
  <si>
    <t>https://www.facebook.com/capvermell.org/posts/pfbid02o8MtSvZ6TZR119bKjbDG5pfsqyY9q7RkAyoRgce7JCehowrrm5W3MeLJAhpHNhqUl?__cft__[0]=AZUoIJcyMzjpzuvfyPHnZgUiaWuoEg6KTy_vw4A6oC5gs7c1tFwUiuWgdW_FtmOdYlYB0DpKFOXJsiURtkPhBktXCxv4X6D_-V1gNrOnuhs3z_p5oJY_noNmJJSvyZeQXJ-gjnn2LIL1DaL1KGxEEA-4KdlP2cnsKYGdP5JuYlybfw&amp;__tn__=%2CO%2CP-R</t>
  </si>
  <si>
    <t>https://www.facebook.com/watch/?v=733748512416764</t>
  </si>
  <si>
    <t>Platja Gran de Cadaqués</t>
  </si>
  <si>
    <t>https://www.facebook.com/radiocapdecreus/videos/1340663523691120/?__tn__=%2CO</t>
  </si>
  <si>
    <t>Comportamiento errático sacando cabeza del agua muy cerca de la orilla, posible estrés creo</t>
  </si>
  <si>
    <t>https://www.facebook.com/reel/3737017649887325</t>
  </si>
  <si>
    <t>https://www.facebook.com/watch/?v=313071527712966</t>
  </si>
  <si>
    <t>Es Cavall d'En Borràs</t>
  </si>
  <si>
    <t>https://www.facebook.com/watch/?v=1082537610409294&amp;__cft__[0]=AZVhpmlDLCogMJdvvZLD5j-HTVCvP9qO6-ifgv_6tS1BAAN6SURCEnAq5Z7v60vP7Erg4Rj2kW7MH_NL4BZXq8ZZ3gl-uqYysrNQgtLo1vnUqzKTM64TRC6e7rog20A-K2N8wp695fcgcrl8cJ67_b3IuNHwQzdNPdRUWBmIpLiia0Y54Fdq7ClaLWhXvLICbU6mZRTyHVAE6AnT1SGPcItLQySjPZnnn09WRDBuNge3kw&amp;__tn__=%2CO%2CP-R</t>
  </si>
  <si>
    <t>Artículo</t>
  </si>
  <si>
    <t>https://www.facebook.com/cronicas.naturales.torrevieja/posts/pfbid035k2pcyFhugPq896k51DF3sxDT5uQWSsdmUvJYBMyMWRnTDDHjcW2yJufkYRwVg47l?__cft__[0]=AZV0N4KNtMZHxBw78OuISmPnHdDIPWBFYX0OUQdeWKlNV9MreNLI-WpeQTV7JPa8DiYBIT__gncnw95vcofNmVkxYG_ynFKnLi089ctflNtT1hRaEDofCIFXH6texjwVJXFPihz-kjJ_O3nMzYuX_Dim11hzUFgSdrx6R9BRL41b-Q&amp;__tn__=%2CO%2CP-R</t>
  </si>
  <si>
    <t>Caló d'Es Burgit</t>
  </si>
  <si>
    <t>Arenal de Son Saura</t>
  </si>
  <si>
    <t>Puerto de Ibiza</t>
  </si>
  <si>
    <t>Playa Es Tancat-Algaraiens</t>
  </si>
  <si>
    <t>Playa Aigües Blanques</t>
  </si>
  <si>
    <t>Playa Es Pouet</t>
  </si>
  <si>
    <t>S'Arenal</t>
  </si>
  <si>
    <t>Playa de Sa Marjal</t>
  </si>
  <si>
    <t>Puerto de Sóller</t>
  </si>
  <si>
    <t>Entre Son Xoriguer y Cap d'Artrutx</t>
  </si>
  <si>
    <t>Playa de Can Pastilla</t>
  </si>
  <si>
    <t>Camp de Mar</t>
  </si>
  <si>
    <t>Son Bou</t>
  </si>
  <si>
    <t>Platja de Palma</t>
  </si>
  <si>
    <t>Cala en Blanes</t>
  </si>
  <si>
    <t>Cala Vedella</t>
  </si>
  <si>
    <t>Cala Millor</t>
  </si>
  <si>
    <t>Playa de la Vall</t>
  </si>
  <si>
    <t>Santa Ponça</t>
  </si>
  <si>
    <t>Son Xoriguer</t>
  </si>
  <si>
    <t>Faro de S'Estalella</t>
  </si>
  <si>
    <t>Platja es Trenc</t>
  </si>
  <si>
    <t>Soller</t>
  </si>
  <si>
    <t>S'Amarador</t>
  </si>
  <si>
    <t>Cala Comtessa</t>
  </si>
  <si>
    <t>Sa Calobra</t>
  </si>
  <si>
    <t>Cala Mesquida</t>
  </si>
  <si>
    <t>Cala Pada</t>
  </si>
  <si>
    <t>Cala Tarida</t>
  </si>
  <si>
    <t>Playa de Macarella</t>
  </si>
  <si>
    <t>Es Codolar</t>
  </si>
  <si>
    <t>Cala Vinyes</t>
  </si>
  <si>
    <t>Playa Rajoli</t>
  </si>
  <si>
    <t>Es Carregador</t>
  </si>
  <si>
    <t>Punta Negra</t>
  </si>
  <si>
    <t>Es Trenc</t>
  </si>
  <si>
    <t>Costa de la Calma</t>
  </si>
  <si>
    <t>Ciudad Jardín</t>
  </si>
  <si>
    <t>Es Canar</t>
  </si>
  <si>
    <t>Playa de Palma</t>
  </si>
  <si>
    <t>Playa de Santa Ponça</t>
  </si>
  <si>
    <t>Cala Barques</t>
  </si>
  <si>
    <t>Cala Antena</t>
  </si>
  <si>
    <t>Santo Tomás</t>
  </si>
  <si>
    <t>Cala Blanca</t>
  </si>
  <si>
    <t>Port d'Alcúdia</t>
  </si>
  <si>
    <t>Xisca Pujol (Fundación Palma Aquarium)</t>
  </si>
  <si>
    <t>Pesca palangre. DW = 51.83 ± 4.39 (verano) 49.20 ± 3.98 (otoño)</t>
  </si>
  <si>
    <t>Vigo et al., 2024</t>
  </si>
  <si>
    <t>Platja del Varador</t>
  </si>
  <si>
    <t>https://capgros.elnacional.cat/es/mataro/manta-raya-sorprende-banistas-en-playa-mataro_815999_102.html</t>
  </si>
  <si>
    <t>Platja de Mataró</t>
  </si>
  <si>
    <t>https://www.facebook.com/groups/550737361628880/?multi_permalinks=23958130770462876&amp;hoisted_section_header_type=recently_seen&amp;__cft__[0]=AZXSUthTIzI4uF8PqR5RNC8qx8mEMwJH92YFKUycDmB2I7SOWrkn4qpmPApXk14LrBSQrasLWuMsyz91wQaA0cxHgV9_GdDEEuTy7czsXchuBkbme9SO4KD6IGN2f203JtoIApsHQAiwR_wNj2GIf6SY&amp;__tn__=%2CO%2CP-R</t>
  </si>
  <si>
    <t>Platja de Llevant</t>
  </si>
  <si>
    <t>https://www.instagram.com/reel/DLcHe9EMq24/?igsh=NnhubHkxcjNsN2t2</t>
  </si>
  <si>
    <t>Torre de la Horadada (Playa de los Jesuitas)</t>
  </si>
  <si>
    <t>https://www.instagram.com/reel/C9qADhHtmvt/?igsh=dzhzNWx6ZDBmdGJk</t>
  </si>
  <si>
    <t>Prácticamente varada en orilla</t>
  </si>
  <si>
    <t>Es Comú</t>
  </si>
  <si>
    <t>https://www.instagram.com/reel/DLscFGJCCQC/?igsh=MTZxYW1jNzZyZ3BxcA%3D%3D</t>
  </si>
  <si>
    <t>https://www.youtube.com/shorts/ZN5ER1xp6jI</t>
  </si>
  <si>
    <t>Además de estar súper cerca de costa, alegan que hay otra bebé cerca</t>
  </si>
  <si>
    <t>https://www.instagram.com/p/DLN_nJDNznU</t>
  </si>
  <si>
    <t>No hay coords. Importante mencionar que posiblemente ha estado enterrada descansando debido a que tiene arena por todo el cuerpo</t>
  </si>
  <si>
    <t>https://www.observadoresdelmar.es/Observations/1800959</t>
  </si>
  <si>
    <t>Santa Pola</t>
  </si>
  <si>
    <t>https://www.observadoresdelmar.es/Observations/1801141</t>
  </si>
  <si>
    <t>Región dorsal parece "hinchada"</t>
  </si>
  <si>
    <t>https://www.observadoresdelmar.es/Observations/1801165</t>
  </si>
  <si>
    <t>Le acompaña Naucrates ductor</t>
  </si>
  <si>
    <t>https://www.observadoresdelmar.es/Observations/1801212</t>
  </si>
  <si>
    <t>Descansando sobre Posidonia oceanica</t>
  </si>
  <si>
    <t>https://www.observadoresdelmar.es/Observations/1801163</t>
  </si>
  <si>
    <t>https://www.observadoresdelmar.es/Observations/1801215</t>
  </si>
  <si>
    <t>https://www.observadoresdelmar.es/Observations/1801199</t>
  </si>
  <si>
    <t>https://www.observadoresdelmar.es/Observations/1801363</t>
  </si>
  <si>
    <t>https://www.observadoresdelmar.es/Observations/2000251</t>
  </si>
  <si>
    <t>https://www.observadoresdelmar.es/Observations/2000191</t>
  </si>
  <si>
    <t>https://www.observadoresdelmar.es/Observations/2000420</t>
  </si>
  <si>
    <t>Imágenes en redes (https://www.tiktok.com/@nanoeyes/video/7518844266974563606)</t>
  </si>
  <si>
    <t>Mojacar</t>
  </si>
  <si>
    <t>https://www.tiktok.com/@chhristiancr97/video/7401593543061474593</t>
  </si>
  <si>
    <t>https://www.tiktok.com/@__yandira__/video/7400512693435682080</t>
  </si>
  <si>
    <t>Playa de la Fabriquilla</t>
  </si>
  <si>
    <t>https://www.instagram.com/reel/CbCpw4xAeBW/?igsh=MW1xODU3YXdxaWk4</t>
  </si>
  <si>
    <t>https://www.instagram.com/reel/DLDB5aLIVCT/?igsh=cmVtcDdsbjE1MjUz</t>
  </si>
  <si>
    <t>Platja Gran</t>
  </si>
  <si>
    <t>Portdoguer</t>
  </si>
  <si>
    <t>Sant Feliu de Guíxols</t>
  </si>
  <si>
    <t>https://www.instagram.com/reel/Cv5KkG6tlxp/?igsh=MTZ1bWJ3NmxyZWppag%3D%3D</t>
  </si>
  <si>
    <t>https://www.instagram.com/reel/C-Fji0Ztgxd/?igsh=MXd4eHllcDljenJldg%3D%3D</t>
  </si>
  <si>
    <t>La Boia de Mataró</t>
  </si>
  <si>
    <t>https://www.instagram.com/p/B1zC8nlieeq/?igsh=dWJ4Z2R4OGl6d24x</t>
  </si>
  <si>
    <t>https://www.instagram.com/p/C9vJ1YTu7fA/?img_index=1&amp;igsh=Z2NiNHg0enJuaXhj</t>
  </si>
  <si>
    <t>L'Illa</t>
  </si>
  <si>
    <t>https://www.instagram.com/p/CCkwgSpqRKs/?igsh=ZDI2bnlnYWMwdW1k</t>
  </si>
  <si>
    <t>Ubicación imposible. Parece tener la parte dorsal como hinchada, y dicen que estaba descansando sobre el fondo</t>
  </si>
  <si>
    <t>Tiene la región dorsal como abultada. Coords imp</t>
  </si>
  <si>
    <t>https://www.instagram.com/reel/DLaWxXAtXSa/</t>
  </si>
  <si>
    <t>Suelta en mar por equipo de rescate. No parece adulta</t>
  </si>
  <si>
    <t>Mataró</t>
  </si>
  <si>
    <t>Ejemplar muerto en Mataró. No parece adulto, debido a su despigmentación dorsal no se pueden identificar heridas</t>
  </si>
  <si>
    <t>https://www.facebook.com/ignasi.soberano/videos/1889527165228654/?__cft__[0]=AZULmXMl76fFwkcE31Ak8W9Vv5O59hRdBmC3YTW4ImSro617rQkWSvejIGZffmb0MtguLbQoLleeNWcmw_VHS_JuRizUdOvp4BC-d3xJkpv3BUfHUFauoes37BfJnoxTxWk1Rt15iO1V19KxDZUd_kSTn-gE-1SEIqxNP7HXyu6O4XZb2u8dCZTMaTn4Q_pO5tY&amp;__tn__=%2CO%2CP-R</t>
  </si>
  <si>
    <t>Aguas muy someras en playa</t>
  </si>
  <si>
    <t>Cubelles</t>
  </si>
  <si>
    <t>Creixell</t>
  </si>
  <si>
    <t>Jordi Ruiz-Olmo</t>
  </si>
  <si>
    <t>Posiblemente sea de otra fecha</t>
  </si>
  <si>
    <t>https://www.instagram.com/reel/ChP4OkZq0lP/?igsh=MWwwZ2ZzOWQxNjk3Yw%3D%3D</t>
  </si>
  <si>
    <t>https://www.instagram.com/p/BmREcOvF1cP/?igsh=MXJ1ZnJ0b2V4aTFmYg%3D%3D</t>
  </si>
  <si>
    <t>Cala Ferriol</t>
  </si>
  <si>
    <t>Cala Cerrada</t>
  </si>
  <si>
    <t>https://www.instagram.com/reel/C-V0ekZsTxi/?igsh=MW8zbmxleTdvd2Fhdw%3D%3D</t>
  </si>
  <si>
    <t>https://www.instagram.com/reel/C9nMWGbM2Gb/?igsh=dnl1a3RzaHBocDhl</t>
  </si>
  <si>
    <t>Platja de Sant Pol</t>
  </si>
  <si>
    <t>https://www.facebook.com/groups/gironaensemociona/posts/9847967658633870/</t>
  </si>
  <si>
    <t>https://www.observadoresdelmar.es/Observations/1801170</t>
  </si>
  <si>
    <t>https://www.observadoresdelmar.es/Observations/1801320</t>
  </si>
  <si>
    <t>Isla del Aire</t>
  </si>
  <si>
    <t>Tiene un anzuelo</t>
  </si>
  <si>
    <t>https://www.instagram.com/reel/DMTHiV_MAGU/?igsh=YTE3M2I1cXJycXNw</t>
  </si>
  <si>
    <t>Está descansando sobre el fondo, tiene la región dorsal "hinchada"</t>
  </si>
  <si>
    <t>https://www.observadoresdelmar.es/Observations/1801119</t>
  </si>
  <si>
    <t>Calpe</t>
  </si>
  <si>
    <t>iNaturalist</t>
  </si>
  <si>
    <t>Descansando sobre fondo arenoso</t>
  </si>
  <si>
    <t>Posiblemente se trata de la misma que el registro posterior</t>
  </si>
  <si>
    <t>https://www.inaturalist.org/observations/231563996</t>
  </si>
  <si>
    <t>https://www.inaturalist.org/observations/232257797</t>
  </si>
  <si>
    <t>Altafulla</t>
  </si>
  <si>
    <t>https://www.inaturalist.org/observations/234672527</t>
  </si>
  <si>
    <t>https://www.inaturalist.org/observations/235876376</t>
  </si>
  <si>
    <t>Embrión varado/hallado en la playa. En demasiado buen estado, quizás ligado a un parto inducido a estrés?</t>
  </si>
  <si>
    <t>https://www.inaturalist.org/observations/251012382</t>
  </si>
  <si>
    <t>Cala Sa Cebolla</t>
  </si>
  <si>
    <t>https://www.inaturalist.org/observations/284804707</t>
  </si>
  <si>
    <t>Tossal de la Cala</t>
  </si>
  <si>
    <t>https://www.inaturalist.org/observations/294263381</t>
  </si>
  <si>
    <t>https://www.inaturalist.org/observations/298602406</t>
  </si>
  <si>
    <t>Parece que tiene la región dorsal como "hinchada"</t>
  </si>
  <si>
    <t>Database</t>
  </si>
  <si>
    <t>Instagram</t>
  </si>
  <si>
    <t>YouTube</t>
  </si>
  <si>
    <t>Twitter</t>
  </si>
  <si>
    <t>Vimeo</t>
  </si>
  <si>
    <t>Facebook</t>
  </si>
  <si>
    <t>TikTok</t>
  </si>
  <si>
    <t>Fuente_tipo</t>
  </si>
  <si>
    <t>https://doi.org/10.1016/j.marenvres.2024.106651</t>
  </si>
  <si>
    <t>El Gerió Digital</t>
  </si>
  <si>
    <t>Diari de Tarragona</t>
  </si>
  <si>
    <t>Antena 3</t>
  </si>
  <si>
    <t>Diari Més</t>
  </si>
  <si>
    <t>CCMA</t>
  </si>
  <si>
    <t>Levante-EMV</t>
  </si>
  <si>
    <t>La Verdad</t>
  </si>
  <si>
    <t>ABC</t>
  </si>
  <si>
    <t>Periódico de Ibiza</t>
  </si>
  <si>
    <t xml:space="preserve">El Periódico Mediterráneo </t>
  </si>
  <si>
    <t>Última Hora</t>
  </si>
  <si>
    <t>Crónica Balear</t>
  </si>
  <si>
    <t>Capgròs</t>
  </si>
  <si>
    <t>La Granadella</t>
  </si>
  <si>
    <t>https://www.instagram.com/reel/C9ue24et6xk</t>
  </si>
  <si>
    <t>Las crías nacieron en el Oceanográfic (https://www.levante-emv.com/valencia/2013/08/27/nacen-crias-pez-raya-hallado-12868514.html). Las crías pesan alrededor de 150 gramos, presentan un diámetro de unos 10 centímetros y tienen su aguijón bien formado al principio de su cola de 35 centímetros. También en este vídeo (https://www.youtube.com/watch?v=MzI9cYTy06s&amp;ab_channel=GeneralitatValenciana) mencionan que de 7 rayas pelágicas atentidas ese año (2013), 6 presentaban signos de parto y la otra pues parió ahí en cuarentena etc</t>
  </si>
  <si>
    <t>https://www.facebook.com/bilal.elmariami/videos/24094282653562645/?__cft__[0]=AZXzUodHwcg2j66FEHjzpUPUcKzIzLXHOWEMmmiy3TykTliUskYv7tZs66gOBzhpsXcGKginHi9GOYKI5Y_eL8fAwPYfk1-LL6v2p9VWK2dZL8uXHUc8YbW-1Zy5DIg-OkQ6Q10I_s-4R11sF5jfttY6Ml73LSl7ZKtrnC6XKkpKIF79o--sg5GLCWC_dntfT30&amp;__tn__=%2CO%2CP-R</t>
  </si>
  <si>
    <t>https://www.facebook.com/reel/755189356883650/?s=group_other&amp;__cft__[0]=AZWDnAAPIqvusaMB8dSHbZKqu3i8sCTZXhzDjzfVXvh8WmobRNqFxPJJ80rubRB_jQwUU_W57ikSvn4VIt-XYmLLTnwDx-v2U8qqHOeHvd5lo1qkrw2dMf2oNUlLDpgxrq5AJmtSespaG9LzyBR7v1vgoTLy2yIyCN29XQs6xjiWVyQMTfj5aNHHnuKE6tmeb7psbbwfOYGgqjeI0ZhWTTNZ&amp;__tn__=H-R</t>
  </si>
  <si>
    <t>Playa de Campoamor</t>
  </si>
  <si>
    <t>Cala del Plomo</t>
  </si>
  <si>
    <t>https://www.instagram.com/reel/C9cigQ6sgG-/?igsh=MWh3bzNpdm9uY285aw%3D%3D</t>
  </si>
  <si>
    <t>Port Olímpic</t>
  </si>
  <si>
    <t>Tiene una coloración muy blanquecina</t>
  </si>
  <si>
    <t>Puerto Coma-ruga</t>
  </si>
  <si>
    <t>https://www.diaridetarragona.com/costa/110603/video-tres-peces-raya-nadan-en-el-puerto-de-coma-ruga-20180813-0041-nsdt201808130041.html</t>
  </si>
  <si>
    <t>Podría ser el puerto donde se avistaron muchas? En la noticia indica solo 3 pero pinta a ser ese</t>
  </si>
  <si>
    <t>Playa de Xeraco</t>
  </si>
  <si>
    <t>Pol Carrasco</t>
  </si>
  <si>
    <t>Tiene arena en el disco, probablemente ha estado enterrada descansando</t>
  </si>
  <si>
    <t>Cala Penya Tallada</t>
  </si>
  <si>
    <t>https://www.tiktok.com/@vicente_vizcay/video/7518794918433721623</t>
  </si>
  <si>
    <t>Lleva arena en el disco</t>
  </si>
  <si>
    <t>Playa de los Muertos</t>
  </si>
  <si>
    <t>https://www.tiktok.com/@diegodavidextremo/video/7418938703675936032</t>
  </si>
  <si>
    <t>https://www.tiktok.com/@revortosso/video/7170469521126460677</t>
  </si>
  <si>
    <t>No hay coords</t>
  </si>
  <si>
    <t>https://www.tiktok.com/@merii.mt/video/7397336476666580257</t>
  </si>
  <si>
    <t>No tiene coords</t>
  </si>
  <si>
    <t>Playa del Riguete de Mazarrón</t>
  </si>
  <si>
    <t>Parece tener la región dorsal hinchada</t>
  </si>
  <si>
    <t>https://www.tiktok.com/@lopesinoolga.sira/video/7389952247230156065</t>
  </si>
  <si>
    <t>La Pineda Platja</t>
  </si>
  <si>
    <t>https://www.facebook.com/reel/728666463112257/?s=single_unit&amp;__cft__[0]=AZX7B9RPiQun7Q9l6kbpD_YFShOWFhT-BdTMEAZ-Xmy_jcFdF-fahSZcK-EyZ8NKQ2N7iqYNKMdh3-K7dv2ldqTOEFwVU9zpoMdw-yZAe8wZ5mjZPo75h8jvK5lIBby_KnAS660qhR4TcxokaThzErHYqbZ-rh9n_zV1McGJbpR3zY_53r-c4u_9FXXP2hndUTndk1wMZkVL53sd0twE_nuD&amp;__tn__=H-R</t>
  </si>
  <si>
    <t>Muy cerca de la orilla y nado muy despacio (cansancio postparto?)</t>
  </si>
  <si>
    <t>Percheles</t>
  </si>
  <si>
    <t>https://www.tiktok.com/@familycheckk0/video/7394463545544445217?is_from_webapp=1&amp;sender_device=pc&amp;web_id=7534612176516384278</t>
  </si>
  <si>
    <t>Guardamar del Segura</t>
  </si>
  <si>
    <t>https://www.tiktok.com/@titotalesofficial/video/7126551252409879813</t>
  </si>
  <si>
    <t>Puerto de la Atunara</t>
  </si>
  <si>
    <t>Cádiz</t>
  </si>
  <si>
    <t>https://www.tiktok.com/@adaymontes1319/video/7527402588434664726</t>
  </si>
  <si>
    <t>Playa de la Granadella</t>
  </si>
  <si>
    <t>https://www.tiktok.com/@_aventura_t/video/7394166917482745121</t>
  </si>
  <si>
    <t>Tiene la parte dorsal como hinchada ligeramente</t>
  </si>
  <si>
    <t>https://www.tiktok.com/@buzodescalzo/video/7401008389561650465?is_from_webapp=1&amp;sender_device=pc&amp;web_id=7534612176516384278</t>
  </si>
  <si>
    <t>Bahía de Pollença</t>
  </si>
  <si>
    <t>Estación</t>
  </si>
  <si>
    <t>Invierno</t>
  </si>
  <si>
    <t>Primavera</t>
  </si>
  <si>
    <t>Otoño</t>
  </si>
  <si>
    <t>Verano</t>
  </si>
  <si>
    <t>Com_Autónoma</t>
  </si>
  <si>
    <t>https://www.instagram.com/reel/DMx0yqVMUCd</t>
  </si>
  <si>
    <t>No parece muy grande la verdad</t>
  </si>
  <si>
    <t>Tiene la región dorsal así como "hinchada"</t>
  </si>
  <si>
    <t>https://www.instagram.com/reel/C9I0f1SNVO3</t>
  </si>
  <si>
    <t>https://www.tiktok.com/@loly68050/video/7520630306001456406</t>
  </si>
  <si>
    <t>https://www.tiktok.com/@anellides/video/7401916383505829153</t>
  </si>
  <si>
    <t>Platja Son Moll</t>
  </si>
  <si>
    <t>https://www.tiktok.com/@la_orlandi/video/7513616015066926358</t>
  </si>
  <si>
    <t>Playa de Arenales</t>
  </si>
  <si>
    <t>https://www.instagram.com/reel/C9O-YvVI01i</t>
  </si>
  <si>
    <t>Suelta raya policia y coords aprox</t>
  </si>
  <si>
    <t>Isla del Fraile</t>
  </si>
  <si>
    <t>https://www.instagram.com/reel/DMhSAghCpXE</t>
  </si>
  <si>
    <t>https://www.instagram.com/p/BnHOzg5Bl7x</t>
  </si>
  <si>
    <t>Coords imposible</t>
  </si>
  <si>
    <t>https://www.instagram.com/p/BmBhsBgnhPe</t>
  </si>
  <si>
    <t>Parte dorsal parece "hinchada"</t>
  </si>
  <si>
    <t>https://www.instagram.com/p/B1J16ueIRBZ</t>
  </si>
  <si>
    <t>Alimentándose en puerto, coords aproximadas</t>
  </si>
  <si>
    <t>https://www.instagram.com/reel/DAguWvXu3ga</t>
  </si>
  <si>
    <t>Cola cortada, pesca y retirada de parásito. Mueve claspers por estrés de manipulación. Coords imposible</t>
  </si>
  <si>
    <t>https://www.instagram.com/reel/C8mVApkN7tt</t>
  </si>
  <si>
    <t>Se acerca mucho a pies de persona, tiene heridas que parecen rozaduras</t>
  </si>
  <si>
    <t>https://www.instagram.com/reel/C-fsKp1sea7</t>
  </si>
  <si>
    <t>https://www.instagram.com/reel/C_UtX5uNdL_/#</t>
  </si>
  <si>
    <t>Calahonda</t>
  </si>
  <si>
    <t>https://www.instagram.com/reel/CwE9t96o6zx/#</t>
  </si>
  <si>
    <t>https://www.instagram.com/reel/C_ccWjpClqa</t>
  </si>
  <si>
    <t>Platja del Mongat</t>
  </si>
  <si>
    <t>https://www.instagram.com/p/DNEFQzSMrA9</t>
  </si>
  <si>
    <t>Creo que embarazada descansando sobre el fondo, tiene la parte dorsal trasera como hinchada ligeramente</t>
  </si>
  <si>
    <t>https://www.tiktok.com/@alenka_syrotina/video/7518345928147733765</t>
  </si>
  <si>
    <t>Playa Mar Bella</t>
  </si>
  <si>
    <t>https://www.tiktok.com/@deissybb/video/7535966074072812806</t>
  </si>
  <si>
    <t>De noche y muy cerca de la orilla</t>
  </si>
  <si>
    <t>Cadaqués</t>
  </si>
  <si>
    <t>https://spain.inaturalist.org/observations/304910924</t>
  </si>
  <si>
    <t>Tiene la región dorsal como "hinchada" y coords aproxs</t>
  </si>
  <si>
    <t>https://www.instagram.com/reel/DNc8gSzoT2N</t>
  </si>
  <si>
    <t>https://www.instagram.com/p/DNXiXvLt2Ga</t>
  </si>
  <si>
    <t>Pesca y coords imposible</t>
  </si>
  <si>
    <t>Playa del Callao</t>
  </si>
  <si>
    <t>https://www.facebook.com/groups/550737361628880/?multi_permalinks=23990788037197149&amp;hoisted_section_header_type=recently_seen</t>
  </si>
  <si>
    <t>Cerca de la orilla y debilucha</t>
  </si>
  <si>
    <t>Playa Canet d'en Berenguer</t>
  </si>
  <si>
    <t>https://www.facebook.com/groups/1487167471477890/posts/2834295660098391/</t>
  </si>
  <si>
    <t>Cerca de la orilla y cola cortada</t>
  </si>
  <si>
    <t>https://www.instagram.com/p/BmREcOvF1cP</t>
  </si>
  <si>
    <t>Se ve algo delgada, postparto quizás?</t>
  </si>
  <si>
    <t>https://www.instagram.com/p/DNd3-__MdVh</t>
  </si>
  <si>
    <t>Parece tener la parte dorsal como hinchada</t>
  </si>
  <si>
    <t>Playa de Llaveneres</t>
  </si>
  <si>
    <t>https://www.facebook.com/reel/1878728116036543</t>
  </si>
  <si>
    <t>Cerca de la orilla</t>
  </si>
  <si>
    <t>https://www.facebook.com/aulaaquatica/videos/1399797346830472/?__cft__[0]=AZWd29ZIaFpfz6JMSEO1-Pn22iVFKGHRPHqBDy2UMzjkDvS_pmuVgtzqjHCJny4V3Fokfc8HRsOUGIaUBMlfWvYtFXuN8KFyiGt-Pq0Iw96_7Uw9G4bk3iowhVr0kj8tvCHRtgt9NqrD_5NYpOlKkI7SF_kBDZBAhOaTGt8rDAGtsg&amp;__tn__=%2CO%2CP-R</t>
  </si>
  <si>
    <t>Tiene región dorsal algo abultada</t>
  </si>
  <si>
    <t>Sitges</t>
  </si>
  <si>
    <t>https://www.instagram.com/p/Bm_NwQLAzkf/?igsh=MTl1ZWdtcXA1dGQ0dw==</t>
  </si>
  <si>
    <t>Agua Amarga</t>
  </si>
  <si>
    <t>https://www.instagram.com/p/C-KTVtuAGfT/?igsh=ODBkNTM4aTRybjZt</t>
  </si>
  <si>
    <t>Está bastante embarazada</t>
  </si>
  <si>
    <t>https://www.instagram.com/reel/CgqrE9BKupY/?igsh=MWFxdjM1MmE4OXh6MQ==</t>
  </si>
  <si>
    <t>https://www.instagram.com/p/ChvXPYEsU2-/?igsh=MXVscmZkbHdmOXRqdA%3D%3D&amp;img_index=1</t>
  </si>
  <si>
    <t>Parece joven (adulta desde luego que no) y además nada haciendo acrobacias, incluso boca arriba (INTERESANTE)</t>
  </si>
  <si>
    <t>https://observation.org/observation/297113619/</t>
  </si>
  <si>
    <t>https://observation.org/observation/297108565/</t>
  </si>
  <si>
    <t>El Poblenou, Sant Martí</t>
  </si>
  <si>
    <t>~40cm, not captured. there was a very slight swell on the sea and he was swimming back and forth along the beach in the morning</t>
  </si>
  <si>
    <t>https://www.inaturalist.org/observations/304284846</t>
  </si>
  <si>
    <t>David Jara</t>
  </si>
  <si>
    <t>Nadando cerca del barco tras chumming para P. glauca</t>
  </si>
  <si>
    <t>IMG_1260 (parece que tiene zona dorsal trasera como "deinflado" como postparto?). Nadando siguiendo un banco de anchoas que eran atacadas por melvas, atunes rojos y pardelas</t>
  </si>
  <si>
    <t>Nadando alrededor de banco de anchoas que eran atacadas por melvas de noche. Dos individuos hembras (pero D. Jara cree que uno era un macho) los otros nd</t>
  </si>
  <si>
    <t>M_sex</t>
  </si>
  <si>
    <t>H_sex</t>
  </si>
  <si>
    <t>nd_sex</t>
  </si>
  <si>
    <t>Pesca deportiva</t>
  </si>
  <si>
    <t>Juv</t>
  </si>
  <si>
    <t>Emb</t>
  </si>
  <si>
    <t>Inds</t>
  </si>
  <si>
    <t>Ala_izq</t>
  </si>
  <si>
    <t>Ala_drch</t>
  </si>
  <si>
    <t>Cabeza</t>
  </si>
  <si>
    <t>Cola</t>
  </si>
  <si>
    <t>Tipo</t>
  </si>
  <si>
    <t>Severidad</t>
  </si>
  <si>
    <t>Simetría</t>
  </si>
  <si>
    <t>N_heridas</t>
  </si>
  <si>
    <t>Observaciones generales</t>
  </si>
  <si>
    <t>Obs_heridas</t>
  </si>
  <si>
    <t>M_sex_NO</t>
  </si>
  <si>
    <t>H_sex_NO</t>
  </si>
  <si>
    <t>nd_sex_NO</t>
  </si>
  <si>
    <t>M_sex_SI</t>
  </si>
  <si>
    <t>H_sex_SI</t>
  </si>
  <si>
    <t>nd_sex_SI</t>
  </si>
  <si>
    <t>Adult_SI</t>
  </si>
  <si>
    <t>Juv_SI</t>
  </si>
  <si>
    <t>New_SI</t>
  </si>
  <si>
    <t>Emb_SI</t>
  </si>
  <si>
    <t>nd_SI</t>
  </si>
  <si>
    <t>Adult_NO</t>
  </si>
  <si>
    <t>Juv_NO</t>
  </si>
  <si>
    <t>New_NO</t>
  </si>
  <si>
    <t>Emb_NO</t>
  </si>
  <si>
    <t>nd_NO</t>
  </si>
  <si>
    <t>Datos heridas</t>
  </si>
  <si>
    <t>Hoja 5</t>
  </si>
  <si>
    <t>Datos anuales y regionales</t>
  </si>
  <si>
    <t>Hoja automática que recopila individuos a nivel regional y también anual en el Mediterráneo español</t>
  </si>
  <si>
    <t>P_violacea_100</t>
  </si>
  <si>
    <t>P_violacea_101</t>
  </si>
  <si>
    <t>P_violacea_102</t>
  </si>
  <si>
    <t>P_violacea_103</t>
  </si>
  <si>
    <t>P_violacea_104</t>
  </si>
  <si>
    <t>P_violacea_105</t>
  </si>
  <si>
    <t>P_violacea_106</t>
  </si>
  <si>
    <t>P_violacea_107</t>
  </si>
  <si>
    <t>P_violacea_108</t>
  </si>
  <si>
    <t>P_violacea_109</t>
  </si>
  <si>
    <t>P_violacea_110</t>
  </si>
  <si>
    <t>P_violacea_111</t>
  </si>
  <si>
    <t>P_violacea_112</t>
  </si>
  <si>
    <t>P_violacea_113</t>
  </si>
  <si>
    <t>P_violacea_114</t>
  </si>
  <si>
    <t>P_violacea_115</t>
  </si>
  <si>
    <t>P_violacea_116</t>
  </si>
  <si>
    <t>P_violacea_117</t>
  </si>
  <si>
    <t>P_violacea_118</t>
  </si>
  <si>
    <t>P_violacea_119</t>
  </si>
  <si>
    <t>P_violacea_120</t>
  </si>
  <si>
    <t>P_violacea_121</t>
  </si>
  <si>
    <t>P_violacea_122</t>
  </si>
  <si>
    <t>P_violacea_123</t>
  </si>
  <si>
    <t>P_violacea_124</t>
  </si>
  <si>
    <t>P_violacea_125</t>
  </si>
  <si>
    <t>P_violacea_126</t>
  </si>
  <si>
    <t>P_violacea_127</t>
  </si>
  <si>
    <t>P_violacea_128</t>
  </si>
  <si>
    <t>P_violacea_129</t>
  </si>
  <si>
    <t>P_violacea_130</t>
  </si>
  <si>
    <t>P_violacea_131</t>
  </si>
  <si>
    <t>P_violacea_132</t>
  </si>
  <si>
    <t>P_violacea_133</t>
  </si>
  <si>
    <t>P_violacea_134</t>
  </si>
  <si>
    <t>P_violacea_135</t>
  </si>
  <si>
    <t>P_violacea_136</t>
  </si>
  <si>
    <t>P_violacea_137</t>
  </si>
  <si>
    <t>P_violacea_138</t>
  </si>
  <si>
    <t>P_violacea_139</t>
  </si>
  <si>
    <t>P_violacea_140</t>
  </si>
  <si>
    <t>P_violacea_141</t>
  </si>
  <si>
    <t>P_violacea_142</t>
  </si>
  <si>
    <t>P_violacea_143</t>
  </si>
  <si>
    <t>P_violacea_144</t>
  </si>
  <si>
    <t>P_violacea_145</t>
  </si>
  <si>
    <t>P_violacea_146</t>
  </si>
  <si>
    <t>P_violacea_147</t>
  </si>
  <si>
    <t>P_violacea_148</t>
  </si>
  <si>
    <t>P_violacea_149</t>
  </si>
  <si>
    <t>P_violacea_150</t>
  </si>
  <si>
    <t>P_violacea_151</t>
  </si>
  <si>
    <t>P_violacea_152</t>
  </si>
  <si>
    <t>P_violacea_153</t>
  </si>
  <si>
    <t>P_violacea_154</t>
  </si>
  <si>
    <t>P_violacea_155</t>
  </si>
  <si>
    <t>P_violacea_156</t>
  </si>
  <si>
    <t>P_violacea_157</t>
  </si>
  <si>
    <t>P_violacea_158</t>
  </si>
  <si>
    <t>P_violacea_159</t>
  </si>
  <si>
    <t>P_violacea_160</t>
  </si>
  <si>
    <t>P_violacea_161</t>
  </si>
  <si>
    <t>P_violacea_162</t>
  </si>
  <si>
    <t>P_violacea_163</t>
  </si>
  <si>
    <t>P_violacea_164</t>
  </si>
  <si>
    <t>P_violacea_165</t>
  </si>
  <si>
    <t>P_violacea_166</t>
  </si>
  <si>
    <t>P_violacea_167</t>
  </si>
  <si>
    <t>P_violacea_168</t>
  </si>
  <si>
    <t>P_violacea_169</t>
  </si>
  <si>
    <t>P_violacea_170</t>
  </si>
  <si>
    <t>P_violacea_171</t>
  </si>
  <si>
    <t>P_violacea_172</t>
  </si>
  <si>
    <t>P_violacea_173</t>
  </si>
  <si>
    <t>P_violacea_174</t>
  </si>
  <si>
    <t>P_violacea_175</t>
  </si>
  <si>
    <t>P_violacea_176</t>
  </si>
  <si>
    <t>P_violacea_177</t>
  </si>
  <si>
    <t>P_violacea_178</t>
  </si>
  <si>
    <t>P_violacea_179</t>
  </si>
  <si>
    <t>P_violacea_180</t>
  </si>
  <si>
    <t>P_violacea_181</t>
  </si>
  <si>
    <t>P_violacea_182</t>
  </si>
  <si>
    <t>P_violacea_183</t>
  </si>
  <si>
    <t>P_violacea_184</t>
  </si>
  <si>
    <t>P_violacea_185</t>
  </si>
  <si>
    <t>P_violacea_186</t>
  </si>
  <si>
    <t>P_violacea_187</t>
  </si>
  <si>
    <t>P_violacea_188</t>
  </si>
  <si>
    <t>P_violacea_189</t>
  </si>
  <si>
    <t>P_violacea_190</t>
  </si>
  <si>
    <t>P_violacea_191</t>
  </si>
  <si>
    <t>P_violacea_192</t>
  </si>
  <si>
    <t>P_violacea_193</t>
  </si>
  <si>
    <t>P_violacea_194</t>
  </si>
  <si>
    <t>P_violacea_195</t>
  </si>
  <si>
    <t>P_violacea_196</t>
  </si>
  <si>
    <t>P_violacea_197</t>
  </si>
  <si>
    <t>P_violacea_198</t>
  </si>
  <si>
    <t>P_violacea_199</t>
  </si>
  <si>
    <t>P_violacea_200</t>
  </si>
  <si>
    <t>P_violacea_201</t>
  </si>
  <si>
    <t>P_violacea_202</t>
  </si>
  <si>
    <t>P_violacea_203</t>
  </si>
  <si>
    <t>P_violacea_204</t>
  </si>
  <si>
    <t>P_violacea_205</t>
  </si>
  <si>
    <t>P_violacea_206</t>
  </si>
  <si>
    <t>P_violacea_207</t>
  </si>
  <si>
    <t>P_violacea_208</t>
  </si>
  <si>
    <t>P_violacea_209</t>
  </si>
  <si>
    <t>P_violacea_210</t>
  </si>
  <si>
    <t>P_violacea_211</t>
  </si>
  <si>
    <t>P_violacea_212</t>
  </si>
  <si>
    <t>P_violacea_213</t>
  </si>
  <si>
    <t>P_violacea_214</t>
  </si>
  <si>
    <t>P_violacea_215</t>
  </si>
  <si>
    <t>P_violacea_216</t>
  </si>
  <si>
    <t>P_violacea_217</t>
  </si>
  <si>
    <t>P_violacea_218</t>
  </si>
  <si>
    <t>P_violacea_219</t>
  </si>
  <si>
    <t>P_violacea_220</t>
  </si>
  <si>
    <t>P_violacea_221</t>
  </si>
  <si>
    <t>P_violacea_222</t>
  </si>
  <si>
    <t>P_violacea_223</t>
  </si>
  <si>
    <t>P_violacea_224</t>
  </si>
  <si>
    <t>P_violacea_225</t>
  </si>
  <si>
    <t>P_violacea_226</t>
  </si>
  <si>
    <t>P_violacea_227</t>
  </si>
  <si>
    <t>P_violacea_228</t>
  </si>
  <si>
    <t>P_violacea_229</t>
  </si>
  <si>
    <t>P_violacea_230</t>
  </si>
  <si>
    <t>P_violacea_231</t>
  </si>
  <si>
    <t>P_violacea_232</t>
  </si>
  <si>
    <t>P_violacea_233</t>
  </si>
  <si>
    <t>P_violacea_234</t>
  </si>
  <si>
    <t>P_violacea_235</t>
  </si>
  <si>
    <t>P_violacea_236</t>
  </si>
  <si>
    <t>P_violacea_237</t>
  </si>
  <si>
    <t>P_violacea_238</t>
  </si>
  <si>
    <t>P_violacea_239</t>
  </si>
  <si>
    <t>P_violacea_240</t>
  </si>
  <si>
    <t>P_violacea_241</t>
  </si>
  <si>
    <t>P_violacea_242</t>
  </si>
  <si>
    <t>P_violacea_243</t>
  </si>
  <si>
    <t>P_violacea_244</t>
  </si>
  <si>
    <t>P_violacea_245</t>
  </si>
  <si>
    <t>P_violacea_246</t>
  </si>
  <si>
    <t>P_violacea_247</t>
  </si>
  <si>
    <t>P_violacea_248</t>
  </si>
  <si>
    <t>P_violacea_249</t>
  </si>
  <si>
    <t>P_violacea_250</t>
  </si>
  <si>
    <t>P_violacea_251</t>
  </si>
  <si>
    <t>P_violacea_252</t>
  </si>
  <si>
    <t>P_violacea_253</t>
  </si>
  <si>
    <t>P_violacea_254</t>
  </si>
  <si>
    <t>P_violacea_255</t>
  </si>
  <si>
    <t>P_violacea_256</t>
  </si>
  <si>
    <t>P_violacea_257</t>
  </si>
  <si>
    <t>P_violacea_258</t>
  </si>
  <si>
    <t>P_violacea_259</t>
  </si>
  <si>
    <t>P_violacea_260</t>
  </si>
  <si>
    <t>P_violacea_261</t>
  </si>
  <si>
    <t>P_violacea_262</t>
  </si>
  <si>
    <t>P_violacea_263</t>
  </si>
  <si>
    <t>P_violacea_264</t>
  </si>
  <si>
    <t>P_violacea_265</t>
  </si>
  <si>
    <t>P_violacea_266</t>
  </si>
  <si>
    <t>P_violacea_267</t>
  </si>
  <si>
    <t>P_violacea_268</t>
  </si>
  <si>
    <t>P_violacea_269</t>
  </si>
  <si>
    <t>P_violacea_270</t>
  </si>
  <si>
    <t>P_violacea_271</t>
  </si>
  <si>
    <t>P_violacea_272</t>
  </si>
  <si>
    <t>P_violacea_273</t>
  </si>
  <si>
    <t>P_violacea_274</t>
  </si>
  <si>
    <t>P_violacea_275</t>
  </si>
  <si>
    <t>P_violacea_276</t>
  </si>
  <si>
    <t>P_violacea_277</t>
  </si>
  <si>
    <t>P_violacea_278</t>
  </si>
  <si>
    <t>P_violacea_279</t>
  </si>
  <si>
    <t>P_violacea_280</t>
  </si>
  <si>
    <t>P_violacea_281</t>
  </si>
  <si>
    <t>P_violacea_282</t>
  </si>
  <si>
    <t>P_violacea_283</t>
  </si>
  <si>
    <t>P_violacea_284</t>
  </si>
  <si>
    <t>P_violacea_285</t>
  </si>
  <si>
    <t>P_violacea_286</t>
  </si>
  <si>
    <t>P_violacea_287</t>
  </si>
  <si>
    <t>P_violacea_288</t>
  </si>
  <si>
    <t>P_violacea_289</t>
  </si>
  <si>
    <t>P_violacea_290</t>
  </si>
  <si>
    <t>P_violacea_291</t>
  </si>
  <si>
    <t>P_violacea_292</t>
  </si>
  <si>
    <t>P_violacea_293</t>
  </si>
  <si>
    <t>P_violacea_294</t>
  </si>
  <si>
    <t>P_violacea_295</t>
  </si>
  <si>
    <t>P_violacea_296</t>
  </si>
  <si>
    <t>P_violacea_297</t>
  </si>
  <si>
    <t>P_violacea_298</t>
  </si>
  <si>
    <t>P_violacea_299</t>
  </si>
  <si>
    <t>P_violacea_300</t>
  </si>
  <si>
    <t>P_violacea_301</t>
  </si>
  <si>
    <t>P_violacea_302</t>
  </si>
  <si>
    <t>P_violacea_303</t>
  </si>
  <si>
    <t>P_violacea_304</t>
  </si>
  <si>
    <t>P_violacea_305</t>
  </si>
  <si>
    <t>P_violacea_306</t>
  </si>
  <si>
    <t>P_violacea_307</t>
  </si>
  <si>
    <t>P_violacea_308</t>
  </si>
  <si>
    <t>P_violacea_309</t>
  </si>
  <si>
    <t>P_violacea_310</t>
  </si>
  <si>
    <t>P_violacea_311</t>
  </si>
  <si>
    <t>P_violacea_312</t>
  </si>
  <si>
    <t>P_violacea_313</t>
  </si>
  <si>
    <t>P_violacea_314</t>
  </si>
  <si>
    <t>P_violacea_315</t>
  </si>
  <si>
    <t>P_violacea_316</t>
  </si>
  <si>
    <t>P_violacea_317</t>
  </si>
  <si>
    <t>P_violacea_318</t>
  </si>
  <si>
    <t>P_violacea_319</t>
  </si>
  <si>
    <t>P_violacea_320</t>
  </si>
  <si>
    <t>P_violacea_321</t>
  </si>
  <si>
    <t>P_violacea_322</t>
  </si>
  <si>
    <t>P_violacea_323</t>
  </si>
  <si>
    <t>P_violacea_324</t>
  </si>
  <si>
    <t>P_violacea_325</t>
  </si>
  <si>
    <t>P_violacea_326</t>
  </si>
  <si>
    <t>P_violacea_327</t>
  </si>
  <si>
    <t>P_violacea_328</t>
  </si>
  <si>
    <t>P_violacea_329</t>
  </si>
  <si>
    <t>P_violacea_330</t>
  </si>
  <si>
    <t>P_violacea_331</t>
  </si>
  <si>
    <t>P_violacea_332</t>
  </si>
  <si>
    <t>P_violacea_333</t>
  </si>
  <si>
    <t>P_violacea_334</t>
  </si>
  <si>
    <t>P_violacea_335</t>
  </si>
  <si>
    <t>P_violacea_336</t>
  </si>
  <si>
    <t>P_violacea_337</t>
  </si>
  <si>
    <t>P_violacea_338</t>
  </si>
  <si>
    <t>P_violacea_339</t>
  </si>
  <si>
    <t>P_violacea_340</t>
  </si>
  <si>
    <t>P_violacea_341</t>
  </si>
  <si>
    <t>P_violacea_342</t>
  </si>
  <si>
    <t>P_violacea_343</t>
  </si>
  <si>
    <t>P_violacea_344</t>
  </si>
  <si>
    <t>P_violacea_345</t>
  </si>
  <si>
    <t>P_violacea_346</t>
  </si>
  <si>
    <t>P_violacea_347</t>
  </si>
  <si>
    <t>P_violacea_348</t>
  </si>
  <si>
    <t>P_violacea_349</t>
  </si>
  <si>
    <t>P_violacea_350</t>
  </si>
  <si>
    <t>P_violacea_351</t>
  </si>
  <si>
    <t>P_violacea_352</t>
  </si>
  <si>
    <t>P_violacea_353</t>
  </si>
  <si>
    <t>P_violacea_354</t>
  </si>
  <si>
    <t>P_violacea_355</t>
  </si>
  <si>
    <t>P_violacea_356</t>
  </si>
  <si>
    <t>P_violacea_357</t>
  </si>
  <si>
    <t>P_violacea_358</t>
  </si>
  <si>
    <t>P_violacea_359</t>
  </si>
  <si>
    <t>P_violacea_360</t>
  </si>
  <si>
    <t>P_violacea_361</t>
  </si>
  <si>
    <t>P_violacea_362</t>
  </si>
  <si>
    <t>P_violacea_363</t>
  </si>
  <si>
    <t>P_violacea_364</t>
  </si>
  <si>
    <t>P_violacea_365</t>
  </si>
  <si>
    <t>P_violacea_366</t>
  </si>
  <si>
    <t>P_violacea_367</t>
  </si>
  <si>
    <t>P_violacea_368</t>
  </si>
  <si>
    <t>P_violacea_369</t>
  </si>
  <si>
    <t>P_violacea_370</t>
  </si>
  <si>
    <t>P_violacea_371</t>
  </si>
  <si>
    <t>P_violacea_372</t>
  </si>
  <si>
    <t>P_violacea_373</t>
  </si>
  <si>
    <t>P_violacea_374</t>
  </si>
  <si>
    <t>P_violacea_375</t>
  </si>
  <si>
    <t>P_violacea_376</t>
  </si>
  <si>
    <t>P_violacea_377</t>
  </si>
  <si>
    <t>P_violacea_378</t>
  </si>
  <si>
    <t>P_violacea_379</t>
  </si>
  <si>
    <t>P_violacea_380</t>
  </si>
  <si>
    <t>P_violacea_381</t>
  </si>
  <si>
    <t>P_violacea_382</t>
  </si>
  <si>
    <t>P_violacea_383</t>
  </si>
  <si>
    <t>P_violacea_384</t>
  </si>
  <si>
    <t>P_violacea_385</t>
  </si>
  <si>
    <t>P_violacea_386</t>
  </si>
  <si>
    <t>P_violacea_387</t>
  </si>
  <si>
    <t>P_violacea_388</t>
  </si>
  <si>
    <t>P_violacea_389</t>
  </si>
  <si>
    <t>P_violacea_390</t>
  </si>
  <si>
    <t>P_violacea_391</t>
  </si>
  <si>
    <t>P_violacea_392</t>
  </si>
  <si>
    <t>P_violacea_393</t>
  </si>
  <si>
    <t>P_violacea_395</t>
  </si>
  <si>
    <t>P_violacea_396</t>
  </si>
  <si>
    <t>P_violacea_397</t>
  </si>
  <si>
    <t>P_violacea_398</t>
  </si>
  <si>
    <t>P_violacea_399</t>
  </si>
  <si>
    <t>P_violacea_400</t>
  </si>
  <si>
    <t>P_violacea_401</t>
  </si>
  <si>
    <t>P_violacea_402</t>
  </si>
  <si>
    <t>P_violacea_403</t>
  </si>
  <si>
    <t>P_violacea_404</t>
  </si>
  <si>
    <t>P_violacea_405</t>
  </si>
  <si>
    <t>P_violacea_406</t>
  </si>
  <si>
    <t>P_violacea_407</t>
  </si>
  <si>
    <t>P_violacea_408</t>
  </si>
  <si>
    <t>P_violacea_409</t>
  </si>
  <si>
    <t>P_violacea_410</t>
  </si>
  <si>
    <t>P_violacea_411</t>
  </si>
  <si>
    <t>P_violacea_412</t>
  </si>
  <si>
    <t>P_violacea_413</t>
  </si>
  <si>
    <t>P_violacea_414</t>
  </si>
  <si>
    <t>P_violacea_415</t>
  </si>
  <si>
    <t>P_violacea_416</t>
  </si>
  <si>
    <t>P_violacea_417</t>
  </si>
  <si>
    <t>P_violacea_418</t>
  </si>
  <si>
    <t>P_violacea_419</t>
  </si>
  <si>
    <t>P_violacea_420</t>
  </si>
  <si>
    <t>P_violacea_421</t>
  </si>
  <si>
    <t>P_violacea_422</t>
  </si>
  <si>
    <t>P_violacea_423</t>
  </si>
  <si>
    <t>P_violacea_424</t>
  </si>
  <si>
    <t>P_violacea_425</t>
  </si>
  <si>
    <t>P_violacea_426</t>
  </si>
  <si>
    <t>P_violacea_427</t>
  </si>
  <si>
    <t>P_violacea_428</t>
  </si>
  <si>
    <t>P_violacea_429</t>
  </si>
  <si>
    <t>P_violacea_430</t>
  </si>
  <si>
    <t>P_violacea_431</t>
  </si>
  <si>
    <t>P_violacea_432</t>
  </si>
  <si>
    <t>P_violacea_433</t>
  </si>
  <si>
    <t>P_violacea_434</t>
  </si>
  <si>
    <t>P_violacea_435</t>
  </si>
  <si>
    <t>P_violacea_436</t>
  </si>
  <si>
    <t>P_violacea_437</t>
  </si>
  <si>
    <t>P_violacea_438</t>
  </si>
  <si>
    <t>P_violacea_439</t>
  </si>
  <si>
    <t>P_violacea_440</t>
  </si>
  <si>
    <t>P_violacea_441</t>
  </si>
  <si>
    <t>P_violacea_442</t>
  </si>
  <si>
    <t>P_violacea_443</t>
  </si>
  <si>
    <t>P_violacea_444</t>
  </si>
  <si>
    <t>P_violacea_445</t>
  </si>
  <si>
    <t>P_violacea_446</t>
  </si>
  <si>
    <t>P_violacea_447</t>
  </si>
  <si>
    <t>P_violacea_448</t>
  </si>
  <si>
    <t>P_violacea_449</t>
  </si>
  <si>
    <t>P_violacea_450</t>
  </si>
  <si>
    <t>P_violacea_451</t>
  </si>
  <si>
    <t>P_violacea_452</t>
  </si>
  <si>
    <t>P_violacea_453</t>
  </si>
  <si>
    <t>P_violacea_454</t>
  </si>
  <si>
    <t>P_violacea_455</t>
  </si>
  <si>
    <t>P_violacea_456</t>
  </si>
  <si>
    <t>P_violacea_457</t>
  </si>
  <si>
    <t>P_violacea_458</t>
  </si>
  <si>
    <t>P_violacea_001</t>
  </si>
  <si>
    <t>P_violacea_002</t>
  </si>
  <si>
    <t>P_violacea_003</t>
  </si>
  <si>
    <t>P_violacea_004</t>
  </si>
  <si>
    <t>P_violacea_005</t>
  </si>
  <si>
    <t>P_violacea_006</t>
  </si>
  <si>
    <t>P_violacea_007</t>
  </si>
  <si>
    <t>P_violacea_008</t>
  </si>
  <si>
    <t>P_violacea_009</t>
  </si>
  <si>
    <t>P_violacea_010</t>
  </si>
  <si>
    <t>P_violacea_011</t>
  </si>
  <si>
    <t>P_violacea_012</t>
  </si>
  <si>
    <t>P_violacea_013</t>
  </si>
  <si>
    <t>P_violacea_014</t>
  </si>
  <si>
    <t>P_violacea_015</t>
  </si>
  <si>
    <t>P_violacea_016</t>
  </si>
  <si>
    <t>P_violacea_017</t>
  </si>
  <si>
    <t>P_violacea_018</t>
  </si>
  <si>
    <t>P_violacea_019</t>
  </si>
  <si>
    <t>P_violacea_020</t>
  </si>
  <si>
    <t>P_violacea_021</t>
  </si>
  <si>
    <t>P_violacea_022</t>
  </si>
  <si>
    <t>P_violacea_023</t>
  </si>
  <si>
    <t>P_violacea_024</t>
  </si>
  <si>
    <t>P_violacea_025</t>
  </si>
  <si>
    <t>P_violacea_026</t>
  </si>
  <si>
    <t>P_violacea_027</t>
  </si>
  <si>
    <t>P_violacea_028</t>
  </si>
  <si>
    <t>P_violacea_029</t>
  </si>
  <si>
    <t>P_violacea_030</t>
  </si>
  <si>
    <t>P_violacea_031</t>
  </si>
  <si>
    <t>P_violacea_032</t>
  </si>
  <si>
    <t>P_violacea_033</t>
  </si>
  <si>
    <t>P_violacea_034</t>
  </si>
  <si>
    <t>P_violacea_035</t>
  </si>
  <si>
    <t>P_violacea_036</t>
  </si>
  <si>
    <t>P_violacea_037</t>
  </si>
  <si>
    <t>P_violacea_038</t>
  </si>
  <si>
    <t>P_violacea_039</t>
  </si>
  <si>
    <t>P_violacea_040</t>
  </si>
  <si>
    <t>P_violacea_041</t>
  </si>
  <si>
    <t>P_violacea_042</t>
  </si>
  <si>
    <t>P_violacea_043</t>
  </si>
  <si>
    <t>P_violacea_044</t>
  </si>
  <si>
    <t>P_violacea_045</t>
  </si>
  <si>
    <t>P_violacea_046</t>
  </si>
  <si>
    <t>P_violacea_047</t>
  </si>
  <si>
    <t>P_violacea_048</t>
  </si>
  <si>
    <t>P_violacea_049</t>
  </si>
  <si>
    <t>P_violacea_050</t>
  </si>
  <si>
    <t>P_violacea_051</t>
  </si>
  <si>
    <t>P_violacea_052</t>
  </si>
  <si>
    <t>P_violacea_053</t>
  </si>
  <si>
    <t>P_violacea_054</t>
  </si>
  <si>
    <t>P_violacea_055</t>
  </si>
  <si>
    <t>P_violacea_056</t>
  </si>
  <si>
    <t>P_violacea_057</t>
  </si>
  <si>
    <t>P_violacea_058</t>
  </si>
  <si>
    <t>P_violacea_059</t>
  </si>
  <si>
    <t>P_violacea_060</t>
  </si>
  <si>
    <t>P_violacea_061</t>
  </si>
  <si>
    <t>P_violacea_062</t>
  </si>
  <si>
    <t>P_violacea_063</t>
  </si>
  <si>
    <t>P_violacea_064</t>
  </si>
  <si>
    <t>P_violacea_065</t>
  </si>
  <si>
    <t>P_violacea_066</t>
  </si>
  <si>
    <t>P_violacea_067</t>
  </si>
  <si>
    <t>P_violacea_068</t>
  </si>
  <si>
    <t>P_violacea_069</t>
  </si>
  <si>
    <t>P_violacea_070</t>
  </si>
  <si>
    <t>P_violacea_071</t>
  </si>
  <si>
    <t>P_violacea_072</t>
  </si>
  <si>
    <t>P_violacea_073</t>
  </si>
  <si>
    <t>P_violacea_074</t>
  </si>
  <si>
    <t>P_violacea_075</t>
  </si>
  <si>
    <t>P_violacea_076</t>
  </si>
  <si>
    <t>P_violacea_077</t>
  </si>
  <si>
    <t>P_violacea_078</t>
  </si>
  <si>
    <t>P_violacea_079</t>
  </si>
  <si>
    <t>P_violacea_080</t>
  </si>
  <si>
    <t>P_violacea_081</t>
  </si>
  <si>
    <t>P_violacea_082</t>
  </si>
  <si>
    <t>P_violacea_083</t>
  </si>
  <si>
    <t>P_violacea_084</t>
  </si>
  <si>
    <t>P_violacea_085</t>
  </si>
  <si>
    <t>P_violacea_086</t>
  </si>
  <si>
    <t>P_violacea_087</t>
  </si>
  <si>
    <t>P_violacea_088</t>
  </si>
  <si>
    <t>P_violacea_089</t>
  </si>
  <si>
    <t>P_violacea_090</t>
  </si>
  <si>
    <t>P_violacea_091</t>
  </si>
  <si>
    <t>P_violacea_092</t>
  </si>
  <si>
    <t>P_violacea_093</t>
  </si>
  <si>
    <t>P_violacea_094</t>
  </si>
  <si>
    <t>P_violacea_095</t>
  </si>
  <si>
    <t>P_violacea_096</t>
  </si>
  <si>
    <t>P_violacea_097</t>
  </si>
  <si>
    <t>P_violacea_098</t>
  </si>
  <si>
    <t>P_violacea_099</t>
  </si>
  <si>
    <t>ID</t>
  </si>
  <si>
    <t>Hoja 6</t>
  </si>
  <si>
    <t>Cosas a tener en cuenta para hacer en relación a las heridas</t>
  </si>
  <si>
    <t>Estado_ctrz</t>
  </si>
  <si>
    <t>Azul claro (datos de los registros), azul oscuro (anchura disco), naranja (estado encuentro), granate (presencia heridas), verde (sexo individuos), amarillo (edad individuos), rosa (comportamientos observados)</t>
  </si>
  <si>
    <t>Azul claro (datos de los registros), azul oscuro (anchura disco), naranja (estado encuentro), granate (presencia heridas y características), verde (sexo individuos), amarillo (edad individuos)</t>
  </si>
  <si>
    <t>Azul (invierno), verde (primavera), rojo (verano), amarillo (otoño)</t>
  </si>
  <si>
    <t>Naranja (Cataluña y sus provincias), amarillo (Comunitat Valenciana y sus provincias), violeta (Región de Murcia), verde (Andalucía y sus provincias), azul (Islas Baleares), gris oscuro (Ceuta), gris claro (Melilla), rosa (nd)</t>
  </si>
  <si>
    <t>Azul (invierno), verde (primavera), rojo (verano), amarillo (otoño); Naranja (Cataluña y sus provincias), amarillo (Comunitat Valenciana y sus provincias), violeta (Región de Murcia), verde (Andalucía y sus provincias), azul (Islas Baleares), gris oscuro (Ceuta), gris claro (Melilla), rosa (nd)</t>
  </si>
  <si>
    <t>HOJA</t>
  </si>
  <si>
    <t>CONTENIDO</t>
  </si>
  <si>
    <t>LEYENDA COLORES</t>
  </si>
  <si>
    <t>DESCRIPCIÓN</t>
  </si>
  <si>
    <t>Datos comportamientos</t>
  </si>
  <si>
    <t>Hoja resumen recopilatoria de comportamientos de especial interés que se han observado, especialmente enfocada a indicar si hay un registro fotográfico de dicho comportamiento</t>
  </si>
  <si>
    <t>¿COMPLETADA?</t>
  </si>
  <si>
    <t>NO</t>
  </si>
  <si>
    <t>SI</t>
  </si>
  <si>
    <t>Abdomen</t>
  </si>
  <si>
    <t>Dorso</t>
  </si>
  <si>
    <t>NA</t>
  </si>
  <si>
    <t>LEYENDA ACRÓNIMOS</t>
  </si>
  <si>
    <t>Inds (Número de individuos), nd (no determinado), M (machos), H (hembras), Juv (juveniles), New (recién nacidos), Emb (embriones), DW (anchura de disco), Ala_izq (aleta izquierda vista aérea), Ala_drch (aleta derecha vista aérea), Estado_ctrz (cicatriz), Simetría, Obs_heridas (observaciones de las heridas)</t>
  </si>
  <si>
    <t>Hoja que recopila datos sobre los individuos que SI y NO tienen heridas, también tiene información y detalles sobre las heridas de los confirmados (conteos según ubicación, estado cicatrices, presencia de simetría etc)</t>
  </si>
  <si>
    <t>NOMBRE</t>
  </si>
  <si>
    <t>P_violacea_Spain_Med</t>
  </si>
  <si>
    <t>P_violacea_Heridas</t>
  </si>
  <si>
    <t>Conteo_year</t>
  </si>
  <si>
    <t>Conteo_region</t>
  </si>
  <si>
    <t>Conteo_year_regions</t>
  </si>
  <si>
    <t>Inds (Número de individuos), nd (no determinado), M (machos), H (hembras), Juv (juveniles), New (recién nacidos), Emb (embriones), DW (anchura de disco), Algo. Int. ("algo interesante"), Posible Emb (embarazo), Agreg (agregaciones), Alimen (alimentación), Rep (repetido). En comportamientos: 0=ausencia; 1=presencia</t>
  </si>
  <si>
    <t>P_violacea_459</t>
  </si>
  <si>
    <t>https://www.inaturalist.org/observations/317348920</t>
  </si>
  <si>
    <t>Parece tener región dorsal hinchado (quizás embarazada)</t>
  </si>
  <si>
    <t>Isla de Cabrera, Es Fondalet</t>
  </si>
  <si>
    <t>P_violacea_460</t>
  </si>
  <si>
    <t>http://facebook.com/cronicas.naturales.torrevieja/posts/pfbid02JUAZL17uTG8xPj4XyQfCD4kTQkPEKNWVhPtiY9TV11t1geqKvmFtQrxrLFFSS1uAl?locale=es_ES</t>
  </si>
  <si>
    <t>Torrevieja, entre la Veleta y barrio san roque</t>
  </si>
  <si>
    <t>Ejemplar varada en la playa que fue reintroducida, no hay presencia ni de heridas ni claspers en la foto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</si>
</sst>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h:mm;@"/>
    <numFmt numFmtId="166" formatCode="0.0000000"/>
  </numFmts>
  <fonts count="10" x14ac:knownFonts="1">
    <font>
      <sz val="11"/>
      <color theme="1"/>
      <name val="Calibri"/>
      <family val="2"/>
      <scheme val="minor"/>
    </font>
    <font>
      <b/>
      <sz val="11"/>
      <color theme="1"/>
      <name val="Calibri"/>
      <family val="2"/>
      <scheme val="minor"/>
    </font>
    <font>
      <b/>
      <i/>
      <sz val="11"/>
      <color theme="1"/>
      <name val="Calibri"/>
      <family val="2"/>
      <scheme val="minor"/>
    </font>
    <font>
      <i/>
      <sz val="11"/>
      <color theme="1"/>
      <name val="Calibri"/>
      <family val="2"/>
      <scheme val="minor"/>
    </font>
    <font>
      <sz val="9"/>
      <color indexed="81"/>
      <name val="Tahoma"/>
      <charset val="1"/>
    </font>
    <font>
      <b/>
      <sz val="9"/>
      <color indexed="81"/>
      <name val="Tahoma"/>
      <charset val="1"/>
    </font>
    <font>
      <b/>
      <sz val="11"/>
      <color theme="0"/>
      <name val="Calibri"/>
      <family val="2"/>
      <scheme val="minor"/>
    </font>
    <font>
      <sz val="11"/>
      <color theme="0"/>
      <name val="Calibri"/>
      <family val="2"/>
      <scheme val="minor"/>
    </font>
    <font>
      <b/>
      <sz val="14"/>
      <color theme="0"/>
      <name val="Calibri"/>
      <family val="2"/>
      <scheme val="minor"/>
    </font>
    <font>
      <sz val="8"/>
      <name val="Calibri"/>
      <family val="2"/>
      <scheme val="minor"/>
    </font>
  </fonts>
  <fills count="1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B9FF"/>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D5FF"/>
        <bgColor indexed="64"/>
      </patternFill>
    </fill>
    <fill>
      <patternFill patternType="solid">
        <fgColor rgb="FFC00000"/>
        <bgColor indexed="64"/>
      </patternFill>
    </fill>
  </fills>
  <borders count="13">
    <border>
      <left/>
      <right/>
      <top/>
      <bottom/>
      <diagonal/>
    </border>
    <border>
      <left/>
      <right/>
      <top/>
      <bottom style="medium">
        <color indexed="64"/>
      </bottom>
      <diagonal/>
    </border>
    <border>
      <left/>
      <right/>
      <top style="thin">
        <color theme="9" tint="0.39997558519241921"/>
      </top>
      <bottom style="thin">
        <color theme="9" tint="0.39997558519241921"/>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right/>
      <top/>
      <bottom style="double">
        <color indexed="64"/>
      </bottom>
      <diagonal/>
    </border>
  </borders>
  <cellStyleXfs count="1">
    <xf numFmtId="0" fontId="0" fillId="0" borderId="0"/>
  </cellStyleXfs>
  <cellXfs count="70">
    <xf numFmtId="0" fontId="0" fillId="0" borderId="0" xfId="0"/>
    <xf numFmtId="0" fontId="1" fillId="2" borderId="1" xfId="0" applyFont="1" applyFill="1" applyBorder="1"/>
    <xf numFmtId="0" fontId="1" fillId="2" borderId="1" xfId="0" applyFont="1" applyFill="1" applyBorder="1" applyAlignment="1">
      <alignment horizontal="left"/>
    </xf>
    <xf numFmtId="0" fontId="0" fillId="0" borderId="0" xfId="0" applyAlignment="1">
      <alignment horizontal="left"/>
    </xf>
    <xf numFmtId="20" fontId="0" fillId="0" borderId="0" xfId="0" applyNumberFormat="1" applyAlignment="1">
      <alignment horizontal="left"/>
    </xf>
    <xf numFmtId="165" fontId="0" fillId="0" borderId="2" xfId="0" applyNumberFormat="1" applyBorder="1"/>
    <xf numFmtId="0" fontId="0" fillId="0" borderId="0" xfId="0" applyAlignment="1">
      <alignment horizontal="left" vertical="center"/>
    </xf>
    <xf numFmtId="14" fontId="0" fillId="0" borderId="0" xfId="0" applyNumberFormat="1" applyAlignment="1">
      <alignment horizontal="right"/>
    </xf>
    <xf numFmtId="14" fontId="0" fillId="0" borderId="0" xfId="0" applyNumberFormat="1" applyAlignment="1">
      <alignment horizontal="right" vertical="center"/>
    </xf>
    <xf numFmtId="166" fontId="0" fillId="0" borderId="0" xfId="0" applyNumberFormat="1" applyAlignment="1">
      <alignment horizontal="left"/>
    </xf>
    <xf numFmtId="0" fontId="1" fillId="0" borderId="0" xfId="0" applyFont="1"/>
    <xf numFmtId="0" fontId="1" fillId="13" borderId="5" xfId="0" applyFont="1" applyFill="1" applyBorder="1" applyAlignment="1">
      <alignment horizontal="center"/>
    </xf>
    <xf numFmtId="0" fontId="1" fillId="13" borderId="4" xfId="0" applyFont="1" applyFill="1" applyBorder="1" applyAlignment="1">
      <alignment horizontal="center"/>
    </xf>
    <xf numFmtId="0" fontId="1" fillId="8" borderId="4" xfId="0" applyFont="1" applyFill="1" applyBorder="1" applyAlignment="1">
      <alignment horizontal="center"/>
    </xf>
    <xf numFmtId="0" fontId="1" fillId="3" borderId="4" xfId="0" applyFont="1" applyFill="1" applyBorder="1" applyAlignment="1">
      <alignment horizontal="center"/>
    </xf>
    <xf numFmtId="0" fontId="1" fillId="5" borderId="4" xfId="0" applyFont="1" applyFill="1" applyBorder="1" applyAlignment="1">
      <alignment horizontal="center"/>
    </xf>
    <xf numFmtId="0" fontId="0" fillId="13" borderId="3" xfId="0" applyFill="1" applyBorder="1" applyAlignment="1">
      <alignment horizontal="center"/>
    </xf>
    <xf numFmtId="0" fontId="0" fillId="13" borderId="0" xfId="0" applyFill="1" applyAlignment="1">
      <alignment horizontal="center"/>
    </xf>
    <xf numFmtId="0" fontId="0" fillId="8" borderId="0" xfId="0" applyFill="1" applyAlignment="1">
      <alignment horizontal="center"/>
    </xf>
    <xf numFmtId="0" fontId="0" fillId="3" borderId="0" xfId="0" applyFill="1" applyAlignment="1">
      <alignment horizontal="center"/>
    </xf>
    <xf numFmtId="0" fontId="0" fillId="5" borderId="0" xfId="0" applyFill="1" applyAlignment="1">
      <alignment horizontal="center"/>
    </xf>
    <xf numFmtId="0" fontId="0" fillId="0" borderId="0" xfId="0" applyAlignment="1">
      <alignment horizontal="center"/>
    </xf>
    <xf numFmtId="0" fontId="1" fillId="0" borderId="4" xfId="0" applyFont="1" applyBorder="1"/>
    <xf numFmtId="0" fontId="0" fillId="4" borderId="0" xfId="0" applyFill="1" applyAlignment="1">
      <alignment horizontal="center"/>
    </xf>
    <xf numFmtId="0" fontId="0" fillId="6" borderId="0" xfId="0" applyFill="1" applyAlignment="1">
      <alignment horizontal="center"/>
    </xf>
    <xf numFmtId="0" fontId="0" fillId="7" borderId="0" xfId="0" applyFill="1" applyAlignment="1">
      <alignment horizontal="center"/>
    </xf>
    <xf numFmtId="0" fontId="0" fillId="9" borderId="0" xfId="0" applyFill="1" applyAlignment="1">
      <alignment horizontal="center"/>
    </xf>
    <xf numFmtId="0" fontId="0" fillId="10" borderId="0" xfId="0" applyFill="1" applyAlignment="1">
      <alignment horizontal="center"/>
    </xf>
    <xf numFmtId="0" fontId="0" fillId="11" borderId="0" xfId="0" applyFill="1" applyAlignment="1">
      <alignment horizontal="center"/>
    </xf>
    <xf numFmtId="0" fontId="0" fillId="12" borderId="0" xfId="0" applyFill="1" applyAlignment="1">
      <alignment horizontal="center"/>
    </xf>
    <xf numFmtId="0" fontId="2" fillId="3" borderId="4" xfId="0" applyFont="1" applyFill="1" applyBorder="1" applyAlignment="1">
      <alignment horizontal="center"/>
    </xf>
    <xf numFmtId="0" fontId="1" fillId="4" borderId="4" xfId="0" applyFont="1" applyFill="1" applyBorder="1" applyAlignment="1">
      <alignment horizontal="center"/>
    </xf>
    <xf numFmtId="0" fontId="2" fillId="5" borderId="4" xfId="0" applyFont="1" applyFill="1" applyBorder="1" applyAlignment="1">
      <alignment horizontal="center"/>
    </xf>
    <xf numFmtId="0" fontId="1" fillId="6" borderId="4" xfId="0" applyFont="1" applyFill="1" applyBorder="1" applyAlignment="1">
      <alignment horizontal="center"/>
    </xf>
    <xf numFmtId="0" fontId="1" fillId="7" borderId="4" xfId="0" applyFont="1" applyFill="1" applyBorder="1" applyAlignment="1">
      <alignment horizontal="center"/>
    </xf>
    <xf numFmtId="0" fontId="2" fillId="8" borderId="4" xfId="0" applyFont="1" applyFill="1" applyBorder="1" applyAlignment="1">
      <alignment horizontal="center"/>
    </xf>
    <xf numFmtId="0" fontId="1" fillId="9" borderId="4" xfId="0" applyFont="1" applyFill="1" applyBorder="1" applyAlignment="1">
      <alignment horizontal="center"/>
    </xf>
    <xf numFmtId="0" fontId="1" fillId="10" borderId="4" xfId="0" applyFont="1" applyFill="1" applyBorder="1" applyAlignment="1">
      <alignment horizontal="center"/>
    </xf>
    <xf numFmtId="0" fontId="1" fillId="11" borderId="4" xfId="0" applyFont="1" applyFill="1" applyBorder="1" applyAlignment="1">
      <alignment horizontal="center"/>
    </xf>
    <xf numFmtId="0" fontId="1" fillId="12" borderId="4" xfId="0" applyFont="1" applyFill="1" applyBorder="1" applyAlignment="1">
      <alignment horizontal="center"/>
    </xf>
    <xf numFmtId="0" fontId="1" fillId="0" borderId="6" xfId="0" applyFont="1" applyBorder="1" applyAlignment="1">
      <alignment horizontal="right"/>
    </xf>
    <xf numFmtId="0" fontId="3" fillId="0" borderId="7" xfId="0" applyFont="1" applyBorder="1" applyAlignment="1">
      <alignment horizontal="right"/>
    </xf>
    <xf numFmtId="0" fontId="1" fillId="0" borderId="9" xfId="0" applyFont="1" applyBorder="1" applyAlignment="1">
      <alignment horizontal="right"/>
    </xf>
    <xf numFmtId="0" fontId="1" fillId="0" borderId="8" xfId="0" applyFont="1" applyBorder="1"/>
    <xf numFmtId="0" fontId="0" fillId="0" borderId="0" xfId="0" applyAlignment="1">
      <alignment horizontal="right"/>
    </xf>
    <xf numFmtId="0" fontId="1" fillId="14" borderId="4" xfId="0" applyFont="1" applyFill="1" applyBorder="1" applyAlignment="1">
      <alignment horizontal="center"/>
    </xf>
    <xf numFmtId="0" fontId="0" fillId="14" borderId="0" xfId="0" applyFill="1" applyAlignment="1">
      <alignment horizontal="center"/>
    </xf>
    <xf numFmtId="0" fontId="1" fillId="0" borderId="10" xfId="0" applyFont="1" applyBorder="1" applyAlignment="1">
      <alignment horizontal="right"/>
    </xf>
    <xf numFmtId="0" fontId="3" fillId="0" borderId="11" xfId="0" applyFont="1" applyBorder="1" applyAlignment="1">
      <alignment horizontal="right"/>
    </xf>
    <xf numFmtId="0" fontId="2" fillId="0" borderId="0" xfId="0" applyFont="1" applyAlignment="1">
      <alignment horizontal="center"/>
    </xf>
    <xf numFmtId="0" fontId="1" fillId="0" borderId="0" xfId="0" applyFont="1" applyAlignment="1">
      <alignment horizontal="center"/>
    </xf>
    <xf numFmtId="0" fontId="1" fillId="0" borderId="0" xfId="0" applyFont="1" applyAlignment="1">
      <alignment horizontal="right"/>
    </xf>
    <xf numFmtId="0" fontId="3" fillId="0" borderId="0" xfId="0" applyFont="1" applyAlignment="1">
      <alignment horizontal="right"/>
    </xf>
    <xf numFmtId="0" fontId="1" fillId="3" borderId="1" xfId="0" applyFont="1" applyFill="1" applyBorder="1" applyAlignment="1">
      <alignment horizontal="left"/>
    </xf>
    <xf numFmtId="0" fontId="1" fillId="8" borderId="1" xfId="0" applyFont="1" applyFill="1" applyBorder="1" applyAlignment="1">
      <alignment horizontal="left"/>
    </xf>
    <xf numFmtId="0" fontId="1" fillId="5" borderId="1" xfId="0" applyFont="1" applyFill="1" applyBorder="1" applyAlignment="1">
      <alignment horizontal="left"/>
    </xf>
    <xf numFmtId="0" fontId="6" fillId="15" borderId="1" xfId="0" applyFont="1" applyFill="1" applyBorder="1" applyAlignment="1">
      <alignment horizontal="left"/>
    </xf>
    <xf numFmtId="0" fontId="1" fillId="14" borderId="1" xfId="0" applyFont="1" applyFill="1" applyBorder="1" applyAlignment="1">
      <alignment horizontal="left"/>
    </xf>
    <xf numFmtId="0" fontId="1" fillId="10" borderId="1" xfId="0" applyFont="1" applyFill="1" applyBorder="1" applyAlignment="1">
      <alignment horizontal="left"/>
    </xf>
    <xf numFmtId="0" fontId="0" fillId="0" borderId="2" xfId="0" applyBorder="1" applyAlignment="1">
      <alignment horizontal="left"/>
    </xf>
    <xf numFmtId="165" fontId="0" fillId="0" borderId="0" xfId="0" applyNumberFormat="1"/>
    <xf numFmtId="164" fontId="0" fillId="0" borderId="0" xfId="0" applyNumberFormat="1"/>
    <xf numFmtId="0" fontId="0" fillId="0" borderId="0" xfId="0" applyAlignment="1">
      <alignment wrapText="1"/>
    </xf>
    <xf numFmtId="0" fontId="1" fillId="2" borderId="12" xfId="0" applyFont="1" applyFill="1" applyBorder="1"/>
    <xf numFmtId="0" fontId="8" fillId="15" borderId="0" xfId="0" applyFont="1" applyFill="1"/>
    <xf numFmtId="0" fontId="7" fillId="15" borderId="0" xfId="0" applyFont="1" applyFill="1"/>
    <xf numFmtId="0" fontId="3" fillId="0" borderId="0" xfId="0" applyFont="1" applyAlignment="1">
      <alignment wrapText="1"/>
    </xf>
    <xf numFmtId="164" fontId="0" fillId="0" borderId="0" xfId="0" applyNumberFormat="1" applyBorder="1"/>
    <xf numFmtId="165" fontId="0" fillId="0" borderId="0" xfId="0" applyNumberFormat="1" applyBorder="1"/>
    <xf numFmtId="20" fontId="0" fillId="0" borderId="2" xfId="0" applyNumberFormat="1" applyBorder="1" applyAlignment="1">
      <alignment horizontal="left"/>
    </xf>
  </cellXfs>
  <cellStyles count="1">
    <cellStyle name="Normal" xfId="0" builtinId="0"/>
  </cellStyles>
  <dxfs count="0"/>
  <tableStyles count="0" defaultTableStyle="TableStyleMedium2" defaultPivotStyle="PivotStyleLight16"/>
  <colors>
    <mruColors>
      <color rgb="FFFFD5FF"/>
      <color rgb="FFFFB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Conteo_year!$N$1</c:f>
              <c:strCache>
                <c:ptCount val="1"/>
                <c:pt idx="0">
                  <c:v>Total year</c:v>
                </c:pt>
              </c:strCache>
            </c:strRef>
          </c:tx>
          <c:spPr>
            <a:solidFill>
              <a:schemeClr val="accent1"/>
            </a:solidFill>
            <a:ln>
              <a:noFill/>
            </a:ln>
            <a:effectLst/>
          </c:spPr>
          <c:invertIfNegative val="0"/>
          <c:cat>
            <c:numRef>
              <c:f>Conteo_year!$A$2:$A$23</c:f>
              <c:numCache>
                <c:formatCode>General</c:formatCode>
                <c:ptCount val="22"/>
                <c:pt idx="0">
                  <c:v>1987</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numCache>
            </c:numRef>
          </c:cat>
          <c:val>
            <c:numRef>
              <c:f>Conteo_year!$N$2:$N$23</c:f>
              <c:numCache>
                <c:formatCode>General</c:formatCode>
                <c:ptCount val="22"/>
                <c:pt idx="0">
                  <c:v>1</c:v>
                </c:pt>
                <c:pt idx="1">
                  <c:v>1</c:v>
                </c:pt>
                <c:pt idx="2">
                  <c:v>1</c:v>
                </c:pt>
                <c:pt idx="3">
                  <c:v>4</c:v>
                </c:pt>
                <c:pt idx="4">
                  <c:v>0</c:v>
                </c:pt>
                <c:pt idx="5">
                  <c:v>0</c:v>
                </c:pt>
                <c:pt idx="6">
                  <c:v>0</c:v>
                </c:pt>
                <c:pt idx="7">
                  <c:v>4</c:v>
                </c:pt>
                <c:pt idx="8">
                  <c:v>2</c:v>
                </c:pt>
                <c:pt idx="9">
                  <c:v>9</c:v>
                </c:pt>
                <c:pt idx="10">
                  <c:v>1</c:v>
                </c:pt>
                <c:pt idx="11">
                  <c:v>2</c:v>
                </c:pt>
                <c:pt idx="12">
                  <c:v>16</c:v>
                </c:pt>
                <c:pt idx="13">
                  <c:v>6</c:v>
                </c:pt>
                <c:pt idx="14">
                  <c:v>140</c:v>
                </c:pt>
                <c:pt idx="15">
                  <c:v>14</c:v>
                </c:pt>
                <c:pt idx="16">
                  <c:v>77</c:v>
                </c:pt>
                <c:pt idx="17">
                  <c:v>16</c:v>
                </c:pt>
                <c:pt idx="18">
                  <c:v>30</c:v>
                </c:pt>
                <c:pt idx="19">
                  <c:v>14</c:v>
                </c:pt>
                <c:pt idx="20">
                  <c:v>82</c:v>
                </c:pt>
                <c:pt idx="21">
                  <c:v>131</c:v>
                </c:pt>
              </c:numCache>
            </c:numRef>
          </c:val>
          <c:extLst>
            <c:ext xmlns:c16="http://schemas.microsoft.com/office/drawing/2014/chart" uri="{C3380CC4-5D6E-409C-BE32-E72D297353CC}">
              <c16:uniqueId val="{00000000-AF2E-4888-8188-C9C11C4FAB07}"/>
            </c:ext>
          </c:extLst>
        </c:ser>
        <c:dLbls>
          <c:showLegendKey val="0"/>
          <c:showVal val="0"/>
          <c:showCatName val="0"/>
          <c:showSerName val="0"/>
          <c:showPercent val="0"/>
          <c:showBubbleSize val="0"/>
        </c:dLbls>
        <c:gapWidth val="219"/>
        <c:overlap val="-27"/>
        <c:axId val="623116559"/>
        <c:axId val="623111983"/>
      </c:barChart>
      <c:catAx>
        <c:axId val="62311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23111983"/>
        <c:crosses val="autoZero"/>
        <c:auto val="1"/>
        <c:lblAlgn val="ctr"/>
        <c:lblOffset val="100"/>
        <c:noMultiLvlLbl val="0"/>
      </c:catAx>
      <c:valAx>
        <c:axId val="62311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23116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Conteo_year!$A$2</c:f>
              <c:strCache>
                <c:ptCount val="1"/>
                <c:pt idx="0">
                  <c:v>1987</c:v>
                </c:pt>
              </c:strCache>
            </c:strRef>
          </c:tx>
          <c:spPr>
            <a:ln w="28575" cap="rnd">
              <a:solidFill>
                <a:schemeClr val="accent1"/>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Conteo_year!$B$2:$M$2</c:f>
              <c:numCache>
                <c:formatCode>General</c:formatCode>
                <c:ptCount val="12"/>
                <c:pt idx="0">
                  <c:v>0</c:v>
                </c:pt>
                <c:pt idx="1">
                  <c:v>0</c:v>
                </c:pt>
                <c:pt idx="2">
                  <c:v>0</c:v>
                </c:pt>
                <c:pt idx="3">
                  <c:v>0</c:v>
                </c:pt>
                <c:pt idx="4">
                  <c:v>0</c:v>
                </c:pt>
                <c:pt idx="5">
                  <c:v>0</c:v>
                </c:pt>
                <c:pt idx="6">
                  <c:v>1</c:v>
                </c:pt>
                <c:pt idx="7">
                  <c:v>0</c:v>
                </c:pt>
                <c:pt idx="8">
                  <c:v>0</c:v>
                </c:pt>
                <c:pt idx="9">
                  <c:v>0</c:v>
                </c:pt>
                <c:pt idx="10">
                  <c:v>0</c:v>
                </c:pt>
                <c:pt idx="11">
                  <c:v>0</c:v>
                </c:pt>
              </c:numCache>
            </c:numRef>
          </c:val>
          <c:smooth val="0"/>
          <c:extLst>
            <c:ext xmlns:c16="http://schemas.microsoft.com/office/drawing/2014/chart" uri="{C3380CC4-5D6E-409C-BE32-E72D297353CC}">
              <c16:uniqueId val="{00000000-8D5A-4F51-AAA2-C260810E943A}"/>
            </c:ext>
          </c:extLst>
        </c:ser>
        <c:ser>
          <c:idx val="1"/>
          <c:order val="1"/>
          <c:tx>
            <c:strRef>
              <c:f>Conteo_year!$A$3</c:f>
              <c:strCache>
                <c:ptCount val="1"/>
                <c:pt idx="0">
                  <c:v>2005</c:v>
                </c:pt>
              </c:strCache>
            </c:strRef>
          </c:tx>
          <c:spPr>
            <a:ln w="28575" cap="rnd">
              <a:solidFill>
                <a:schemeClr val="accent2"/>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Conteo_year!$B$3:$M$3</c:f>
              <c:numCache>
                <c:formatCode>General</c:formatCode>
                <c:ptCount val="12"/>
                <c:pt idx="0">
                  <c:v>0</c:v>
                </c:pt>
                <c:pt idx="1">
                  <c:v>0</c:v>
                </c:pt>
                <c:pt idx="2">
                  <c:v>0</c:v>
                </c:pt>
                <c:pt idx="3">
                  <c:v>0</c:v>
                </c:pt>
                <c:pt idx="4">
                  <c:v>0</c:v>
                </c:pt>
                <c:pt idx="5">
                  <c:v>0</c:v>
                </c:pt>
                <c:pt idx="6">
                  <c:v>0</c:v>
                </c:pt>
                <c:pt idx="7">
                  <c:v>1</c:v>
                </c:pt>
                <c:pt idx="8">
                  <c:v>0</c:v>
                </c:pt>
                <c:pt idx="9">
                  <c:v>0</c:v>
                </c:pt>
                <c:pt idx="10">
                  <c:v>0</c:v>
                </c:pt>
                <c:pt idx="11">
                  <c:v>0</c:v>
                </c:pt>
              </c:numCache>
            </c:numRef>
          </c:val>
          <c:smooth val="0"/>
          <c:extLst>
            <c:ext xmlns:c16="http://schemas.microsoft.com/office/drawing/2014/chart" uri="{C3380CC4-5D6E-409C-BE32-E72D297353CC}">
              <c16:uniqueId val="{00000001-8D5A-4F51-AAA2-C260810E943A}"/>
            </c:ext>
          </c:extLst>
        </c:ser>
        <c:ser>
          <c:idx val="2"/>
          <c:order val="2"/>
          <c:tx>
            <c:strRef>
              <c:f>Conteo_year!$A$4</c:f>
              <c:strCache>
                <c:ptCount val="1"/>
                <c:pt idx="0">
                  <c:v>2006</c:v>
                </c:pt>
              </c:strCache>
            </c:strRef>
          </c:tx>
          <c:spPr>
            <a:ln w="28575" cap="rnd">
              <a:solidFill>
                <a:schemeClr val="accent3"/>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Conteo_year!$B$4:$M$4</c:f>
              <c:numCache>
                <c:formatCode>General</c:formatCode>
                <c:ptCount val="12"/>
                <c:pt idx="0">
                  <c:v>0</c:v>
                </c:pt>
                <c:pt idx="1">
                  <c:v>0</c:v>
                </c:pt>
                <c:pt idx="2">
                  <c:v>0</c:v>
                </c:pt>
                <c:pt idx="3">
                  <c:v>0</c:v>
                </c:pt>
                <c:pt idx="4">
                  <c:v>0</c:v>
                </c:pt>
                <c:pt idx="5">
                  <c:v>0</c:v>
                </c:pt>
                <c:pt idx="6">
                  <c:v>1</c:v>
                </c:pt>
                <c:pt idx="7">
                  <c:v>0</c:v>
                </c:pt>
                <c:pt idx="8">
                  <c:v>0</c:v>
                </c:pt>
                <c:pt idx="9">
                  <c:v>0</c:v>
                </c:pt>
                <c:pt idx="10">
                  <c:v>0</c:v>
                </c:pt>
                <c:pt idx="11">
                  <c:v>0</c:v>
                </c:pt>
              </c:numCache>
            </c:numRef>
          </c:val>
          <c:smooth val="0"/>
          <c:extLst>
            <c:ext xmlns:c16="http://schemas.microsoft.com/office/drawing/2014/chart" uri="{C3380CC4-5D6E-409C-BE32-E72D297353CC}">
              <c16:uniqueId val="{00000002-8D5A-4F51-AAA2-C260810E943A}"/>
            </c:ext>
          </c:extLst>
        </c:ser>
        <c:ser>
          <c:idx val="3"/>
          <c:order val="3"/>
          <c:tx>
            <c:strRef>
              <c:f>Conteo_year!$A$5</c:f>
              <c:strCache>
                <c:ptCount val="1"/>
                <c:pt idx="0">
                  <c:v>2007</c:v>
                </c:pt>
              </c:strCache>
            </c:strRef>
          </c:tx>
          <c:spPr>
            <a:ln w="28575" cap="rnd">
              <a:solidFill>
                <a:schemeClr val="accent4"/>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Conteo_year!$B$5:$M$5</c:f>
              <c:numCache>
                <c:formatCode>General</c:formatCode>
                <c:ptCount val="12"/>
                <c:pt idx="0">
                  <c:v>0</c:v>
                </c:pt>
                <c:pt idx="1">
                  <c:v>0</c:v>
                </c:pt>
                <c:pt idx="2">
                  <c:v>0</c:v>
                </c:pt>
                <c:pt idx="3">
                  <c:v>0</c:v>
                </c:pt>
                <c:pt idx="4">
                  <c:v>0</c:v>
                </c:pt>
                <c:pt idx="5">
                  <c:v>0</c:v>
                </c:pt>
                <c:pt idx="6">
                  <c:v>0</c:v>
                </c:pt>
                <c:pt idx="7">
                  <c:v>1</c:v>
                </c:pt>
                <c:pt idx="8">
                  <c:v>3</c:v>
                </c:pt>
                <c:pt idx="9">
                  <c:v>0</c:v>
                </c:pt>
                <c:pt idx="10">
                  <c:v>0</c:v>
                </c:pt>
                <c:pt idx="11">
                  <c:v>0</c:v>
                </c:pt>
              </c:numCache>
            </c:numRef>
          </c:val>
          <c:smooth val="0"/>
          <c:extLst>
            <c:ext xmlns:c16="http://schemas.microsoft.com/office/drawing/2014/chart" uri="{C3380CC4-5D6E-409C-BE32-E72D297353CC}">
              <c16:uniqueId val="{00000003-8D5A-4F51-AAA2-C260810E943A}"/>
            </c:ext>
          </c:extLst>
        </c:ser>
        <c:ser>
          <c:idx val="4"/>
          <c:order val="4"/>
          <c:tx>
            <c:strRef>
              <c:f>Conteo_year!$A$6</c:f>
              <c:strCache>
                <c:ptCount val="1"/>
                <c:pt idx="0">
                  <c:v>2008</c:v>
                </c:pt>
              </c:strCache>
            </c:strRef>
          </c:tx>
          <c:spPr>
            <a:ln w="28575" cap="rnd">
              <a:solidFill>
                <a:schemeClr val="accent5"/>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8D5A-4F51-AAA2-C260810E943A}"/>
            </c:ext>
          </c:extLst>
        </c:ser>
        <c:ser>
          <c:idx val="5"/>
          <c:order val="5"/>
          <c:tx>
            <c:strRef>
              <c:f>Conteo_year!$A$7</c:f>
              <c:strCache>
                <c:ptCount val="1"/>
                <c:pt idx="0">
                  <c:v>2009</c:v>
                </c:pt>
              </c:strCache>
            </c:strRef>
          </c:tx>
          <c:spPr>
            <a:ln w="28575" cap="rnd">
              <a:solidFill>
                <a:schemeClr val="accent6"/>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5-8D5A-4F51-AAA2-C260810E943A}"/>
            </c:ext>
          </c:extLst>
        </c:ser>
        <c:ser>
          <c:idx val="6"/>
          <c:order val="6"/>
          <c:tx>
            <c:strRef>
              <c:f>Conteo_year!$A$8</c:f>
              <c:strCache>
                <c:ptCount val="1"/>
                <c:pt idx="0">
                  <c:v>2010</c:v>
                </c:pt>
              </c:strCache>
            </c:strRef>
          </c:tx>
          <c:spPr>
            <a:ln w="28575" cap="rnd">
              <a:solidFill>
                <a:schemeClr val="accent1">
                  <a:lumMod val="6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Conteo_year!$B$8:$M$8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6-8D5A-4F51-AAA2-C260810E943A}"/>
            </c:ext>
          </c:extLst>
        </c:ser>
        <c:ser>
          <c:idx val="7"/>
          <c:order val="7"/>
          <c:tx>
            <c:strRef>
              <c:f>Conteo_year!$A$9</c:f>
              <c:strCache>
                <c:ptCount val="1"/>
                <c:pt idx="0">
                  <c:v>2011</c:v>
                </c:pt>
              </c:strCache>
            </c:strRef>
          </c:tx>
          <c:spPr>
            <a:ln w="28575" cap="rnd">
              <a:solidFill>
                <a:schemeClr val="accent2">
                  <a:lumMod val="6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Conteo_year!$B$9:$M$9</c:f>
              <c:numCache>
                <c:formatCode>General</c:formatCode>
                <c:ptCount val="12"/>
                <c:pt idx="0">
                  <c:v>0</c:v>
                </c:pt>
                <c:pt idx="1">
                  <c:v>0</c:v>
                </c:pt>
                <c:pt idx="2">
                  <c:v>0</c:v>
                </c:pt>
                <c:pt idx="3">
                  <c:v>0</c:v>
                </c:pt>
                <c:pt idx="4">
                  <c:v>1</c:v>
                </c:pt>
                <c:pt idx="5">
                  <c:v>0</c:v>
                </c:pt>
                <c:pt idx="6">
                  <c:v>2</c:v>
                </c:pt>
                <c:pt idx="7">
                  <c:v>1</c:v>
                </c:pt>
                <c:pt idx="8">
                  <c:v>0</c:v>
                </c:pt>
                <c:pt idx="9">
                  <c:v>0</c:v>
                </c:pt>
                <c:pt idx="10">
                  <c:v>0</c:v>
                </c:pt>
                <c:pt idx="11">
                  <c:v>0</c:v>
                </c:pt>
              </c:numCache>
            </c:numRef>
          </c:val>
          <c:smooth val="0"/>
          <c:extLst>
            <c:ext xmlns:c16="http://schemas.microsoft.com/office/drawing/2014/chart" uri="{C3380CC4-5D6E-409C-BE32-E72D297353CC}">
              <c16:uniqueId val="{00000007-8D5A-4F51-AAA2-C260810E943A}"/>
            </c:ext>
          </c:extLst>
        </c:ser>
        <c:ser>
          <c:idx val="8"/>
          <c:order val="8"/>
          <c:tx>
            <c:strRef>
              <c:f>Conteo_year!$A$10</c:f>
              <c:strCache>
                <c:ptCount val="1"/>
                <c:pt idx="0">
                  <c:v>2012</c:v>
                </c:pt>
              </c:strCache>
            </c:strRef>
          </c:tx>
          <c:spPr>
            <a:ln w="28575" cap="rnd">
              <a:solidFill>
                <a:schemeClr val="accent3">
                  <a:lumMod val="6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Conteo_year!$B$10:$M$10</c:f>
              <c:numCache>
                <c:formatCode>General</c:formatCode>
                <c:ptCount val="12"/>
                <c:pt idx="0">
                  <c:v>0</c:v>
                </c:pt>
                <c:pt idx="1">
                  <c:v>0</c:v>
                </c:pt>
                <c:pt idx="2">
                  <c:v>0</c:v>
                </c:pt>
                <c:pt idx="3">
                  <c:v>0</c:v>
                </c:pt>
                <c:pt idx="4">
                  <c:v>0</c:v>
                </c:pt>
                <c:pt idx="5">
                  <c:v>0</c:v>
                </c:pt>
                <c:pt idx="6">
                  <c:v>0</c:v>
                </c:pt>
                <c:pt idx="7">
                  <c:v>2</c:v>
                </c:pt>
                <c:pt idx="8">
                  <c:v>0</c:v>
                </c:pt>
                <c:pt idx="9">
                  <c:v>0</c:v>
                </c:pt>
                <c:pt idx="10">
                  <c:v>0</c:v>
                </c:pt>
                <c:pt idx="11">
                  <c:v>0</c:v>
                </c:pt>
              </c:numCache>
            </c:numRef>
          </c:val>
          <c:smooth val="0"/>
          <c:extLst>
            <c:ext xmlns:c16="http://schemas.microsoft.com/office/drawing/2014/chart" uri="{C3380CC4-5D6E-409C-BE32-E72D297353CC}">
              <c16:uniqueId val="{00000008-8D5A-4F51-AAA2-C260810E943A}"/>
            </c:ext>
          </c:extLst>
        </c:ser>
        <c:ser>
          <c:idx val="9"/>
          <c:order val="9"/>
          <c:tx>
            <c:strRef>
              <c:f>Conteo_year!$A$11</c:f>
              <c:strCache>
                <c:ptCount val="1"/>
                <c:pt idx="0">
                  <c:v>2013</c:v>
                </c:pt>
              </c:strCache>
            </c:strRef>
          </c:tx>
          <c:spPr>
            <a:ln w="28575" cap="rnd">
              <a:solidFill>
                <a:schemeClr val="accent4">
                  <a:lumMod val="6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Conteo_year!$B$11:$M$11</c:f>
              <c:numCache>
                <c:formatCode>General</c:formatCode>
                <c:ptCount val="12"/>
                <c:pt idx="0">
                  <c:v>0</c:v>
                </c:pt>
                <c:pt idx="1">
                  <c:v>0</c:v>
                </c:pt>
                <c:pt idx="2">
                  <c:v>0</c:v>
                </c:pt>
                <c:pt idx="3">
                  <c:v>0</c:v>
                </c:pt>
                <c:pt idx="4">
                  <c:v>0</c:v>
                </c:pt>
                <c:pt idx="5">
                  <c:v>0</c:v>
                </c:pt>
                <c:pt idx="6">
                  <c:v>0</c:v>
                </c:pt>
                <c:pt idx="7">
                  <c:v>9</c:v>
                </c:pt>
                <c:pt idx="8">
                  <c:v>0</c:v>
                </c:pt>
                <c:pt idx="9">
                  <c:v>0</c:v>
                </c:pt>
                <c:pt idx="10">
                  <c:v>0</c:v>
                </c:pt>
                <c:pt idx="11">
                  <c:v>0</c:v>
                </c:pt>
              </c:numCache>
            </c:numRef>
          </c:val>
          <c:smooth val="0"/>
          <c:extLst>
            <c:ext xmlns:c16="http://schemas.microsoft.com/office/drawing/2014/chart" uri="{C3380CC4-5D6E-409C-BE32-E72D297353CC}">
              <c16:uniqueId val="{00000009-8D5A-4F51-AAA2-C260810E943A}"/>
            </c:ext>
          </c:extLst>
        </c:ser>
        <c:ser>
          <c:idx val="10"/>
          <c:order val="10"/>
          <c:tx>
            <c:strRef>
              <c:f>Conteo_year!$A$12</c:f>
              <c:strCache>
                <c:ptCount val="1"/>
                <c:pt idx="0">
                  <c:v>2014</c:v>
                </c:pt>
              </c:strCache>
            </c:strRef>
          </c:tx>
          <c:spPr>
            <a:ln w="28575" cap="rnd">
              <a:solidFill>
                <a:schemeClr val="accent5">
                  <a:lumMod val="6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Conteo_year!$B$12:$M$12</c:f>
              <c:numCache>
                <c:formatCode>General</c:formatCode>
                <c:ptCount val="12"/>
                <c:pt idx="0">
                  <c:v>0</c:v>
                </c:pt>
                <c:pt idx="1">
                  <c:v>0</c:v>
                </c:pt>
                <c:pt idx="2">
                  <c:v>0</c:v>
                </c:pt>
                <c:pt idx="3">
                  <c:v>0</c:v>
                </c:pt>
                <c:pt idx="4">
                  <c:v>0</c:v>
                </c:pt>
                <c:pt idx="5">
                  <c:v>0</c:v>
                </c:pt>
                <c:pt idx="6">
                  <c:v>1</c:v>
                </c:pt>
                <c:pt idx="7">
                  <c:v>0</c:v>
                </c:pt>
                <c:pt idx="8">
                  <c:v>0</c:v>
                </c:pt>
                <c:pt idx="9">
                  <c:v>0</c:v>
                </c:pt>
                <c:pt idx="10">
                  <c:v>0</c:v>
                </c:pt>
                <c:pt idx="11">
                  <c:v>0</c:v>
                </c:pt>
              </c:numCache>
            </c:numRef>
          </c:val>
          <c:smooth val="0"/>
          <c:extLst>
            <c:ext xmlns:c16="http://schemas.microsoft.com/office/drawing/2014/chart" uri="{C3380CC4-5D6E-409C-BE32-E72D297353CC}">
              <c16:uniqueId val="{0000000A-8D5A-4F51-AAA2-C260810E943A}"/>
            </c:ext>
          </c:extLst>
        </c:ser>
        <c:ser>
          <c:idx val="11"/>
          <c:order val="11"/>
          <c:tx>
            <c:strRef>
              <c:f>Conteo_year!$A$13</c:f>
              <c:strCache>
                <c:ptCount val="1"/>
                <c:pt idx="0">
                  <c:v>2015</c:v>
                </c:pt>
              </c:strCache>
            </c:strRef>
          </c:tx>
          <c:spPr>
            <a:ln w="28575" cap="rnd">
              <a:solidFill>
                <a:schemeClr val="accent6">
                  <a:lumMod val="6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Conteo_year!$B$13:$M$13</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B-8D5A-4F51-AAA2-C260810E943A}"/>
            </c:ext>
          </c:extLst>
        </c:ser>
        <c:ser>
          <c:idx val="12"/>
          <c:order val="12"/>
          <c:tx>
            <c:strRef>
              <c:f>Conteo_year!$A$14</c:f>
              <c:strCache>
                <c:ptCount val="1"/>
                <c:pt idx="0">
                  <c:v>2016</c:v>
                </c:pt>
              </c:strCache>
            </c:strRef>
          </c:tx>
          <c:spPr>
            <a:ln w="28575" cap="rnd">
              <a:solidFill>
                <a:schemeClr val="accent1">
                  <a:lumMod val="80000"/>
                  <a:lumOff val="2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Conteo_year!$B$14:$M$14</c:f>
              <c:numCache>
                <c:formatCode>General</c:formatCode>
                <c:ptCount val="12"/>
                <c:pt idx="0">
                  <c:v>2</c:v>
                </c:pt>
                <c:pt idx="1">
                  <c:v>0</c:v>
                </c:pt>
                <c:pt idx="2">
                  <c:v>0</c:v>
                </c:pt>
                <c:pt idx="3">
                  <c:v>0</c:v>
                </c:pt>
                <c:pt idx="4">
                  <c:v>1</c:v>
                </c:pt>
                <c:pt idx="5">
                  <c:v>0</c:v>
                </c:pt>
                <c:pt idx="6">
                  <c:v>4</c:v>
                </c:pt>
                <c:pt idx="7">
                  <c:v>5</c:v>
                </c:pt>
                <c:pt idx="8">
                  <c:v>4</c:v>
                </c:pt>
                <c:pt idx="9">
                  <c:v>0</c:v>
                </c:pt>
                <c:pt idx="10">
                  <c:v>0</c:v>
                </c:pt>
                <c:pt idx="11">
                  <c:v>0</c:v>
                </c:pt>
              </c:numCache>
            </c:numRef>
          </c:val>
          <c:smooth val="0"/>
          <c:extLst>
            <c:ext xmlns:c16="http://schemas.microsoft.com/office/drawing/2014/chart" uri="{C3380CC4-5D6E-409C-BE32-E72D297353CC}">
              <c16:uniqueId val="{0000000C-8D5A-4F51-AAA2-C260810E943A}"/>
            </c:ext>
          </c:extLst>
        </c:ser>
        <c:ser>
          <c:idx val="13"/>
          <c:order val="13"/>
          <c:tx>
            <c:strRef>
              <c:f>Conteo_year!$A$15</c:f>
              <c:strCache>
                <c:ptCount val="1"/>
                <c:pt idx="0">
                  <c:v>2017</c:v>
                </c:pt>
              </c:strCache>
            </c:strRef>
          </c:tx>
          <c:spPr>
            <a:ln w="28575" cap="rnd">
              <a:solidFill>
                <a:schemeClr val="accent2">
                  <a:lumMod val="80000"/>
                  <a:lumOff val="2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Conteo_year!$B$15:$M$15</c:f>
              <c:numCache>
                <c:formatCode>General</c:formatCode>
                <c:ptCount val="12"/>
                <c:pt idx="0">
                  <c:v>0</c:v>
                </c:pt>
                <c:pt idx="1">
                  <c:v>0</c:v>
                </c:pt>
                <c:pt idx="2">
                  <c:v>0</c:v>
                </c:pt>
                <c:pt idx="3">
                  <c:v>0</c:v>
                </c:pt>
                <c:pt idx="4">
                  <c:v>0</c:v>
                </c:pt>
                <c:pt idx="5">
                  <c:v>1</c:v>
                </c:pt>
                <c:pt idx="6">
                  <c:v>1</c:v>
                </c:pt>
                <c:pt idx="7">
                  <c:v>4</c:v>
                </c:pt>
                <c:pt idx="8">
                  <c:v>0</c:v>
                </c:pt>
                <c:pt idx="9">
                  <c:v>0</c:v>
                </c:pt>
                <c:pt idx="10">
                  <c:v>0</c:v>
                </c:pt>
                <c:pt idx="11">
                  <c:v>0</c:v>
                </c:pt>
              </c:numCache>
            </c:numRef>
          </c:val>
          <c:smooth val="0"/>
          <c:extLst>
            <c:ext xmlns:c16="http://schemas.microsoft.com/office/drawing/2014/chart" uri="{C3380CC4-5D6E-409C-BE32-E72D297353CC}">
              <c16:uniqueId val="{0000000D-8D5A-4F51-AAA2-C260810E943A}"/>
            </c:ext>
          </c:extLst>
        </c:ser>
        <c:ser>
          <c:idx val="14"/>
          <c:order val="14"/>
          <c:tx>
            <c:strRef>
              <c:f>Conteo_year!$A$16</c:f>
              <c:strCache>
                <c:ptCount val="1"/>
                <c:pt idx="0">
                  <c:v>2018</c:v>
                </c:pt>
              </c:strCache>
            </c:strRef>
          </c:tx>
          <c:spPr>
            <a:ln w="28575" cap="rnd">
              <a:solidFill>
                <a:schemeClr val="accent3">
                  <a:lumMod val="80000"/>
                  <a:lumOff val="2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Conteo_year!$B$16:$M$16</c:f>
              <c:numCache>
                <c:formatCode>General</c:formatCode>
                <c:ptCount val="12"/>
                <c:pt idx="0">
                  <c:v>0</c:v>
                </c:pt>
                <c:pt idx="1">
                  <c:v>0</c:v>
                </c:pt>
                <c:pt idx="2">
                  <c:v>0</c:v>
                </c:pt>
                <c:pt idx="3">
                  <c:v>22</c:v>
                </c:pt>
                <c:pt idx="4">
                  <c:v>10</c:v>
                </c:pt>
                <c:pt idx="5">
                  <c:v>1</c:v>
                </c:pt>
                <c:pt idx="6">
                  <c:v>12</c:v>
                </c:pt>
                <c:pt idx="7">
                  <c:v>71</c:v>
                </c:pt>
                <c:pt idx="8">
                  <c:v>5</c:v>
                </c:pt>
                <c:pt idx="9">
                  <c:v>0</c:v>
                </c:pt>
                <c:pt idx="10">
                  <c:v>19</c:v>
                </c:pt>
                <c:pt idx="11">
                  <c:v>0</c:v>
                </c:pt>
              </c:numCache>
            </c:numRef>
          </c:val>
          <c:smooth val="0"/>
          <c:extLst>
            <c:ext xmlns:c16="http://schemas.microsoft.com/office/drawing/2014/chart" uri="{C3380CC4-5D6E-409C-BE32-E72D297353CC}">
              <c16:uniqueId val="{0000000E-8D5A-4F51-AAA2-C260810E943A}"/>
            </c:ext>
          </c:extLst>
        </c:ser>
        <c:ser>
          <c:idx val="15"/>
          <c:order val="15"/>
          <c:tx>
            <c:strRef>
              <c:f>Conteo_year!$A$17</c:f>
              <c:strCache>
                <c:ptCount val="1"/>
                <c:pt idx="0">
                  <c:v>2019</c:v>
                </c:pt>
              </c:strCache>
            </c:strRef>
          </c:tx>
          <c:spPr>
            <a:ln w="28575" cap="rnd">
              <a:solidFill>
                <a:schemeClr val="accent4">
                  <a:lumMod val="80000"/>
                  <a:lumOff val="2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Conteo_year!$B$17:$M$17</c:f>
              <c:numCache>
                <c:formatCode>General</c:formatCode>
                <c:ptCount val="12"/>
                <c:pt idx="0">
                  <c:v>1</c:v>
                </c:pt>
                <c:pt idx="1">
                  <c:v>0</c:v>
                </c:pt>
                <c:pt idx="2">
                  <c:v>0</c:v>
                </c:pt>
                <c:pt idx="3">
                  <c:v>0</c:v>
                </c:pt>
                <c:pt idx="4">
                  <c:v>0</c:v>
                </c:pt>
                <c:pt idx="5">
                  <c:v>1</c:v>
                </c:pt>
                <c:pt idx="6">
                  <c:v>4</c:v>
                </c:pt>
                <c:pt idx="7">
                  <c:v>8</c:v>
                </c:pt>
                <c:pt idx="8">
                  <c:v>0</c:v>
                </c:pt>
                <c:pt idx="9">
                  <c:v>0</c:v>
                </c:pt>
                <c:pt idx="10">
                  <c:v>0</c:v>
                </c:pt>
                <c:pt idx="11">
                  <c:v>0</c:v>
                </c:pt>
              </c:numCache>
            </c:numRef>
          </c:val>
          <c:smooth val="0"/>
          <c:extLst>
            <c:ext xmlns:c16="http://schemas.microsoft.com/office/drawing/2014/chart" uri="{C3380CC4-5D6E-409C-BE32-E72D297353CC}">
              <c16:uniqueId val="{0000000F-8D5A-4F51-AAA2-C260810E943A}"/>
            </c:ext>
          </c:extLst>
        </c:ser>
        <c:ser>
          <c:idx val="16"/>
          <c:order val="16"/>
          <c:tx>
            <c:strRef>
              <c:f>Conteo_year!$A$18</c:f>
              <c:strCache>
                <c:ptCount val="1"/>
                <c:pt idx="0">
                  <c:v>2020</c:v>
                </c:pt>
              </c:strCache>
            </c:strRef>
          </c:tx>
          <c:spPr>
            <a:ln w="28575" cap="rnd">
              <a:solidFill>
                <a:schemeClr val="accent5">
                  <a:lumMod val="80000"/>
                  <a:lumOff val="2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Conteo_year!$B$18:$M$18</c:f>
              <c:numCache>
                <c:formatCode>General</c:formatCode>
                <c:ptCount val="12"/>
                <c:pt idx="0">
                  <c:v>0</c:v>
                </c:pt>
                <c:pt idx="1">
                  <c:v>0</c:v>
                </c:pt>
                <c:pt idx="2">
                  <c:v>0</c:v>
                </c:pt>
                <c:pt idx="3">
                  <c:v>1</c:v>
                </c:pt>
                <c:pt idx="4">
                  <c:v>1</c:v>
                </c:pt>
                <c:pt idx="5">
                  <c:v>21</c:v>
                </c:pt>
                <c:pt idx="6">
                  <c:v>44</c:v>
                </c:pt>
                <c:pt idx="7">
                  <c:v>6</c:v>
                </c:pt>
                <c:pt idx="8">
                  <c:v>3</c:v>
                </c:pt>
                <c:pt idx="9">
                  <c:v>0</c:v>
                </c:pt>
                <c:pt idx="10">
                  <c:v>0</c:v>
                </c:pt>
                <c:pt idx="11">
                  <c:v>1</c:v>
                </c:pt>
              </c:numCache>
            </c:numRef>
          </c:val>
          <c:smooth val="0"/>
          <c:extLst>
            <c:ext xmlns:c16="http://schemas.microsoft.com/office/drawing/2014/chart" uri="{C3380CC4-5D6E-409C-BE32-E72D297353CC}">
              <c16:uniqueId val="{00000010-8D5A-4F51-AAA2-C260810E943A}"/>
            </c:ext>
          </c:extLst>
        </c:ser>
        <c:ser>
          <c:idx val="17"/>
          <c:order val="17"/>
          <c:tx>
            <c:strRef>
              <c:f>Conteo_year!$A$19</c:f>
              <c:strCache>
                <c:ptCount val="1"/>
                <c:pt idx="0">
                  <c:v>2021</c:v>
                </c:pt>
              </c:strCache>
            </c:strRef>
          </c:tx>
          <c:spPr>
            <a:ln w="28575" cap="rnd">
              <a:solidFill>
                <a:schemeClr val="accent6">
                  <a:lumMod val="80000"/>
                  <a:lumOff val="2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Conteo_year!$B$19:$M$19</c:f>
              <c:numCache>
                <c:formatCode>General</c:formatCode>
                <c:ptCount val="12"/>
                <c:pt idx="0">
                  <c:v>0</c:v>
                </c:pt>
                <c:pt idx="1">
                  <c:v>0</c:v>
                </c:pt>
                <c:pt idx="2">
                  <c:v>0</c:v>
                </c:pt>
                <c:pt idx="3">
                  <c:v>0</c:v>
                </c:pt>
                <c:pt idx="4">
                  <c:v>0</c:v>
                </c:pt>
                <c:pt idx="5">
                  <c:v>7</c:v>
                </c:pt>
                <c:pt idx="6">
                  <c:v>7</c:v>
                </c:pt>
                <c:pt idx="7">
                  <c:v>1</c:v>
                </c:pt>
                <c:pt idx="8">
                  <c:v>0</c:v>
                </c:pt>
                <c:pt idx="9">
                  <c:v>1</c:v>
                </c:pt>
                <c:pt idx="10">
                  <c:v>0</c:v>
                </c:pt>
                <c:pt idx="11">
                  <c:v>0</c:v>
                </c:pt>
              </c:numCache>
            </c:numRef>
          </c:val>
          <c:smooth val="0"/>
          <c:extLst>
            <c:ext xmlns:c16="http://schemas.microsoft.com/office/drawing/2014/chart" uri="{C3380CC4-5D6E-409C-BE32-E72D297353CC}">
              <c16:uniqueId val="{00000011-8D5A-4F51-AAA2-C260810E943A}"/>
            </c:ext>
          </c:extLst>
        </c:ser>
        <c:ser>
          <c:idx val="18"/>
          <c:order val="18"/>
          <c:tx>
            <c:strRef>
              <c:f>Conteo_year!$A$20</c:f>
              <c:strCache>
                <c:ptCount val="1"/>
                <c:pt idx="0">
                  <c:v>2022</c:v>
                </c:pt>
              </c:strCache>
            </c:strRef>
          </c:tx>
          <c:spPr>
            <a:ln w="28575" cap="rnd">
              <a:solidFill>
                <a:schemeClr val="accent1">
                  <a:lumMod val="8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Conteo_year!$B$20:$M$20</c:f>
              <c:numCache>
                <c:formatCode>General</c:formatCode>
                <c:ptCount val="12"/>
                <c:pt idx="0">
                  <c:v>0</c:v>
                </c:pt>
                <c:pt idx="1">
                  <c:v>0</c:v>
                </c:pt>
                <c:pt idx="2">
                  <c:v>1</c:v>
                </c:pt>
                <c:pt idx="3">
                  <c:v>0</c:v>
                </c:pt>
                <c:pt idx="4">
                  <c:v>0</c:v>
                </c:pt>
                <c:pt idx="5">
                  <c:v>0</c:v>
                </c:pt>
                <c:pt idx="6">
                  <c:v>12</c:v>
                </c:pt>
                <c:pt idx="7">
                  <c:v>14</c:v>
                </c:pt>
                <c:pt idx="8">
                  <c:v>1</c:v>
                </c:pt>
                <c:pt idx="9">
                  <c:v>0</c:v>
                </c:pt>
                <c:pt idx="10">
                  <c:v>1</c:v>
                </c:pt>
                <c:pt idx="11">
                  <c:v>1</c:v>
                </c:pt>
              </c:numCache>
            </c:numRef>
          </c:val>
          <c:smooth val="0"/>
          <c:extLst>
            <c:ext xmlns:c16="http://schemas.microsoft.com/office/drawing/2014/chart" uri="{C3380CC4-5D6E-409C-BE32-E72D297353CC}">
              <c16:uniqueId val="{00000012-8D5A-4F51-AAA2-C260810E943A}"/>
            </c:ext>
          </c:extLst>
        </c:ser>
        <c:ser>
          <c:idx val="19"/>
          <c:order val="19"/>
          <c:tx>
            <c:strRef>
              <c:f>Conteo_year!$A$21</c:f>
              <c:strCache>
                <c:ptCount val="1"/>
                <c:pt idx="0">
                  <c:v>2023</c:v>
                </c:pt>
              </c:strCache>
            </c:strRef>
          </c:tx>
          <c:spPr>
            <a:ln w="28575" cap="rnd">
              <a:solidFill>
                <a:schemeClr val="accent2">
                  <a:lumMod val="8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Conteo_year!$B$21:$M$21</c:f>
              <c:numCache>
                <c:formatCode>General</c:formatCode>
                <c:ptCount val="12"/>
                <c:pt idx="0">
                  <c:v>0</c:v>
                </c:pt>
                <c:pt idx="1">
                  <c:v>0</c:v>
                </c:pt>
                <c:pt idx="2">
                  <c:v>0</c:v>
                </c:pt>
                <c:pt idx="3">
                  <c:v>0</c:v>
                </c:pt>
                <c:pt idx="4">
                  <c:v>0</c:v>
                </c:pt>
                <c:pt idx="5">
                  <c:v>0</c:v>
                </c:pt>
                <c:pt idx="6">
                  <c:v>4</c:v>
                </c:pt>
                <c:pt idx="7">
                  <c:v>8</c:v>
                </c:pt>
                <c:pt idx="8">
                  <c:v>1</c:v>
                </c:pt>
                <c:pt idx="9">
                  <c:v>1</c:v>
                </c:pt>
                <c:pt idx="10">
                  <c:v>0</c:v>
                </c:pt>
                <c:pt idx="11">
                  <c:v>0</c:v>
                </c:pt>
              </c:numCache>
            </c:numRef>
          </c:val>
          <c:smooth val="0"/>
          <c:extLst>
            <c:ext xmlns:c16="http://schemas.microsoft.com/office/drawing/2014/chart" uri="{C3380CC4-5D6E-409C-BE32-E72D297353CC}">
              <c16:uniqueId val="{00000013-8D5A-4F51-AAA2-C260810E943A}"/>
            </c:ext>
          </c:extLst>
        </c:ser>
        <c:ser>
          <c:idx val="20"/>
          <c:order val="20"/>
          <c:tx>
            <c:strRef>
              <c:f>Conteo_year!$A$22</c:f>
              <c:strCache>
                <c:ptCount val="1"/>
                <c:pt idx="0">
                  <c:v>2024</c:v>
                </c:pt>
              </c:strCache>
            </c:strRef>
          </c:tx>
          <c:spPr>
            <a:ln w="28575" cap="rnd">
              <a:solidFill>
                <a:schemeClr val="accent3">
                  <a:lumMod val="8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Conteo_year!$B$22:$M$22</c:f>
              <c:numCache>
                <c:formatCode>General</c:formatCode>
                <c:ptCount val="12"/>
                <c:pt idx="0">
                  <c:v>0</c:v>
                </c:pt>
                <c:pt idx="1">
                  <c:v>0</c:v>
                </c:pt>
                <c:pt idx="2">
                  <c:v>0</c:v>
                </c:pt>
                <c:pt idx="3">
                  <c:v>2</c:v>
                </c:pt>
                <c:pt idx="4">
                  <c:v>2</c:v>
                </c:pt>
                <c:pt idx="5">
                  <c:v>4</c:v>
                </c:pt>
                <c:pt idx="6">
                  <c:v>40</c:v>
                </c:pt>
                <c:pt idx="7">
                  <c:v>28</c:v>
                </c:pt>
                <c:pt idx="8">
                  <c:v>4</c:v>
                </c:pt>
                <c:pt idx="9">
                  <c:v>1</c:v>
                </c:pt>
                <c:pt idx="10">
                  <c:v>0</c:v>
                </c:pt>
                <c:pt idx="11">
                  <c:v>1</c:v>
                </c:pt>
              </c:numCache>
            </c:numRef>
          </c:val>
          <c:smooth val="0"/>
          <c:extLst>
            <c:ext xmlns:c16="http://schemas.microsoft.com/office/drawing/2014/chart" uri="{C3380CC4-5D6E-409C-BE32-E72D297353CC}">
              <c16:uniqueId val="{00000014-8D5A-4F51-AAA2-C260810E943A}"/>
            </c:ext>
          </c:extLst>
        </c:ser>
        <c:ser>
          <c:idx val="21"/>
          <c:order val="21"/>
          <c:tx>
            <c:strRef>
              <c:f>Conteo_year!$A$23</c:f>
              <c:strCache>
                <c:ptCount val="1"/>
                <c:pt idx="0">
                  <c:v>2025</c:v>
                </c:pt>
              </c:strCache>
            </c:strRef>
          </c:tx>
          <c:spPr>
            <a:ln w="28575" cap="rnd">
              <a:solidFill>
                <a:schemeClr val="accent4">
                  <a:lumMod val="80000"/>
                </a:schemeClr>
              </a:solidFill>
              <a:round/>
            </a:ln>
            <a:effectLst/>
          </c:spPr>
          <c:marker>
            <c:symbol val="none"/>
          </c:marker>
          <c:cat>
            <c:strRef>
              <c:f>Conteo_year!$B$1:$M$1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Conteo_year!$B$23:$M$23</c:f>
              <c:numCache>
                <c:formatCode>General</c:formatCode>
                <c:ptCount val="12"/>
                <c:pt idx="0">
                  <c:v>0</c:v>
                </c:pt>
                <c:pt idx="1">
                  <c:v>0</c:v>
                </c:pt>
                <c:pt idx="2">
                  <c:v>0</c:v>
                </c:pt>
                <c:pt idx="3">
                  <c:v>0</c:v>
                </c:pt>
                <c:pt idx="4">
                  <c:v>24</c:v>
                </c:pt>
                <c:pt idx="5">
                  <c:v>73</c:v>
                </c:pt>
                <c:pt idx="6">
                  <c:v>17</c:v>
                </c:pt>
                <c:pt idx="7">
                  <c:v>9</c:v>
                </c:pt>
                <c:pt idx="8">
                  <c:v>0</c:v>
                </c:pt>
                <c:pt idx="9">
                  <c:v>7</c:v>
                </c:pt>
                <c:pt idx="10">
                  <c:v>0</c:v>
                </c:pt>
                <c:pt idx="11">
                  <c:v>1</c:v>
                </c:pt>
              </c:numCache>
            </c:numRef>
          </c:val>
          <c:smooth val="0"/>
          <c:extLst>
            <c:ext xmlns:c16="http://schemas.microsoft.com/office/drawing/2014/chart" uri="{C3380CC4-5D6E-409C-BE32-E72D297353CC}">
              <c16:uniqueId val="{00000015-8D5A-4F51-AAA2-C260810E943A}"/>
            </c:ext>
          </c:extLst>
        </c:ser>
        <c:dLbls>
          <c:showLegendKey val="0"/>
          <c:showVal val="0"/>
          <c:showCatName val="0"/>
          <c:showSerName val="0"/>
          <c:showPercent val="0"/>
          <c:showBubbleSize val="0"/>
        </c:dLbls>
        <c:smooth val="0"/>
        <c:axId val="836807392"/>
        <c:axId val="836798656"/>
      </c:lineChart>
      <c:catAx>
        <c:axId val="83680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36798656"/>
        <c:crosses val="autoZero"/>
        <c:auto val="1"/>
        <c:lblAlgn val="ctr"/>
        <c:lblOffset val="100"/>
        <c:noMultiLvlLbl val="0"/>
      </c:catAx>
      <c:valAx>
        <c:axId val="83679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36807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Conteo_year_regions!$N$1</c:f>
              <c:strCache>
                <c:ptCount val="1"/>
                <c:pt idx="0">
                  <c:v>Total year</c:v>
                </c:pt>
              </c:strCache>
            </c:strRef>
          </c:tx>
          <c:spPr>
            <a:solidFill>
              <a:schemeClr val="accent1"/>
            </a:solidFill>
            <a:ln>
              <a:noFill/>
            </a:ln>
            <a:effectLst/>
          </c:spPr>
          <c:invertIfNegative val="0"/>
          <c:cat>
            <c:numRef>
              <c:f>Conteo_year_regions!$A$2:$A$23</c:f>
              <c:numCache>
                <c:formatCode>General</c:formatCode>
                <c:ptCount val="22"/>
                <c:pt idx="0">
                  <c:v>1987</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numCache>
            </c:numRef>
          </c:cat>
          <c:val>
            <c:numRef>
              <c:f>Conteo_year_regions!$N$2:$N$23</c:f>
              <c:numCache>
                <c:formatCode>General</c:formatCode>
                <c:ptCount val="22"/>
                <c:pt idx="0">
                  <c:v>1</c:v>
                </c:pt>
                <c:pt idx="1">
                  <c:v>1</c:v>
                </c:pt>
                <c:pt idx="2">
                  <c:v>1</c:v>
                </c:pt>
                <c:pt idx="3">
                  <c:v>4</c:v>
                </c:pt>
                <c:pt idx="4">
                  <c:v>0</c:v>
                </c:pt>
                <c:pt idx="5">
                  <c:v>0</c:v>
                </c:pt>
                <c:pt idx="6">
                  <c:v>0</c:v>
                </c:pt>
                <c:pt idx="7">
                  <c:v>4</c:v>
                </c:pt>
                <c:pt idx="8">
                  <c:v>2</c:v>
                </c:pt>
                <c:pt idx="9">
                  <c:v>9</c:v>
                </c:pt>
                <c:pt idx="10">
                  <c:v>1</c:v>
                </c:pt>
                <c:pt idx="11">
                  <c:v>2</c:v>
                </c:pt>
                <c:pt idx="12">
                  <c:v>16</c:v>
                </c:pt>
                <c:pt idx="13">
                  <c:v>6</c:v>
                </c:pt>
                <c:pt idx="14">
                  <c:v>140</c:v>
                </c:pt>
                <c:pt idx="15">
                  <c:v>14</c:v>
                </c:pt>
                <c:pt idx="16">
                  <c:v>77</c:v>
                </c:pt>
                <c:pt idx="17">
                  <c:v>16</c:v>
                </c:pt>
                <c:pt idx="18">
                  <c:v>30</c:v>
                </c:pt>
                <c:pt idx="19">
                  <c:v>14</c:v>
                </c:pt>
                <c:pt idx="20">
                  <c:v>82</c:v>
                </c:pt>
                <c:pt idx="21">
                  <c:v>131</c:v>
                </c:pt>
              </c:numCache>
            </c:numRef>
          </c:val>
          <c:extLst>
            <c:ext xmlns:c16="http://schemas.microsoft.com/office/drawing/2014/chart" uri="{C3380CC4-5D6E-409C-BE32-E72D297353CC}">
              <c16:uniqueId val="{00000000-4274-4753-838E-3B4921B5355F}"/>
            </c:ext>
          </c:extLst>
        </c:ser>
        <c:dLbls>
          <c:showLegendKey val="0"/>
          <c:showVal val="0"/>
          <c:showCatName val="0"/>
          <c:showSerName val="0"/>
          <c:showPercent val="0"/>
          <c:showBubbleSize val="0"/>
        </c:dLbls>
        <c:gapWidth val="219"/>
        <c:overlap val="-27"/>
        <c:axId val="623116559"/>
        <c:axId val="623111983"/>
      </c:barChart>
      <c:catAx>
        <c:axId val="62311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23111983"/>
        <c:crosses val="autoZero"/>
        <c:auto val="1"/>
        <c:lblAlgn val="ctr"/>
        <c:lblOffset val="100"/>
        <c:noMultiLvlLbl val="0"/>
      </c:catAx>
      <c:valAx>
        <c:axId val="62311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ES"/>
          </a:p>
        </c:txPr>
        <c:crossAx val="6231165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Conteo_year_regions!$A$2</c:f>
              <c:strCache>
                <c:ptCount val="1"/>
                <c:pt idx="0">
                  <c:v>1987</c:v>
                </c:pt>
              </c:strCache>
            </c:strRef>
          </c:tx>
          <c:spPr>
            <a:ln w="28575" cap="rnd">
              <a:solidFill>
                <a:schemeClr val="accent1"/>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Conteo_year_regions!$B$2:$M$2</c:f>
              <c:numCache>
                <c:formatCode>General</c:formatCode>
                <c:ptCount val="12"/>
                <c:pt idx="0">
                  <c:v>0</c:v>
                </c:pt>
                <c:pt idx="1">
                  <c:v>0</c:v>
                </c:pt>
                <c:pt idx="2">
                  <c:v>0</c:v>
                </c:pt>
                <c:pt idx="3">
                  <c:v>0</c:v>
                </c:pt>
                <c:pt idx="4">
                  <c:v>0</c:v>
                </c:pt>
                <c:pt idx="5">
                  <c:v>0</c:v>
                </c:pt>
                <c:pt idx="6">
                  <c:v>1</c:v>
                </c:pt>
                <c:pt idx="7">
                  <c:v>0</c:v>
                </c:pt>
                <c:pt idx="8">
                  <c:v>0</c:v>
                </c:pt>
                <c:pt idx="9">
                  <c:v>0</c:v>
                </c:pt>
                <c:pt idx="10">
                  <c:v>0</c:v>
                </c:pt>
                <c:pt idx="11">
                  <c:v>0</c:v>
                </c:pt>
              </c:numCache>
            </c:numRef>
          </c:val>
          <c:smooth val="0"/>
          <c:extLst>
            <c:ext xmlns:c16="http://schemas.microsoft.com/office/drawing/2014/chart" uri="{C3380CC4-5D6E-409C-BE32-E72D297353CC}">
              <c16:uniqueId val="{00000000-3A68-4BE8-9552-A42D14A9139F}"/>
            </c:ext>
          </c:extLst>
        </c:ser>
        <c:ser>
          <c:idx val="1"/>
          <c:order val="1"/>
          <c:tx>
            <c:strRef>
              <c:f>Conteo_year_regions!$A$3</c:f>
              <c:strCache>
                <c:ptCount val="1"/>
                <c:pt idx="0">
                  <c:v>2005</c:v>
                </c:pt>
              </c:strCache>
            </c:strRef>
          </c:tx>
          <c:spPr>
            <a:ln w="28575" cap="rnd">
              <a:solidFill>
                <a:schemeClr val="accent2"/>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Conteo_year_regions!$B$3:$M$3</c:f>
              <c:numCache>
                <c:formatCode>General</c:formatCode>
                <c:ptCount val="12"/>
                <c:pt idx="0">
                  <c:v>0</c:v>
                </c:pt>
                <c:pt idx="1">
                  <c:v>0</c:v>
                </c:pt>
                <c:pt idx="2">
                  <c:v>0</c:v>
                </c:pt>
                <c:pt idx="3">
                  <c:v>0</c:v>
                </c:pt>
                <c:pt idx="4">
                  <c:v>0</c:v>
                </c:pt>
                <c:pt idx="5">
                  <c:v>0</c:v>
                </c:pt>
                <c:pt idx="6">
                  <c:v>0</c:v>
                </c:pt>
                <c:pt idx="7">
                  <c:v>1</c:v>
                </c:pt>
                <c:pt idx="8">
                  <c:v>0</c:v>
                </c:pt>
                <c:pt idx="9">
                  <c:v>0</c:v>
                </c:pt>
                <c:pt idx="10">
                  <c:v>0</c:v>
                </c:pt>
                <c:pt idx="11">
                  <c:v>0</c:v>
                </c:pt>
              </c:numCache>
            </c:numRef>
          </c:val>
          <c:smooth val="0"/>
          <c:extLst>
            <c:ext xmlns:c16="http://schemas.microsoft.com/office/drawing/2014/chart" uri="{C3380CC4-5D6E-409C-BE32-E72D297353CC}">
              <c16:uniqueId val="{00000001-3A68-4BE8-9552-A42D14A9139F}"/>
            </c:ext>
          </c:extLst>
        </c:ser>
        <c:ser>
          <c:idx val="2"/>
          <c:order val="2"/>
          <c:tx>
            <c:strRef>
              <c:f>Conteo_year_regions!$A$4</c:f>
              <c:strCache>
                <c:ptCount val="1"/>
                <c:pt idx="0">
                  <c:v>2006</c:v>
                </c:pt>
              </c:strCache>
            </c:strRef>
          </c:tx>
          <c:spPr>
            <a:ln w="28575" cap="rnd">
              <a:solidFill>
                <a:schemeClr val="accent3"/>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Conteo_year_regions!$B$4:$M$4</c:f>
              <c:numCache>
                <c:formatCode>General</c:formatCode>
                <c:ptCount val="12"/>
                <c:pt idx="0">
                  <c:v>0</c:v>
                </c:pt>
                <c:pt idx="1">
                  <c:v>0</c:v>
                </c:pt>
                <c:pt idx="2">
                  <c:v>0</c:v>
                </c:pt>
                <c:pt idx="3">
                  <c:v>0</c:v>
                </c:pt>
                <c:pt idx="4">
                  <c:v>0</c:v>
                </c:pt>
                <c:pt idx="5">
                  <c:v>0</c:v>
                </c:pt>
                <c:pt idx="6">
                  <c:v>1</c:v>
                </c:pt>
                <c:pt idx="7">
                  <c:v>0</c:v>
                </c:pt>
                <c:pt idx="8">
                  <c:v>0</c:v>
                </c:pt>
                <c:pt idx="9">
                  <c:v>0</c:v>
                </c:pt>
                <c:pt idx="10">
                  <c:v>0</c:v>
                </c:pt>
                <c:pt idx="11">
                  <c:v>0</c:v>
                </c:pt>
              </c:numCache>
            </c:numRef>
          </c:val>
          <c:smooth val="0"/>
          <c:extLst>
            <c:ext xmlns:c16="http://schemas.microsoft.com/office/drawing/2014/chart" uri="{C3380CC4-5D6E-409C-BE32-E72D297353CC}">
              <c16:uniqueId val="{00000002-3A68-4BE8-9552-A42D14A9139F}"/>
            </c:ext>
          </c:extLst>
        </c:ser>
        <c:ser>
          <c:idx val="3"/>
          <c:order val="3"/>
          <c:tx>
            <c:strRef>
              <c:f>Conteo_year_regions!$A$5</c:f>
              <c:strCache>
                <c:ptCount val="1"/>
                <c:pt idx="0">
                  <c:v>2007</c:v>
                </c:pt>
              </c:strCache>
            </c:strRef>
          </c:tx>
          <c:spPr>
            <a:ln w="28575" cap="rnd">
              <a:solidFill>
                <a:schemeClr val="accent4"/>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Conteo_year_regions!$B$5:$M$5</c:f>
              <c:numCache>
                <c:formatCode>General</c:formatCode>
                <c:ptCount val="12"/>
                <c:pt idx="0">
                  <c:v>0</c:v>
                </c:pt>
                <c:pt idx="1">
                  <c:v>0</c:v>
                </c:pt>
                <c:pt idx="2">
                  <c:v>0</c:v>
                </c:pt>
                <c:pt idx="3">
                  <c:v>0</c:v>
                </c:pt>
                <c:pt idx="4">
                  <c:v>0</c:v>
                </c:pt>
                <c:pt idx="5">
                  <c:v>0</c:v>
                </c:pt>
                <c:pt idx="6">
                  <c:v>0</c:v>
                </c:pt>
                <c:pt idx="7">
                  <c:v>1</c:v>
                </c:pt>
                <c:pt idx="8">
                  <c:v>3</c:v>
                </c:pt>
                <c:pt idx="9">
                  <c:v>0</c:v>
                </c:pt>
                <c:pt idx="10">
                  <c:v>0</c:v>
                </c:pt>
                <c:pt idx="11">
                  <c:v>0</c:v>
                </c:pt>
              </c:numCache>
            </c:numRef>
          </c:val>
          <c:smooth val="0"/>
          <c:extLst>
            <c:ext xmlns:c16="http://schemas.microsoft.com/office/drawing/2014/chart" uri="{C3380CC4-5D6E-409C-BE32-E72D297353CC}">
              <c16:uniqueId val="{00000003-3A68-4BE8-9552-A42D14A9139F}"/>
            </c:ext>
          </c:extLst>
        </c:ser>
        <c:ser>
          <c:idx val="4"/>
          <c:order val="4"/>
          <c:tx>
            <c:strRef>
              <c:f>Conteo_year_regions!$A$6</c:f>
              <c:strCache>
                <c:ptCount val="1"/>
                <c:pt idx="0">
                  <c:v>2008</c:v>
                </c:pt>
              </c:strCache>
            </c:strRef>
          </c:tx>
          <c:spPr>
            <a:ln w="28575" cap="rnd">
              <a:solidFill>
                <a:schemeClr val="accent5"/>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3A68-4BE8-9552-A42D14A9139F}"/>
            </c:ext>
          </c:extLst>
        </c:ser>
        <c:ser>
          <c:idx val="5"/>
          <c:order val="5"/>
          <c:tx>
            <c:strRef>
              <c:f>Conteo_year_regions!$A$7</c:f>
              <c:strCache>
                <c:ptCount val="1"/>
                <c:pt idx="0">
                  <c:v>2009</c:v>
                </c:pt>
              </c:strCache>
            </c:strRef>
          </c:tx>
          <c:spPr>
            <a:ln w="28575" cap="rnd">
              <a:solidFill>
                <a:schemeClr val="accent6"/>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5-3A68-4BE8-9552-A42D14A9139F}"/>
            </c:ext>
          </c:extLst>
        </c:ser>
        <c:ser>
          <c:idx val="6"/>
          <c:order val="6"/>
          <c:tx>
            <c:strRef>
              <c:f>Conteo_year_regions!$A$8</c:f>
              <c:strCache>
                <c:ptCount val="1"/>
                <c:pt idx="0">
                  <c:v>2010</c:v>
                </c:pt>
              </c:strCache>
            </c:strRef>
          </c:tx>
          <c:spPr>
            <a:ln w="28575" cap="rnd">
              <a:solidFill>
                <a:schemeClr val="accent1">
                  <a:lumMod val="6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Conteo_year_regions!$B$8:$M$8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6-3A68-4BE8-9552-A42D14A9139F}"/>
            </c:ext>
          </c:extLst>
        </c:ser>
        <c:ser>
          <c:idx val="7"/>
          <c:order val="7"/>
          <c:tx>
            <c:strRef>
              <c:f>Conteo_year_regions!$A$9</c:f>
              <c:strCache>
                <c:ptCount val="1"/>
                <c:pt idx="0">
                  <c:v>2011</c:v>
                </c:pt>
              </c:strCache>
            </c:strRef>
          </c:tx>
          <c:spPr>
            <a:ln w="28575" cap="rnd">
              <a:solidFill>
                <a:schemeClr val="accent2">
                  <a:lumMod val="6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Conteo_year_regions!$B$9:$M$9</c:f>
              <c:numCache>
                <c:formatCode>General</c:formatCode>
                <c:ptCount val="12"/>
                <c:pt idx="0">
                  <c:v>0</c:v>
                </c:pt>
                <c:pt idx="1">
                  <c:v>0</c:v>
                </c:pt>
                <c:pt idx="2">
                  <c:v>0</c:v>
                </c:pt>
                <c:pt idx="3">
                  <c:v>0</c:v>
                </c:pt>
                <c:pt idx="4">
                  <c:v>1</c:v>
                </c:pt>
                <c:pt idx="5">
                  <c:v>0</c:v>
                </c:pt>
                <c:pt idx="6">
                  <c:v>2</c:v>
                </c:pt>
                <c:pt idx="7">
                  <c:v>1</c:v>
                </c:pt>
                <c:pt idx="8">
                  <c:v>0</c:v>
                </c:pt>
                <c:pt idx="9">
                  <c:v>0</c:v>
                </c:pt>
                <c:pt idx="10">
                  <c:v>0</c:v>
                </c:pt>
                <c:pt idx="11">
                  <c:v>0</c:v>
                </c:pt>
              </c:numCache>
            </c:numRef>
          </c:val>
          <c:smooth val="0"/>
          <c:extLst>
            <c:ext xmlns:c16="http://schemas.microsoft.com/office/drawing/2014/chart" uri="{C3380CC4-5D6E-409C-BE32-E72D297353CC}">
              <c16:uniqueId val="{00000007-3A68-4BE8-9552-A42D14A9139F}"/>
            </c:ext>
          </c:extLst>
        </c:ser>
        <c:ser>
          <c:idx val="8"/>
          <c:order val="8"/>
          <c:tx>
            <c:strRef>
              <c:f>Conteo_year_regions!$A$10</c:f>
              <c:strCache>
                <c:ptCount val="1"/>
                <c:pt idx="0">
                  <c:v>2012</c:v>
                </c:pt>
              </c:strCache>
            </c:strRef>
          </c:tx>
          <c:spPr>
            <a:ln w="28575" cap="rnd">
              <a:solidFill>
                <a:schemeClr val="accent3">
                  <a:lumMod val="6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Conteo_year_regions!$B$10:$M$10</c:f>
              <c:numCache>
                <c:formatCode>General</c:formatCode>
                <c:ptCount val="12"/>
                <c:pt idx="0">
                  <c:v>0</c:v>
                </c:pt>
                <c:pt idx="1">
                  <c:v>0</c:v>
                </c:pt>
                <c:pt idx="2">
                  <c:v>0</c:v>
                </c:pt>
                <c:pt idx="3">
                  <c:v>0</c:v>
                </c:pt>
                <c:pt idx="4">
                  <c:v>0</c:v>
                </c:pt>
                <c:pt idx="5">
                  <c:v>0</c:v>
                </c:pt>
                <c:pt idx="6">
                  <c:v>0</c:v>
                </c:pt>
                <c:pt idx="7">
                  <c:v>2</c:v>
                </c:pt>
                <c:pt idx="8">
                  <c:v>0</c:v>
                </c:pt>
                <c:pt idx="9">
                  <c:v>0</c:v>
                </c:pt>
                <c:pt idx="10">
                  <c:v>0</c:v>
                </c:pt>
                <c:pt idx="11">
                  <c:v>0</c:v>
                </c:pt>
              </c:numCache>
            </c:numRef>
          </c:val>
          <c:smooth val="0"/>
          <c:extLst>
            <c:ext xmlns:c16="http://schemas.microsoft.com/office/drawing/2014/chart" uri="{C3380CC4-5D6E-409C-BE32-E72D297353CC}">
              <c16:uniqueId val="{00000008-3A68-4BE8-9552-A42D14A9139F}"/>
            </c:ext>
          </c:extLst>
        </c:ser>
        <c:ser>
          <c:idx val="9"/>
          <c:order val="9"/>
          <c:tx>
            <c:strRef>
              <c:f>Conteo_year_regions!$A$11</c:f>
              <c:strCache>
                <c:ptCount val="1"/>
                <c:pt idx="0">
                  <c:v>2013</c:v>
                </c:pt>
              </c:strCache>
            </c:strRef>
          </c:tx>
          <c:spPr>
            <a:ln w="28575" cap="rnd">
              <a:solidFill>
                <a:schemeClr val="accent4">
                  <a:lumMod val="6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Conteo_year_regions!$B$11:$M$11</c:f>
              <c:numCache>
                <c:formatCode>General</c:formatCode>
                <c:ptCount val="12"/>
                <c:pt idx="0">
                  <c:v>0</c:v>
                </c:pt>
                <c:pt idx="1">
                  <c:v>0</c:v>
                </c:pt>
                <c:pt idx="2">
                  <c:v>0</c:v>
                </c:pt>
                <c:pt idx="3">
                  <c:v>0</c:v>
                </c:pt>
                <c:pt idx="4">
                  <c:v>0</c:v>
                </c:pt>
                <c:pt idx="5">
                  <c:v>0</c:v>
                </c:pt>
                <c:pt idx="6">
                  <c:v>0</c:v>
                </c:pt>
                <c:pt idx="7">
                  <c:v>9</c:v>
                </c:pt>
                <c:pt idx="8">
                  <c:v>0</c:v>
                </c:pt>
                <c:pt idx="9">
                  <c:v>0</c:v>
                </c:pt>
                <c:pt idx="10">
                  <c:v>0</c:v>
                </c:pt>
                <c:pt idx="11">
                  <c:v>0</c:v>
                </c:pt>
              </c:numCache>
            </c:numRef>
          </c:val>
          <c:smooth val="0"/>
          <c:extLst>
            <c:ext xmlns:c16="http://schemas.microsoft.com/office/drawing/2014/chart" uri="{C3380CC4-5D6E-409C-BE32-E72D297353CC}">
              <c16:uniqueId val="{00000009-3A68-4BE8-9552-A42D14A9139F}"/>
            </c:ext>
          </c:extLst>
        </c:ser>
        <c:ser>
          <c:idx val="10"/>
          <c:order val="10"/>
          <c:tx>
            <c:strRef>
              <c:f>Conteo_year_regions!$A$12</c:f>
              <c:strCache>
                <c:ptCount val="1"/>
                <c:pt idx="0">
                  <c:v>2014</c:v>
                </c:pt>
              </c:strCache>
            </c:strRef>
          </c:tx>
          <c:spPr>
            <a:ln w="28575" cap="rnd">
              <a:solidFill>
                <a:schemeClr val="accent5">
                  <a:lumMod val="6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Conteo_year_regions!$B$12:$M$12</c:f>
              <c:numCache>
                <c:formatCode>General</c:formatCode>
                <c:ptCount val="12"/>
                <c:pt idx="0">
                  <c:v>0</c:v>
                </c:pt>
                <c:pt idx="1">
                  <c:v>0</c:v>
                </c:pt>
                <c:pt idx="2">
                  <c:v>0</c:v>
                </c:pt>
                <c:pt idx="3">
                  <c:v>0</c:v>
                </c:pt>
                <c:pt idx="4">
                  <c:v>0</c:v>
                </c:pt>
                <c:pt idx="5">
                  <c:v>0</c:v>
                </c:pt>
                <c:pt idx="6">
                  <c:v>1</c:v>
                </c:pt>
                <c:pt idx="7">
                  <c:v>0</c:v>
                </c:pt>
                <c:pt idx="8">
                  <c:v>0</c:v>
                </c:pt>
                <c:pt idx="9">
                  <c:v>0</c:v>
                </c:pt>
                <c:pt idx="10">
                  <c:v>0</c:v>
                </c:pt>
                <c:pt idx="11">
                  <c:v>0</c:v>
                </c:pt>
              </c:numCache>
            </c:numRef>
          </c:val>
          <c:smooth val="0"/>
          <c:extLst>
            <c:ext xmlns:c16="http://schemas.microsoft.com/office/drawing/2014/chart" uri="{C3380CC4-5D6E-409C-BE32-E72D297353CC}">
              <c16:uniqueId val="{0000000A-3A68-4BE8-9552-A42D14A9139F}"/>
            </c:ext>
          </c:extLst>
        </c:ser>
        <c:ser>
          <c:idx val="11"/>
          <c:order val="11"/>
          <c:tx>
            <c:strRef>
              <c:f>Conteo_year_regions!$A$13</c:f>
              <c:strCache>
                <c:ptCount val="1"/>
                <c:pt idx="0">
                  <c:v>2015</c:v>
                </c:pt>
              </c:strCache>
            </c:strRef>
          </c:tx>
          <c:spPr>
            <a:ln w="28575" cap="rnd">
              <a:solidFill>
                <a:schemeClr val="accent6">
                  <a:lumMod val="6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Conteo_year_regions!$B$13:$M$13</c:f>
              <c:numCache>
                <c:formatCode>General</c:formatCode>
                <c:ptCount val="12"/>
                <c:pt idx="0">
                  <c:v>0</c:v>
                </c:pt>
                <c:pt idx="1">
                  <c:v>0</c:v>
                </c:pt>
                <c:pt idx="2">
                  <c:v>0</c:v>
                </c:pt>
                <c:pt idx="3">
                  <c:v>0</c:v>
                </c:pt>
                <c:pt idx="4">
                  <c:v>1</c:v>
                </c:pt>
                <c:pt idx="5">
                  <c:v>1</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B-3A68-4BE8-9552-A42D14A9139F}"/>
            </c:ext>
          </c:extLst>
        </c:ser>
        <c:ser>
          <c:idx val="12"/>
          <c:order val="12"/>
          <c:tx>
            <c:strRef>
              <c:f>Conteo_year_regions!$A$14</c:f>
              <c:strCache>
                <c:ptCount val="1"/>
                <c:pt idx="0">
                  <c:v>2016</c:v>
                </c:pt>
              </c:strCache>
            </c:strRef>
          </c:tx>
          <c:spPr>
            <a:ln w="28575" cap="rnd">
              <a:solidFill>
                <a:schemeClr val="accent1">
                  <a:lumMod val="80000"/>
                  <a:lumOff val="2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Conteo_year_regions!$B$14:$M$14</c:f>
              <c:numCache>
                <c:formatCode>General</c:formatCode>
                <c:ptCount val="12"/>
                <c:pt idx="0">
                  <c:v>2</c:v>
                </c:pt>
                <c:pt idx="1">
                  <c:v>0</c:v>
                </c:pt>
                <c:pt idx="2">
                  <c:v>0</c:v>
                </c:pt>
                <c:pt idx="3">
                  <c:v>0</c:v>
                </c:pt>
                <c:pt idx="4">
                  <c:v>1</c:v>
                </c:pt>
                <c:pt idx="5">
                  <c:v>0</c:v>
                </c:pt>
                <c:pt idx="6">
                  <c:v>4</c:v>
                </c:pt>
                <c:pt idx="7">
                  <c:v>5</c:v>
                </c:pt>
                <c:pt idx="8">
                  <c:v>4</c:v>
                </c:pt>
                <c:pt idx="9">
                  <c:v>0</c:v>
                </c:pt>
                <c:pt idx="10">
                  <c:v>0</c:v>
                </c:pt>
                <c:pt idx="11">
                  <c:v>0</c:v>
                </c:pt>
              </c:numCache>
            </c:numRef>
          </c:val>
          <c:smooth val="0"/>
          <c:extLst>
            <c:ext xmlns:c16="http://schemas.microsoft.com/office/drawing/2014/chart" uri="{C3380CC4-5D6E-409C-BE32-E72D297353CC}">
              <c16:uniqueId val="{0000000C-3A68-4BE8-9552-A42D14A9139F}"/>
            </c:ext>
          </c:extLst>
        </c:ser>
        <c:ser>
          <c:idx val="13"/>
          <c:order val="13"/>
          <c:tx>
            <c:strRef>
              <c:f>Conteo_year_regions!$A$15</c:f>
              <c:strCache>
                <c:ptCount val="1"/>
                <c:pt idx="0">
                  <c:v>2017</c:v>
                </c:pt>
              </c:strCache>
            </c:strRef>
          </c:tx>
          <c:spPr>
            <a:ln w="28575" cap="rnd">
              <a:solidFill>
                <a:schemeClr val="accent2">
                  <a:lumMod val="80000"/>
                  <a:lumOff val="2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Conteo_year_regions!$B$15:$M$15</c:f>
              <c:numCache>
                <c:formatCode>General</c:formatCode>
                <c:ptCount val="12"/>
                <c:pt idx="0">
                  <c:v>0</c:v>
                </c:pt>
                <c:pt idx="1">
                  <c:v>0</c:v>
                </c:pt>
                <c:pt idx="2">
                  <c:v>0</c:v>
                </c:pt>
                <c:pt idx="3">
                  <c:v>0</c:v>
                </c:pt>
                <c:pt idx="4">
                  <c:v>0</c:v>
                </c:pt>
                <c:pt idx="5">
                  <c:v>1</c:v>
                </c:pt>
                <c:pt idx="6">
                  <c:v>1</c:v>
                </c:pt>
                <c:pt idx="7">
                  <c:v>4</c:v>
                </c:pt>
                <c:pt idx="8">
                  <c:v>0</c:v>
                </c:pt>
                <c:pt idx="9">
                  <c:v>0</c:v>
                </c:pt>
                <c:pt idx="10">
                  <c:v>0</c:v>
                </c:pt>
                <c:pt idx="11">
                  <c:v>0</c:v>
                </c:pt>
              </c:numCache>
            </c:numRef>
          </c:val>
          <c:smooth val="0"/>
          <c:extLst>
            <c:ext xmlns:c16="http://schemas.microsoft.com/office/drawing/2014/chart" uri="{C3380CC4-5D6E-409C-BE32-E72D297353CC}">
              <c16:uniqueId val="{0000000D-3A68-4BE8-9552-A42D14A9139F}"/>
            </c:ext>
          </c:extLst>
        </c:ser>
        <c:ser>
          <c:idx val="14"/>
          <c:order val="14"/>
          <c:tx>
            <c:strRef>
              <c:f>Conteo_year_regions!$A$16</c:f>
              <c:strCache>
                <c:ptCount val="1"/>
                <c:pt idx="0">
                  <c:v>2018</c:v>
                </c:pt>
              </c:strCache>
            </c:strRef>
          </c:tx>
          <c:spPr>
            <a:ln w="28575" cap="rnd">
              <a:solidFill>
                <a:schemeClr val="accent3">
                  <a:lumMod val="80000"/>
                  <a:lumOff val="2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Conteo_year_regions!$B$16:$M$16</c:f>
              <c:numCache>
                <c:formatCode>General</c:formatCode>
                <c:ptCount val="12"/>
                <c:pt idx="0">
                  <c:v>0</c:v>
                </c:pt>
                <c:pt idx="1">
                  <c:v>0</c:v>
                </c:pt>
                <c:pt idx="2">
                  <c:v>0</c:v>
                </c:pt>
                <c:pt idx="3">
                  <c:v>22</c:v>
                </c:pt>
                <c:pt idx="4">
                  <c:v>10</c:v>
                </c:pt>
                <c:pt idx="5">
                  <c:v>1</c:v>
                </c:pt>
                <c:pt idx="6">
                  <c:v>12</c:v>
                </c:pt>
                <c:pt idx="7">
                  <c:v>71</c:v>
                </c:pt>
                <c:pt idx="8">
                  <c:v>5</c:v>
                </c:pt>
                <c:pt idx="9">
                  <c:v>0</c:v>
                </c:pt>
                <c:pt idx="10">
                  <c:v>19</c:v>
                </c:pt>
                <c:pt idx="11">
                  <c:v>0</c:v>
                </c:pt>
              </c:numCache>
            </c:numRef>
          </c:val>
          <c:smooth val="0"/>
          <c:extLst>
            <c:ext xmlns:c16="http://schemas.microsoft.com/office/drawing/2014/chart" uri="{C3380CC4-5D6E-409C-BE32-E72D297353CC}">
              <c16:uniqueId val="{0000000E-3A68-4BE8-9552-A42D14A9139F}"/>
            </c:ext>
          </c:extLst>
        </c:ser>
        <c:ser>
          <c:idx val="15"/>
          <c:order val="15"/>
          <c:tx>
            <c:strRef>
              <c:f>Conteo_year_regions!$A$17</c:f>
              <c:strCache>
                <c:ptCount val="1"/>
                <c:pt idx="0">
                  <c:v>2019</c:v>
                </c:pt>
              </c:strCache>
            </c:strRef>
          </c:tx>
          <c:spPr>
            <a:ln w="28575" cap="rnd">
              <a:solidFill>
                <a:schemeClr val="accent4">
                  <a:lumMod val="80000"/>
                  <a:lumOff val="2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Conteo_year_regions!$B$17:$M$17</c:f>
              <c:numCache>
                <c:formatCode>General</c:formatCode>
                <c:ptCount val="12"/>
                <c:pt idx="0">
                  <c:v>1</c:v>
                </c:pt>
                <c:pt idx="1">
                  <c:v>0</c:v>
                </c:pt>
                <c:pt idx="2">
                  <c:v>0</c:v>
                </c:pt>
                <c:pt idx="3">
                  <c:v>0</c:v>
                </c:pt>
                <c:pt idx="4">
                  <c:v>0</c:v>
                </c:pt>
                <c:pt idx="5">
                  <c:v>1</c:v>
                </c:pt>
                <c:pt idx="6">
                  <c:v>4</c:v>
                </c:pt>
                <c:pt idx="7">
                  <c:v>8</c:v>
                </c:pt>
                <c:pt idx="8">
                  <c:v>0</c:v>
                </c:pt>
                <c:pt idx="9">
                  <c:v>0</c:v>
                </c:pt>
                <c:pt idx="10">
                  <c:v>0</c:v>
                </c:pt>
                <c:pt idx="11">
                  <c:v>0</c:v>
                </c:pt>
              </c:numCache>
            </c:numRef>
          </c:val>
          <c:smooth val="0"/>
          <c:extLst>
            <c:ext xmlns:c16="http://schemas.microsoft.com/office/drawing/2014/chart" uri="{C3380CC4-5D6E-409C-BE32-E72D297353CC}">
              <c16:uniqueId val="{0000000F-3A68-4BE8-9552-A42D14A9139F}"/>
            </c:ext>
          </c:extLst>
        </c:ser>
        <c:ser>
          <c:idx val="16"/>
          <c:order val="16"/>
          <c:tx>
            <c:strRef>
              <c:f>Conteo_year_regions!$A$18</c:f>
              <c:strCache>
                <c:ptCount val="1"/>
                <c:pt idx="0">
                  <c:v>2020</c:v>
                </c:pt>
              </c:strCache>
            </c:strRef>
          </c:tx>
          <c:spPr>
            <a:ln w="28575" cap="rnd">
              <a:solidFill>
                <a:schemeClr val="accent5">
                  <a:lumMod val="80000"/>
                  <a:lumOff val="2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Conteo_year_regions!$B$18:$M$18</c:f>
              <c:numCache>
                <c:formatCode>General</c:formatCode>
                <c:ptCount val="12"/>
                <c:pt idx="0">
                  <c:v>0</c:v>
                </c:pt>
                <c:pt idx="1">
                  <c:v>0</c:v>
                </c:pt>
                <c:pt idx="2">
                  <c:v>0</c:v>
                </c:pt>
                <c:pt idx="3">
                  <c:v>1</c:v>
                </c:pt>
                <c:pt idx="4">
                  <c:v>1</c:v>
                </c:pt>
                <c:pt idx="5">
                  <c:v>21</c:v>
                </c:pt>
                <c:pt idx="6">
                  <c:v>44</c:v>
                </c:pt>
                <c:pt idx="7">
                  <c:v>6</c:v>
                </c:pt>
                <c:pt idx="8">
                  <c:v>3</c:v>
                </c:pt>
                <c:pt idx="9">
                  <c:v>0</c:v>
                </c:pt>
                <c:pt idx="10">
                  <c:v>0</c:v>
                </c:pt>
                <c:pt idx="11">
                  <c:v>1</c:v>
                </c:pt>
              </c:numCache>
            </c:numRef>
          </c:val>
          <c:smooth val="0"/>
          <c:extLst>
            <c:ext xmlns:c16="http://schemas.microsoft.com/office/drawing/2014/chart" uri="{C3380CC4-5D6E-409C-BE32-E72D297353CC}">
              <c16:uniqueId val="{00000010-3A68-4BE8-9552-A42D14A9139F}"/>
            </c:ext>
          </c:extLst>
        </c:ser>
        <c:ser>
          <c:idx val="17"/>
          <c:order val="17"/>
          <c:tx>
            <c:strRef>
              <c:f>Conteo_year_regions!$A$19</c:f>
              <c:strCache>
                <c:ptCount val="1"/>
                <c:pt idx="0">
                  <c:v>2021</c:v>
                </c:pt>
              </c:strCache>
            </c:strRef>
          </c:tx>
          <c:spPr>
            <a:ln w="28575" cap="rnd">
              <a:solidFill>
                <a:schemeClr val="accent6">
                  <a:lumMod val="80000"/>
                  <a:lumOff val="2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Conteo_year_regions!$B$19:$M$19</c:f>
              <c:numCache>
                <c:formatCode>General</c:formatCode>
                <c:ptCount val="12"/>
                <c:pt idx="0">
                  <c:v>0</c:v>
                </c:pt>
                <c:pt idx="1">
                  <c:v>0</c:v>
                </c:pt>
                <c:pt idx="2">
                  <c:v>0</c:v>
                </c:pt>
                <c:pt idx="3">
                  <c:v>0</c:v>
                </c:pt>
                <c:pt idx="4">
                  <c:v>0</c:v>
                </c:pt>
                <c:pt idx="5">
                  <c:v>7</c:v>
                </c:pt>
                <c:pt idx="6">
                  <c:v>7</c:v>
                </c:pt>
                <c:pt idx="7">
                  <c:v>1</c:v>
                </c:pt>
                <c:pt idx="8">
                  <c:v>0</c:v>
                </c:pt>
                <c:pt idx="9">
                  <c:v>1</c:v>
                </c:pt>
                <c:pt idx="10">
                  <c:v>0</c:v>
                </c:pt>
                <c:pt idx="11">
                  <c:v>0</c:v>
                </c:pt>
              </c:numCache>
            </c:numRef>
          </c:val>
          <c:smooth val="0"/>
          <c:extLst>
            <c:ext xmlns:c16="http://schemas.microsoft.com/office/drawing/2014/chart" uri="{C3380CC4-5D6E-409C-BE32-E72D297353CC}">
              <c16:uniqueId val="{00000011-3A68-4BE8-9552-A42D14A9139F}"/>
            </c:ext>
          </c:extLst>
        </c:ser>
        <c:ser>
          <c:idx val="18"/>
          <c:order val="18"/>
          <c:tx>
            <c:strRef>
              <c:f>Conteo_year_regions!$A$20</c:f>
              <c:strCache>
                <c:ptCount val="1"/>
                <c:pt idx="0">
                  <c:v>2022</c:v>
                </c:pt>
              </c:strCache>
            </c:strRef>
          </c:tx>
          <c:spPr>
            <a:ln w="28575" cap="rnd">
              <a:solidFill>
                <a:schemeClr val="accent1">
                  <a:lumMod val="8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Conteo_year_regions!$B$20:$M$20</c:f>
              <c:numCache>
                <c:formatCode>General</c:formatCode>
                <c:ptCount val="12"/>
                <c:pt idx="0">
                  <c:v>0</c:v>
                </c:pt>
                <c:pt idx="1">
                  <c:v>0</c:v>
                </c:pt>
                <c:pt idx="2">
                  <c:v>1</c:v>
                </c:pt>
                <c:pt idx="3">
                  <c:v>0</c:v>
                </c:pt>
                <c:pt idx="4">
                  <c:v>0</c:v>
                </c:pt>
                <c:pt idx="5">
                  <c:v>0</c:v>
                </c:pt>
                <c:pt idx="6">
                  <c:v>12</c:v>
                </c:pt>
                <c:pt idx="7">
                  <c:v>14</c:v>
                </c:pt>
                <c:pt idx="8">
                  <c:v>1</c:v>
                </c:pt>
                <c:pt idx="9">
                  <c:v>0</c:v>
                </c:pt>
                <c:pt idx="10">
                  <c:v>1</c:v>
                </c:pt>
                <c:pt idx="11">
                  <c:v>1</c:v>
                </c:pt>
              </c:numCache>
            </c:numRef>
          </c:val>
          <c:smooth val="0"/>
          <c:extLst>
            <c:ext xmlns:c16="http://schemas.microsoft.com/office/drawing/2014/chart" uri="{C3380CC4-5D6E-409C-BE32-E72D297353CC}">
              <c16:uniqueId val="{00000012-3A68-4BE8-9552-A42D14A9139F}"/>
            </c:ext>
          </c:extLst>
        </c:ser>
        <c:ser>
          <c:idx val="19"/>
          <c:order val="19"/>
          <c:tx>
            <c:strRef>
              <c:f>Conteo_year_regions!$A$21</c:f>
              <c:strCache>
                <c:ptCount val="1"/>
                <c:pt idx="0">
                  <c:v>2023</c:v>
                </c:pt>
              </c:strCache>
            </c:strRef>
          </c:tx>
          <c:spPr>
            <a:ln w="28575" cap="rnd">
              <a:solidFill>
                <a:schemeClr val="accent2">
                  <a:lumMod val="8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Conteo_year_regions!$B$21:$M$21</c:f>
              <c:numCache>
                <c:formatCode>General</c:formatCode>
                <c:ptCount val="12"/>
                <c:pt idx="0">
                  <c:v>0</c:v>
                </c:pt>
                <c:pt idx="1">
                  <c:v>0</c:v>
                </c:pt>
                <c:pt idx="2">
                  <c:v>0</c:v>
                </c:pt>
                <c:pt idx="3">
                  <c:v>0</c:v>
                </c:pt>
                <c:pt idx="4">
                  <c:v>0</c:v>
                </c:pt>
                <c:pt idx="5">
                  <c:v>0</c:v>
                </c:pt>
                <c:pt idx="6">
                  <c:v>4</c:v>
                </c:pt>
                <c:pt idx="7">
                  <c:v>8</c:v>
                </c:pt>
                <c:pt idx="8">
                  <c:v>1</c:v>
                </c:pt>
                <c:pt idx="9">
                  <c:v>1</c:v>
                </c:pt>
                <c:pt idx="10">
                  <c:v>0</c:v>
                </c:pt>
                <c:pt idx="11">
                  <c:v>0</c:v>
                </c:pt>
              </c:numCache>
            </c:numRef>
          </c:val>
          <c:smooth val="0"/>
          <c:extLst>
            <c:ext xmlns:c16="http://schemas.microsoft.com/office/drawing/2014/chart" uri="{C3380CC4-5D6E-409C-BE32-E72D297353CC}">
              <c16:uniqueId val="{00000013-3A68-4BE8-9552-A42D14A9139F}"/>
            </c:ext>
          </c:extLst>
        </c:ser>
        <c:ser>
          <c:idx val="20"/>
          <c:order val="20"/>
          <c:tx>
            <c:strRef>
              <c:f>Conteo_year_regions!$A$22</c:f>
              <c:strCache>
                <c:ptCount val="1"/>
                <c:pt idx="0">
                  <c:v>2024</c:v>
                </c:pt>
              </c:strCache>
            </c:strRef>
          </c:tx>
          <c:spPr>
            <a:ln w="28575" cap="rnd">
              <a:solidFill>
                <a:schemeClr val="accent3">
                  <a:lumMod val="8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Conteo_year_regions!$B$22:$M$22</c:f>
              <c:numCache>
                <c:formatCode>General</c:formatCode>
                <c:ptCount val="12"/>
                <c:pt idx="0">
                  <c:v>0</c:v>
                </c:pt>
                <c:pt idx="1">
                  <c:v>0</c:v>
                </c:pt>
                <c:pt idx="2">
                  <c:v>0</c:v>
                </c:pt>
                <c:pt idx="3">
                  <c:v>2</c:v>
                </c:pt>
                <c:pt idx="4">
                  <c:v>2</c:v>
                </c:pt>
                <c:pt idx="5">
                  <c:v>4</c:v>
                </c:pt>
                <c:pt idx="6">
                  <c:v>40</c:v>
                </c:pt>
                <c:pt idx="7">
                  <c:v>28</c:v>
                </c:pt>
                <c:pt idx="8">
                  <c:v>4</c:v>
                </c:pt>
                <c:pt idx="9">
                  <c:v>1</c:v>
                </c:pt>
                <c:pt idx="10">
                  <c:v>0</c:v>
                </c:pt>
                <c:pt idx="11">
                  <c:v>1</c:v>
                </c:pt>
              </c:numCache>
            </c:numRef>
          </c:val>
          <c:smooth val="0"/>
          <c:extLst>
            <c:ext xmlns:c16="http://schemas.microsoft.com/office/drawing/2014/chart" uri="{C3380CC4-5D6E-409C-BE32-E72D297353CC}">
              <c16:uniqueId val="{00000014-3A68-4BE8-9552-A42D14A9139F}"/>
            </c:ext>
          </c:extLst>
        </c:ser>
        <c:ser>
          <c:idx val="21"/>
          <c:order val="21"/>
          <c:tx>
            <c:strRef>
              <c:f>Conteo_year_regions!$A$23</c:f>
              <c:strCache>
                <c:ptCount val="1"/>
                <c:pt idx="0">
                  <c:v>2025</c:v>
                </c:pt>
              </c:strCache>
            </c:strRef>
          </c:tx>
          <c:spPr>
            <a:ln w="28575" cap="rnd">
              <a:solidFill>
                <a:schemeClr val="accent4">
                  <a:lumMod val="80000"/>
                </a:schemeClr>
              </a:solidFill>
              <a:round/>
            </a:ln>
            <a:effectLst/>
          </c:spPr>
          <c:marker>
            <c:symbol val="none"/>
          </c:marker>
          <c:cat>
            <c:strRef>
              <c:f>Conteo_year_regions!$B$1:$M$1</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Conteo_year_regions!$B$23:$M$23</c:f>
              <c:numCache>
                <c:formatCode>General</c:formatCode>
                <c:ptCount val="12"/>
                <c:pt idx="0">
                  <c:v>0</c:v>
                </c:pt>
                <c:pt idx="1">
                  <c:v>0</c:v>
                </c:pt>
                <c:pt idx="2">
                  <c:v>0</c:v>
                </c:pt>
                <c:pt idx="3">
                  <c:v>0</c:v>
                </c:pt>
                <c:pt idx="4">
                  <c:v>24</c:v>
                </c:pt>
                <c:pt idx="5">
                  <c:v>73</c:v>
                </c:pt>
                <c:pt idx="6">
                  <c:v>17</c:v>
                </c:pt>
                <c:pt idx="7">
                  <c:v>9</c:v>
                </c:pt>
                <c:pt idx="8">
                  <c:v>0</c:v>
                </c:pt>
                <c:pt idx="9">
                  <c:v>7</c:v>
                </c:pt>
                <c:pt idx="10">
                  <c:v>0</c:v>
                </c:pt>
                <c:pt idx="11">
                  <c:v>1</c:v>
                </c:pt>
              </c:numCache>
            </c:numRef>
          </c:val>
          <c:smooth val="0"/>
          <c:extLst>
            <c:ext xmlns:c16="http://schemas.microsoft.com/office/drawing/2014/chart" uri="{C3380CC4-5D6E-409C-BE32-E72D297353CC}">
              <c16:uniqueId val="{00000015-3A68-4BE8-9552-A42D14A9139F}"/>
            </c:ext>
          </c:extLst>
        </c:ser>
        <c:dLbls>
          <c:showLegendKey val="0"/>
          <c:showVal val="0"/>
          <c:showCatName val="0"/>
          <c:showSerName val="0"/>
          <c:showPercent val="0"/>
          <c:showBubbleSize val="0"/>
        </c:dLbls>
        <c:smooth val="0"/>
        <c:axId val="836807392"/>
        <c:axId val="836798656"/>
      </c:lineChart>
      <c:catAx>
        <c:axId val="83680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36798656"/>
        <c:crosses val="autoZero"/>
        <c:auto val="1"/>
        <c:lblAlgn val="ctr"/>
        <c:lblOffset val="100"/>
        <c:noMultiLvlLbl val="0"/>
      </c:catAx>
      <c:valAx>
        <c:axId val="83679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36807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9523</xdr:colOff>
      <xdr:row>3</xdr:row>
      <xdr:rowOff>171450</xdr:rowOff>
    </xdr:from>
    <xdr:to>
      <xdr:col>7</xdr:col>
      <xdr:colOff>363043</xdr:colOff>
      <xdr:row>9</xdr:row>
      <xdr:rowOff>59055</xdr:rowOff>
    </xdr:to>
    <xdr:sp macro="" textlink="">
      <xdr:nvSpPr>
        <xdr:cNvPr id="2" name="Rectángulo 1">
          <a:extLst>
            <a:ext uri="{FF2B5EF4-FFF2-40B4-BE49-F238E27FC236}">
              <a16:creationId xmlns:a16="http://schemas.microsoft.com/office/drawing/2014/main" id="{53299A4B-D44F-B3B2-9186-FDBD3DA698C5}"/>
            </a:ext>
          </a:extLst>
        </xdr:cNvPr>
        <xdr:cNvSpPr/>
      </xdr:nvSpPr>
      <xdr:spPr>
        <a:xfrm>
          <a:off x="802003" y="948690"/>
          <a:ext cx="5108400" cy="9848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200" b="1"/>
            <a:t>Datos biológicos:</a:t>
          </a:r>
        </a:p>
        <a:p>
          <a:pPr algn="l"/>
          <a:endParaRPr lang="es-ES" sz="1200"/>
        </a:p>
        <a:p>
          <a:pPr algn="l"/>
          <a:r>
            <a:rPr lang="es-ES" sz="1200"/>
            <a:t>Quizás estado corporal</a:t>
          </a:r>
          <a:r>
            <a:rPr lang="es-ES" sz="1200" baseline="0"/>
            <a:t> general (bueno, degaldo, descompuesto etc) solo si vale la pena y es posible...</a:t>
          </a:r>
          <a:endParaRPr lang="es-ES" sz="1200"/>
        </a:p>
      </xdr:txBody>
    </xdr:sp>
    <xdr:clientData/>
  </xdr:twoCellAnchor>
  <xdr:twoCellAnchor>
    <xdr:from>
      <xdr:col>0</xdr:col>
      <xdr:colOff>788670</xdr:colOff>
      <xdr:row>9</xdr:row>
      <xdr:rowOff>171447</xdr:rowOff>
    </xdr:from>
    <xdr:to>
      <xdr:col>7</xdr:col>
      <xdr:colOff>352425</xdr:colOff>
      <xdr:row>35</xdr:row>
      <xdr:rowOff>178837</xdr:rowOff>
    </xdr:to>
    <xdr:sp macro="" textlink="">
      <xdr:nvSpPr>
        <xdr:cNvPr id="3" name="Rectángulo 2">
          <a:extLst>
            <a:ext uri="{FF2B5EF4-FFF2-40B4-BE49-F238E27FC236}">
              <a16:creationId xmlns:a16="http://schemas.microsoft.com/office/drawing/2014/main" id="{DA80F49B-B9C2-43CF-9D94-037FFDE0003E}"/>
            </a:ext>
          </a:extLst>
        </xdr:cNvPr>
        <xdr:cNvSpPr/>
      </xdr:nvSpPr>
      <xdr:spPr>
        <a:xfrm>
          <a:off x="788670" y="1863087"/>
          <a:ext cx="5111115" cy="476227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200" b="1"/>
            <a:t>Datos sobre heridas:</a:t>
          </a:r>
        </a:p>
        <a:p>
          <a:pPr algn="l"/>
          <a:endParaRPr lang="es-ES" sz="1200"/>
        </a:p>
        <a:p>
          <a:pPr algn="l"/>
          <a:r>
            <a:rPr lang="es-ES" sz="1200" i="1"/>
            <a:t>Quizás sería interesante</a:t>
          </a:r>
          <a:r>
            <a:rPr lang="es-ES" sz="1200" i="1" baseline="0"/>
            <a:t> definir tipos de heridas (si es posible claro...)</a:t>
          </a:r>
        </a:p>
        <a:p>
          <a:pPr algn="l"/>
          <a:r>
            <a:rPr lang="es-ES" sz="1200" b="0" i="0" u="none" strike="noStrike">
              <a:solidFill>
                <a:schemeClr val="lt1"/>
              </a:solidFill>
              <a:effectLst/>
              <a:latin typeface="+mn-lt"/>
              <a:ea typeface="+mn-ea"/>
              <a:cs typeface="+mn-cs"/>
            </a:rPr>
            <a:t>Corte limpio (por línea o red)</a:t>
          </a:r>
          <a:r>
            <a:rPr lang="es-ES" sz="1200"/>
            <a:t> </a:t>
          </a:r>
        </a:p>
        <a:p>
          <a:pPr algn="l"/>
          <a:r>
            <a:rPr lang="es-ES" sz="1200" b="0" i="0" u="none" strike="noStrike">
              <a:solidFill>
                <a:schemeClr val="lt1"/>
              </a:solidFill>
              <a:effectLst/>
              <a:latin typeface="+mn-lt"/>
              <a:ea typeface="+mn-ea"/>
              <a:cs typeface="+mn-cs"/>
            </a:rPr>
            <a:t>Mordedura (por depredador o "cónyugue")</a:t>
          </a:r>
        </a:p>
        <a:p>
          <a:pPr algn="l"/>
          <a:r>
            <a:rPr lang="es-ES" sz="1200" b="0" i="0" u="none" strike="noStrike">
              <a:solidFill>
                <a:schemeClr val="lt1"/>
              </a:solidFill>
              <a:effectLst/>
              <a:latin typeface="+mn-lt"/>
              <a:ea typeface="+mn-ea"/>
              <a:cs typeface="+mn-cs"/>
            </a:rPr>
            <a:t>Abrasión o roce (por interacción</a:t>
          </a:r>
          <a:r>
            <a:rPr lang="es-ES" sz="1200" b="0" i="0" u="none" strike="noStrike" baseline="0">
              <a:solidFill>
                <a:schemeClr val="lt1"/>
              </a:solidFill>
              <a:effectLst/>
              <a:latin typeface="+mn-lt"/>
              <a:ea typeface="+mn-ea"/>
              <a:cs typeface="+mn-cs"/>
            </a:rPr>
            <a:t> pesquera</a:t>
          </a:r>
          <a:r>
            <a:rPr lang="es-ES" sz="1200" b="0" i="0" u="none" strike="noStrike">
              <a:solidFill>
                <a:schemeClr val="lt1"/>
              </a:solidFill>
              <a:effectLst/>
              <a:latin typeface="+mn-lt"/>
              <a:ea typeface="+mn-ea"/>
              <a:cs typeface="+mn-cs"/>
            </a:rPr>
            <a:t> o sustrato)</a:t>
          </a:r>
          <a:r>
            <a:rPr lang="es-ES" sz="1200"/>
            <a:t> </a:t>
          </a:r>
        </a:p>
        <a:p>
          <a:pPr algn="l"/>
          <a:r>
            <a:rPr lang="es-ES" sz="1200" b="0" i="0" u="none" strike="noStrike">
              <a:solidFill>
                <a:schemeClr val="lt1"/>
              </a:solidFill>
              <a:effectLst/>
              <a:latin typeface="+mn-lt"/>
              <a:ea typeface="+mn-ea"/>
              <a:cs typeface="+mn-cs"/>
            </a:rPr>
            <a:t>Puntura (anzuelo</a:t>
          </a:r>
          <a:r>
            <a:rPr lang="es-ES" sz="1200" b="0" i="0" u="none" strike="noStrike" baseline="0">
              <a:solidFill>
                <a:schemeClr val="lt1"/>
              </a:solidFill>
              <a:effectLst/>
              <a:latin typeface="+mn-lt"/>
              <a:ea typeface="+mn-ea"/>
              <a:cs typeface="+mn-cs"/>
            </a:rPr>
            <a:t> o</a:t>
          </a:r>
          <a:r>
            <a:rPr lang="es-ES" sz="1200" b="0" i="0" u="none" strike="noStrike">
              <a:solidFill>
                <a:schemeClr val="lt1"/>
              </a:solidFill>
              <a:effectLst/>
              <a:latin typeface="+mn-lt"/>
              <a:ea typeface="+mn-ea"/>
              <a:cs typeface="+mn-cs"/>
            </a:rPr>
            <a:t> arpón)</a:t>
          </a:r>
          <a:r>
            <a:rPr lang="es-ES" sz="1200"/>
            <a:t> </a:t>
          </a:r>
        </a:p>
        <a:p>
          <a:pPr algn="l"/>
          <a:r>
            <a:rPr lang="es-ES" sz="1200" b="0" i="0" u="none" strike="noStrike">
              <a:solidFill>
                <a:schemeClr val="lt1"/>
              </a:solidFill>
              <a:effectLst/>
              <a:latin typeface="+mn-lt"/>
              <a:ea typeface="+mn-ea"/>
              <a:cs typeface="+mn-cs"/>
            </a:rPr>
            <a:t>Desgarro o pérdida de tejido</a:t>
          </a:r>
          <a:r>
            <a:rPr lang="es-ES" sz="1200"/>
            <a:t> (por X motivo)</a:t>
          </a:r>
        </a:p>
        <a:p>
          <a:pPr algn="l"/>
          <a:endParaRPr lang="es-ES" sz="1200" b="0" i="0" u="none" strike="noStrike">
            <a:solidFill>
              <a:schemeClr val="lt1"/>
            </a:solidFill>
            <a:effectLst/>
            <a:latin typeface="+mn-lt"/>
            <a:ea typeface="+mn-ea"/>
            <a:cs typeface="+mn-cs"/>
          </a:endParaRPr>
        </a:p>
        <a:p>
          <a:pPr algn="l"/>
          <a:r>
            <a:rPr lang="es-ES" sz="1200" b="0" i="1" u="none" strike="noStrike">
              <a:solidFill>
                <a:schemeClr val="lt1"/>
              </a:solidFill>
              <a:effectLst/>
              <a:latin typeface="+mn-lt"/>
              <a:ea typeface="+mn-ea"/>
              <a:cs typeface="+mn-cs"/>
            </a:rPr>
            <a:t>Profundidad o severidad</a:t>
          </a:r>
          <a:r>
            <a:rPr lang="es-ES" sz="1200" i="1"/>
            <a:t> </a:t>
          </a:r>
        </a:p>
        <a:p>
          <a:pPr algn="l"/>
          <a:r>
            <a:rPr lang="es-ES" sz="1200" b="0" i="0" u="none" strike="noStrike">
              <a:solidFill>
                <a:schemeClr val="lt1"/>
              </a:solidFill>
              <a:effectLst/>
              <a:latin typeface="+mn-lt"/>
              <a:ea typeface="+mn-ea"/>
              <a:cs typeface="+mn-cs"/>
            </a:rPr>
            <a:t>Superficial / moderada / profunda</a:t>
          </a:r>
          <a:r>
            <a:rPr lang="es-ES" sz="1200"/>
            <a:t> </a:t>
          </a:r>
        </a:p>
        <a:p>
          <a:pPr algn="l"/>
          <a:r>
            <a:rPr lang="es-ES" sz="1200" b="0" i="0" u="none" strike="noStrike">
              <a:solidFill>
                <a:schemeClr val="lt1"/>
              </a:solidFill>
              <a:effectLst/>
              <a:latin typeface="+mn-lt"/>
              <a:ea typeface="+mn-ea"/>
              <a:cs typeface="+mn-cs"/>
            </a:rPr>
            <a:t>Escala de por</a:t>
          </a:r>
          <a:r>
            <a:rPr lang="es-ES" sz="1200" b="0" i="0" u="none" strike="noStrike" baseline="0">
              <a:solidFill>
                <a:schemeClr val="lt1"/>
              </a:solidFill>
              <a:effectLst/>
              <a:latin typeface="+mn-lt"/>
              <a:ea typeface="+mn-ea"/>
              <a:cs typeface="+mn-cs"/>
            </a:rPr>
            <a:t> ejemplo 1 a 4 (1 si está muerta y 4 en perfectas condiciones)</a:t>
          </a:r>
          <a:endParaRPr lang="es-ES" sz="1200"/>
        </a:p>
        <a:p>
          <a:pPr algn="l"/>
          <a:endParaRPr lang="es-ES" sz="1200" b="0" i="0" u="none" strike="noStrike">
            <a:solidFill>
              <a:schemeClr val="lt1"/>
            </a:solidFill>
            <a:effectLst/>
            <a:latin typeface="+mn-lt"/>
            <a:ea typeface="+mn-ea"/>
            <a:cs typeface="+mn-cs"/>
          </a:endParaRPr>
        </a:p>
        <a:p>
          <a:pPr algn="l"/>
          <a:r>
            <a:rPr lang="es-ES" sz="1200" b="0" i="1" u="none" strike="noStrike">
              <a:solidFill>
                <a:schemeClr val="lt1"/>
              </a:solidFill>
              <a:effectLst/>
              <a:latin typeface="+mn-lt"/>
              <a:ea typeface="+mn-ea"/>
              <a:cs typeface="+mn-cs"/>
            </a:rPr>
            <a:t>Estado de cicatrización</a:t>
          </a:r>
          <a:r>
            <a:rPr lang="es-ES" sz="1200" i="1"/>
            <a:t> </a:t>
          </a:r>
        </a:p>
        <a:p>
          <a:pPr algn="l"/>
          <a:r>
            <a:rPr lang="es-ES" sz="1200" b="0" i="0" u="none" strike="noStrike">
              <a:solidFill>
                <a:schemeClr val="lt1"/>
              </a:solidFill>
              <a:effectLst/>
              <a:latin typeface="+mn-lt"/>
              <a:ea typeface="+mn-ea"/>
              <a:cs typeface="+mn-cs"/>
            </a:rPr>
            <a:t>Reciente / en proceso / cicatriz "vieja"</a:t>
          </a:r>
          <a:r>
            <a:rPr lang="es-ES" sz="1200"/>
            <a:t> </a:t>
          </a:r>
        </a:p>
        <a:p>
          <a:pPr algn="l"/>
          <a:endParaRPr lang="es-ES" sz="1200" b="0" i="0" u="none" strike="noStrike">
            <a:solidFill>
              <a:schemeClr val="lt1"/>
            </a:solidFill>
            <a:effectLst/>
            <a:latin typeface="+mn-lt"/>
            <a:ea typeface="+mn-ea"/>
            <a:cs typeface="+mn-cs"/>
          </a:endParaRPr>
        </a:p>
        <a:p>
          <a:pPr algn="l"/>
          <a:r>
            <a:rPr lang="es-ES" sz="1200" b="0" i="1" u="none" strike="noStrike">
              <a:solidFill>
                <a:schemeClr val="lt1"/>
              </a:solidFill>
              <a:effectLst/>
              <a:latin typeface="+mn-lt"/>
              <a:ea typeface="+mn-ea"/>
              <a:cs typeface="+mn-cs"/>
            </a:rPr>
            <a:t>Simetría</a:t>
          </a:r>
          <a:r>
            <a:rPr lang="es-ES" sz="1200" b="0" i="0" u="none" strike="noStrike">
              <a:solidFill>
                <a:schemeClr val="lt1"/>
              </a:solidFill>
              <a:effectLst/>
              <a:latin typeface="+mn-lt"/>
              <a:ea typeface="+mn-ea"/>
              <a:cs typeface="+mn-cs"/>
            </a:rPr>
            <a:t> (si hay heridas similares en ambos lados del cuerpo, útil para</a:t>
          </a:r>
          <a:r>
            <a:rPr lang="es-ES" sz="1200" b="0" i="0" u="none" strike="noStrike" baseline="0">
              <a:solidFill>
                <a:schemeClr val="lt1"/>
              </a:solidFill>
              <a:effectLst/>
              <a:latin typeface="+mn-lt"/>
              <a:ea typeface="+mn-ea"/>
              <a:cs typeface="+mn-cs"/>
            </a:rPr>
            <a:t> </a:t>
          </a:r>
          <a:r>
            <a:rPr lang="es-ES" sz="1200" b="0" i="0" u="none" strike="noStrike">
              <a:solidFill>
                <a:schemeClr val="lt1"/>
              </a:solidFill>
              <a:effectLst/>
              <a:latin typeface="+mn-lt"/>
              <a:ea typeface="+mn-ea"/>
              <a:cs typeface="+mn-cs"/>
            </a:rPr>
            <a:t>distinguir entre causas naturales o antrópicas)</a:t>
          </a:r>
          <a:r>
            <a:rPr lang="es-ES" sz="1200"/>
            <a:t> </a:t>
          </a:r>
        </a:p>
        <a:p>
          <a:pPr algn="l"/>
          <a:endParaRPr lang="es-ES" sz="1200"/>
        </a:p>
        <a:p>
          <a:pPr algn="l"/>
          <a:r>
            <a:rPr lang="es-ES" sz="1200" i="1"/>
            <a:t>¿También añadir posibles causas? Depredación, cortejo, aparejos de pesca,</a:t>
          </a:r>
          <a:r>
            <a:rPr lang="es-ES" sz="1200" i="1" baseline="0"/>
            <a:t> </a:t>
          </a:r>
          <a:r>
            <a:rPr lang="es-ES" sz="1200" i="1"/>
            <a:t>infección etc (quizás para sustituir la columna de "otros")</a:t>
          </a:r>
        </a:p>
        <a:p>
          <a:pPr algn="l"/>
          <a:endParaRPr lang="es-ES" sz="1200" i="1"/>
        </a:p>
        <a:p>
          <a:pPr algn="l"/>
          <a:r>
            <a:rPr lang="es-ES" sz="1200" i="1"/>
            <a:t>Nota: comportamientos de estés como contracción del disco y otros tienen</a:t>
          </a:r>
          <a:r>
            <a:rPr lang="es-ES" sz="1200" i="1" baseline="0"/>
            <a:t> su propia categoría denominada como "estrés" para ver si coincide con Wosnick et al. (2023)</a:t>
          </a:r>
          <a:endParaRPr lang="es-ES" sz="1200" i="1"/>
        </a:p>
        <a:p>
          <a:pPr algn="l"/>
          <a:endParaRPr lang="es-ES" sz="1200" baseline="0"/>
        </a:p>
        <a:p>
          <a:pPr algn="l"/>
          <a:endParaRPr lang="es-ES" sz="1200" baseline="0"/>
        </a:p>
        <a:p>
          <a:pPr algn="l"/>
          <a:endParaRPr lang="es-ES" sz="1200"/>
        </a:p>
      </xdr:txBody>
    </xdr:sp>
    <xdr:clientData/>
  </xdr:twoCellAnchor>
  <xdr:twoCellAnchor>
    <xdr:from>
      <xdr:col>8</xdr:col>
      <xdr:colOff>1903</xdr:colOff>
      <xdr:row>3</xdr:row>
      <xdr:rowOff>171450</xdr:rowOff>
    </xdr:from>
    <xdr:to>
      <xdr:col>14</xdr:col>
      <xdr:colOff>355423</xdr:colOff>
      <xdr:row>9</xdr:row>
      <xdr:rowOff>59055</xdr:rowOff>
    </xdr:to>
    <xdr:sp macro="" textlink="">
      <xdr:nvSpPr>
        <xdr:cNvPr id="5" name="Rectángulo 4">
          <a:extLst>
            <a:ext uri="{FF2B5EF4-FFF2-40B4-BE49-F238E27FC236}">
              <a16:creationId xmlns:a16="http://schemas.microsoft.com/office/drawing/2014/main" id="{F96FF129-8B7E-4E49-A5E4-1B8739DDF9D5}"/>
            </a:ext>
          </a:extLst>
        </xdr:cNvPr>
        <xdr:cNvSpPr/>
      </xdr:nvSpPr>
      <xdr:spPr>
        <a:xfrm>
          <a:off x="6341743" y="948690"/>
          <a:ext cx="5108400" cy="9848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200" b="1"/>
            <a:t>Esquema</a:t>
          </a:r>
          <a:r>
            <a:rPr lang="es-ES" sz="1200" b="1" baseline="0"/>
            <a:t> heridas</a:t>
          </a:r>
          <a:r>
            <a:rPr lang="es-ES" sz="1200" b="1"/>
            <a:t>:</a:t>
          </a:r>
        </a:p>
        <a:p>
          <a:pPr algn="l"/>
          <a:endParaRPr lang="es-ES" sz="1200"/>
        </a:p>
        <a:p>
          <a:pPr algn="l"/>
          <a:r>
            <a:rPr lang="es-ES" sz="1200"/>
            <a:t>Procurar tener esta</a:t>
          </a:r>
          <a:r>
            <a:rPr lang="es-ES" sz="1200" baseline="0"/>
            <a:t> distribución corporal para el análisis (de forma aproximada claro...)</a:t>
          </a:r>
          <a:endParaRPr lang="es-ES" sz="1200"/>
        </a:p>
      </xdr:txBody>
    </xdr:sp>
    <xdr:clientData/>
  </xdr:twoCellAnchor>
  <xdr:twoCellAnchor>
    <xdr:from>
      <xdr:col>8</xdr:col>
      <xdr:colOff>1903</xdr:colOff>
      <xdr:row>26</xdr:row>
      <xdr:rowOff>78104</xdr:rowOff>
    </xdr:from>
    <xdr:to>
      <xdr:col>14</xdr:col>
      <xdr:colOff>359233</xdr:colOff>
      <xdr:row>35</xdr:row>
      <xdr:rowOff>167640</xdr:rowOff>
    </xdr:to>
    <xdr:sp macro="" textlink="">
      <xdr:nvSpPr>
        <xdr:cNvPr id="6" name="Rectángulo 5">
          <a:extLst>
            <a:ext uri="{FF2B5EF4-FFF2-40B4-BE49-F238E27FC236}">
              <a16:creationId xmlns:a16="http://schemas.microsoft.com/office/drawing/2014/main" id="{E34EFF52-CF04-481F-B4B4-6CAB1E795AEA}"/>
            </a:ext>
          </a:extLst>
        </xdr:cNvPr>
        <xdr:cNvSpPr/>
      </xdr:nvSpPr>
      <xdr:spPr>
        <a:xfrm>
          <a:off x="6341743" y="4878704"/>
          <a:ext cx="5112210" cy="173545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200" b="1"/>
            <a:t>Notas</a:t>
          </a:r>
          <a:r>
            <a:rPr lang="es-ES" sz="1200" b="1" baseline="0"/>
            <a:t> heridas</a:t>
          </a:r>
          <a:r>
            <a:rPr lang="es-ES" sz="1200" b="1"/>
            <a:t>:</a:t>
          </a:r>
        </a:p>
        <a:p>
          <a:pPr algn="l"/>
          <a:endParaRPr lang="es-ES" sz="1200"/>
        </a:p>
        <a:p>
          <a:pPr algn="l"/>
          <a:r>
            <a:rPr lang="es-ES" sz="1200"/>
            <a:t>¿En</a:t>
          </a:r>
          <a:r>
            <a:rPr lang="es-ES" sz="1200" baseline="0"/>
            <a:t> </a:t>
          </a:r>
          <a:r>
            <a:rPr lang="es-ES" sz="1200" i="1" baseline="0"/>
            <a:t>otros</a:t>
          </a:r>
          <a:r>
            <a:rPr lang="es-ES" sz="1200" baseline="0"/>
            <a:t> lo ideal sería poner anzuelos y/o colas cortadas? (Si no borrar columna y ponerlo en observaciones...)</a:t>
          </a:r>
        </a:p>
        <a:p>
          <a:pPr algn="l"/>
          <a:endParaRPr lang="es-ES" sz="1200" baseline="0"/>
        </a:p>
        <a:p>
          <a:pPr algn="l"/>
          <a:r>
            <a:rPr lang="es-ES" sz="1200" baseline="0"/>
            <a:t>En </a:t>
          </a:r>
          <a:r>
            <a:rPr lang="es-ES" sz="1200" i="1" baseline="0"/>
            <a:t>tipo</a:t>
          </a:r>
          <a:r>
            <a:rPr lang="es-ES" sz="1200" baseline="0"/>
            <a:t>, lo suyo es poner el tipo de heridas predominante y/o más severo de los que se ha mencionado a la izquierda en datos</a:t>
          </a:r>
        </a:p>
        <a:p>
          <a:pPr algn="l"/>
          <a:endParaRPr lang="es-ES" sz="1200" baseline="0"/>
        </a:p>
        <a:p>
          <a:pPr algn="l"/>
          <a:endParaRPr lang="es-ES" sz="1200" baseline="0"/>
        </a:p>
        <a:p>
          <a:pPr algn="l"/>
          <a:endParaRPr lang="es-ES" sz="1200" baseline="0"/>
        </a:p>
        <a:p>
          <a:pPr algn="l"/>
          <a:endParaRPr lang="es-ES" sz="1200"/>
        </a:p>
      </xdr:txBody>
    </xdr:sp>
    <xdr:clientData/>
  </xdr:twoCellAnchor>
  <xdr:twoCellAnchor editAs="oneCell">
    <xdr:from>
      <xdr:col>8</xdr:col>
      <xdr:colOff>7620</xdr:colOff>
      <xdr:row>10</xdr:row>
      <xdr:rowOff>7620</xdr:rowOff>
    </xdr:from>
    <xdr:to>
      <xdr:col>14</xdr:col>
      <xdr:colOff>368340</xdr:colOff>
      <xdr:row>25</xdr:row>
      <xdr:rowOff>141945</xdr:rowOff>
    </xdr:to>
    <xdr:pic>
      <xdr:nvPicPr>
        <xdr:cNvPr id="8" name="Imagen 7">
          <a:extLst>
            <a:ext uri="{FF2B5EF4-FFF2-40B4-BE49-F238E27FC236}">
              <a16:creationId xmlns:a16="http://schemas.microsoft.com/office/drawing/2014/main" id="{2F20EF55-3694-409C-950A-EFC89D2909AA}"/>
            </a:ext>
          </a:extLst>
        </xdr:cNvPr>
        <xdr:cNvPicPr>
          <a:picLocks noChangeAspect="1"/>
        </xdr:cNvPicPr>
      </xdr:nvPicPr>
      <xdr:blipFill>
        <a:blip xmlns:r="http://schemas.openxmlformats.org/officeDocument/2006/relationships" r:embed="rId1"/>
        <a:stretch>
          <a:fillRect/>
        </a:stretch>
      </xdr:blipFill>
      <xdr:spPr>
        <a:xfrm>
          <a:off x="6347460" y="1882140"/>
          <a:ext cx="5115600" cy="2877525"/>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25</xdr:col>
      <xdr:colOff>253307</xdr:colOff>
      <xdr:row>0</xdr:row>
      <xdr:rowOff>99060</xdr:rowOff>
    </xdr:from>
    <xdr:to>
      <xdr:col>38</xdr:col>
      <xdr:colOff>373380</xdr:colOff>
      <xdr:row>27</xdr:row>
      <xdr:rowOff>173875</xdr:rowOff>
    </xdr:to>
    <xdr:graphicFrame macro="">
      <xdr:nvGraphicFramePr>
        <xdr:cNvPr id="2" name="Gráfico 1">
          <a:extLst>
            <a:ext uri="{FF2B5EF4-FFF2-40B4-BE49-F238E27FC236}">
              <a16:creationId xmlns:a16="http://schemas.microsoft.com/office/drawing/2014/main" id="{949931B1-A075-42AD-BC37-845EEE434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205740</xdr:colOff>
      <xdr:row>0</xdr:row>
      <xdr:rowOff>76200</xdr:rowOff>
    </xdr:from>
    <xdr:to>
      <xdr:col>25</xdr:col>
      <xdr:colOff>121920</xdr:colOff>
      <xdr:row>27</xdr:row>
      <xdr:rowOff>121920</xdr:rowOff>
    </xdr:to>
    <xdr:graphicFrame macro="">
      <xdr:nvGraphicFramePr>
        <xdr:cNvPr id="3" name="Gráfico 2">
          <a:extLst>
            <a:ext uri="{FF2B5EF4-FFF2-40B4-BE49-F238E27FC236}">
              <a16:creationId xmlns:a16="http://schemas.microsoft.com/office/drawing/2014/main" id="{D0733330-963B-4528-9B74-E72F59F65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405707</xdr:colOff>
      <xdr:row>25</xdr:row>
      <xdr:rowOff>175260</xdr:rowOff>
    </xdr:from>
    <xdr:to>
      <xdr:col>32</xdr:col>
      <xdr:colOff>693420</xdr:colOff>
      <xdr:row>53</xdr:row>
      <xdr:rowOff>67195</xdr:rowOff>
    </xdr:to>
    <xdr:graphicFrame macro="">
      <xdr:nvGraphicFramePr>
        <xdr:cNvPr id="3" name="Gráfico 2">
          <a:extLst>
            <a:ext uri="{FF2B5EF4-FFF2-40B4-BE49-F238E27FC236}">
              <a16:creationId xmlns:a16="http://schemas.microsoft.com/office/drawing/2014/main" id="{F8F5DD27-4A79-4130-BF6D-806219684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25</xdr:row>
      <xdr:rowOff>152400</xdr:rowOff>
    </xdr:from>
    <xdr:to>
      <xdr:col>15</xdr:col>
      <xdr:colOff>137160</xdr:colOff>
      <xdr:row>53</xdr:row>
      <xdr:rowOff>15240</xdr:rowOff>
    </xdr:to>
    <xdr:graphicFrame macro="">
      <xdr:nvGraphicFramePr>
        <xdr:cNvPr id="4" name="Gráfico 3">
          <a:extLst>
            <a:ext uri="{FF2B5EF4-FFF2-40B4-BE49-F238E27FC236}">
              <a16:creationId xmlns:a16="http://schemas.microsoft.com/office/drawing/2014/main" id="{65BD473E-7031-A6CE-E2B4-CF3C5F5C7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02F82-5499-4375-AF20-713224FEF8E6}">
  <dimension ref="A1:G7"/>
  <sheetViews>
    <sheetView workbookViewId="0">
      <selection activeCell="D14" sqref="D14"/>
    </sheetView>
  </sheetViews>
  <sheetFormatPr baseColWidth="10" defaultRowHeight="15" x14ac:dyDescent="0.25"/>
  <cols>
    <col min="1" max="1" width="7.7109375" bestFit="1" customWidth="1"/>
    <col min="2" max="2" width="21" bestFit="1" customWidth="1"/>
    <col min="3" max="3" width="22.7109375" bestFit="1" customWidth="1"/>
    <col min="4" max="4" width="16.85546875" bestFit="1" customWidth="1"/>
    <col min="5" max="6" width="50.7109375" customWidth="1"/>
    <col min="7" max="7" width="65.28515625" customWidth="1"/>
  </cols>
  <sheetData>
    <row r="1" spans="1:7" s="63" customFormat="1" ht="15.75" thickBot="1" x14ac:dyDescent="0.3">
      <c r="A1" s="63" t="s">
        <v>1422</v>
      </c>
      <c r="B1" s="63" t="s">
        <v>1437</v>
      </c>
      <c r="C1" s="63" t="s">
        <v>1423</v>
      </c>
      <c r="D1" s="63" t="s">
        <v>1428</v>
      </c>
      <c r="E1" s="63" t="s">
        <v>1425</v>
      </c>
      <c r="F1" s="63" t="s">
        <v>1424</v>
      </c>
      <c r="G1" s="63" t="s">
        <v>1434</v>
      </c>
    </row>
    <row r="2" spans="1:7" s="10" customFormat="1" ht="75.75" thickTop="1" x14ac:dyDescent="0.25">
      <c r="A2" t="s">
        <v>555</v>
      </c>
      <c r="B2" t="s">
        <v>1438</v>
      </c>
      <c r="C2" t="s">
        <v>556</v>
      </c>
      <c r="D2" t="s">
        <v>1430</v>
      </c>
      <c r="E2" s="62" t="s">
        <v>564</v>
      </c>
      <c r="F2" s="62" t="s">
        <v>1417</v>
      </c>
      <c r="G2" s="62" t="s">
        <v>1443</v>
      </c>
    </row>
    <row r="3" spans="1:7" ht="75" x14ac:dyDescent="0.25">
      <c r="A3" t="s">
        <v>557</v>
      </c>
      <c r="B3" t="s">
        <v>1439</v>
      </c>
      <c r="C3" t="s">
        <v>952</v>
      </c>
      <c r="D3" t="s">
        <v>1429</v>
      </c>
      <c r="E3" s="62" t="s">
        <v>1436</v>
      </c>
      <c r="F3" s="62" t="s">
        <v>1418</v>
      </c>
      <c r="G3" s="62" t="s">
        <v>1435</v>
      </c>
    </row>
    <row r="4" spans="1:7" ht="45" x14ac:dyDescent="0.25">
      <c r="A4" s="62" t="s">
        <v>558</v>
      </c>
      <c r="B4" s="62" t="s">
        <v>1440</v>
      </c>
      <c r="C4" t="s">
        <v>560</v>
      </c>
      <c r="D4" t="s">
        <v>1430</v>
      </c>
      <c r="E4" s="62" t="s">
        <v>562</v>
      </c>
      <c r="F4" s="62" t="s">
        <v>1419</v>
      </c>
      <c r="G4" s="62"/>
    </row>
    <row r="5" spans="1:7" ht="75" x14ac:dyDescent="0.25">
      <c r="A5" s="62" t="s">
        <v>559</v>
      </c>
      <c r="B5" s="62" t="s">
        <v>1441</v>
      </c>
      <c r="C5" t="s">
        <v>561</v>
      </c>
      <c r="D5" t="s">
        <v>1430</v>
      </c>
      <c r="E5" s="62" t="s">
        <v>563</v>
      </c>
      <c r="F5" s="62" t="s">
        <v>1420</v>
      </c>
      <c r="G5" s="62"/>
    </row>
    <row r="6" spans="1:7" ht="90" x14ac:dyDescent="0.25">
      <c r="A6" s="62" t="s">
        <v>953</v>
      </c>
      <c r="B6" s="62" t="s">
        <v>1442</v>
      </c>
      <c r="C6" t="s">
        <v>954</v>
      </c>
      <c r="D6" t="s">
        <v>1430</v>
      </c>
      <c r="E6" s="62" t="s">
        <v>955</v>
      </c>
      <c r="F6" s="62" t="s">
        <v>1421</v>
      </c>
      <c r="G6" s="62"/>
    </row>
    <row r="7" spans="1:7" ht="60" x14ac:dyDescent="0.25">
      <c r="A7" s="62" t="s">
        <v>1414</v>
      </c>
      <c r="B7" s="66" t="s">
        <v>6</v>
      </c>
      <c r="C7" t="s">
        <v>1426</v>
      </c>
      <c r="D7" t="s">
        <v>1429</v>
      </c>
      <c r="E7" s="62" t="s">
        <v>1427</v>
      </c>
      <c r="G7" s="62"/>
    </row>
  </sheetData>
  <autoFilter ref="A1:F20" xr:uid="{D4F02F82-5499-4375-AF20-713224FEF8E6}"/>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49185-895A-4FE8-A11F-095CC799DA3A}">
  <dimension ref="A1:AM461"/>
  <sheetViews>
    <sheetView tabSelected="1" zoomScale="110" zoomScaleNormal="110" workbookViewId="0">
      <pane ySplit="1" topLeftCell="A2" activePane="bottomLeft" state="frozen"/>
      <selection activeCell="F1" sqref="F1"/>
      <selection pane="bottomLeft" activeCell="B4" sqref="B4"/>
    </sheetView>
  </sheetViews>
  <sheetFormatPr baseColWidth="10" defaultRowHeight="15" x14ac:dyDescent="0.25"/>
  <cols>
    <col min="1" max="1" width="13.7109375" bestFit="1" customWidth="1"/>
    <col min="2" max="2" width="11.5703125" style="7"/>
    <col min="3" max="3" width="10.28515625" style="7" bestFit="1" customWidth="1"/>
    <col min="4" max="4" width="7.28515625" style="3" bestFit="1" customWidth="1"/>
    <col min="5" max="5" width="21.7109375" style="3" bestFit="1" customWidth="1"/>
    <col min="6" max="6" width="12.42578125" style="3" bestFit="1" customWidth="1"/>
    <col min="7" max="7" width="20.5703125" style="3" bestFit="1" customWidth="1"/>
    <col min="8" max="8" width="10.5703125" style="9" bestFit="1" customWidth="1"/>
    <col min="9" max="9" width="10.140625" style="9" bestFit="1" customWidth="1"/>
    <col min="10" max="10" width="6.7109375" style="3" bestFit="1" customWidth="1"/>
    <col min="11" max="11" width="6.85546875" style="3" bestFit="1" customWidth="1"/>
    <col min="12" max="12" width="9.42578125" style="3" bestFit="1" customWidth="1"/>
    <col min="13" max="13" width="5.42578125" style="3" bestFit="1" customWidth="1"/>
    <col min="14" max="14" width="8.85546875" style="3" customWidth="1"/>
    <col min="15" max="15" width="8.7109375" style="3" bestFit="1" customWidth="1"/>
    <col min="16" max="16" width="8.140625" style="3" bestFit="1" customWidth="1"/>
    <col min="17" max="17" width="9.140625" style="3" bestFit="1" customWidth="1"/>
    <col min="18" max="18" width="7.7109375" style="3" bestFit="1" customWidth="1"/>
    <col min="19" max="19" width="6" style="3" bestFit="1" customWidth="1"/>
    <col min="20" max="21" width="7" style="3" bestFit="1" customWidth="1"/>
    <col min="22" max="22" width="5.42578125" style="3" bestFit="1" customWidth="1"/>
    <col min="23" max="23" width="6.28515625" style="3" bestFit="1" customWidth="1"/>
    <col min="24" max="33" width="8" style="3" customWidth="1"/>
    <col min="34" max="34" width="14" style="3" customWidth="1"/>
    <col min="35" max="35" width="10.140625" style="3" bestFit="1" customWidth="1"/>
    <col min="36" max="36" width="6.42578125" style="3" bestFit="1" customWidth="1"/>
    <col min="37" max="37" width="6.28515625" style="3" customWidth="1"/>
    <col min="38" max="38" width="18.5703125" style="3" bestFit="1" customWidth="1"/>
  </cols>
  <sheetData>
    <row r="1" spans="1:39" s="1" customFormat="1" ht="15.75" thickBot="1" x14ac:dyDescent="0.3">
      <c r="A1" s="1" t="s">
        <v>1413</v>
      </c>
      <c r="B1" s="1" t="s">
        <v>0</v>
      </c>
      <c r="C1" s="1" t="s">
        <v>840</v>
      </c>
      <c r="D1" s="2" t="s">
        <v>1</v>
      </c>
      <c r="E1" s="2" t="s">
        <v>2</v>
      </c>
      <c r="F1" s="2" t="s">
        <v>3</v>
      </c>
      <c r="G1" s="2" t="s">
        <v>845</v>
      </c>
      <c r="H1" s="2" t="s">
        <v>9</v>
      </c>
      <c r="I1" s="2" t="s">
        <v>10</v>
      </c>
      <c r="J1" s="2" t="s">
        <v>925</v>
      </c>
      <c r="K1" s="53" t="s">
        <v>5</v>
      </c>
      <c r="L1" s="53" t="s">
        <v>28</v>
      </c>
      <c r="M1" s="53" t="s">
        <v>6</v>
      </c>
      <c r="N1" s="56" t="s">
        <v>13</v>
      </c>
      <c r="O1" s="54" t="s">
        <v>919</v>
      </c>
      <c r="P1" s="54" t="s">
        <v>920</v>
      </c>
      <c r="Q1" s="54" t="s">
        <v>921</v>
      </c>
      <c r="R1" s="55" t="s">
        <v>27</v>
      </c>
      <c r="S1" s="55" t="s">
        <v>923</v>
      </c>
      <c r="T1" s="55" t="s">
        <v>292</v>
      </c>
      <c r="U1" s="55" t="s">
        <v>924</v>
      </c>
      <c r="V1" s="55" t="s">
        <v>6</v>
      </c>
      <c r="W1" s="58" t="s">
        <v>7</v>
      </c>
      <c r="X1" s="57" t="s">
        <v>353</v>
      </c>
      <c r="Y1" s="57" t="s">
        <v>234</v>
      </c>
      <c r="Z1" s="57" t="s">
        <v>547</v>
      </c>
      <c r="AA1" s="57" t="s">
        <v>548</v>
      </c>
      <c r="AB1" s="57" t="s">
        <v>549</v>
      </c>
      <c r="AC1" s="57" t="s">
        <v>550</v>
      </c>
      <c r="AD1" s="57" t="s">
        <v>552</v>
      </c>
      <c r="AE1" s="57" t="s">
        <v>553</v>
      </c>
      <c r="AF1" s="57" t="s">
        <v>554</v>
      </c>
      <c r="AG1" s="57" t="s">
        <v>551</v>
      </c>
      <c r="AH1" s="2" t="s">
        <v>782</v>
      </c>
      <c r="AI1" s="2" t="s">
        <v>11</v>
      </c>
      <c r="AJ1" s="2" t="s">
        <v>79</v>
      </c>
      <c r="AK1" s="2" t="s">
        <v>12</v>
      </c>
      <c r="AL1" s="2" t="s">
        <v>4</v>
      </c>
    </row>
    <row r="2" spans="1:39" x14ac:dyDescent="0.25">
      <c r="A2" t="s">
        <v>1354</v>
      </c>
      <c r="B2" s="7">
        <v>31989</v>
      </c>
      <c r="C2" s="7" t="s">
        <v>844</v>
      </c>
      <c r="D2" s="67" t="s">
        <v>6</v>
      </c>
      <c r="E2" s="3" t="s">
        <v>24</v>
      </c>
      <c r="F2" s="3" t="s">
        <v>24</v>
      </c>
      <c r="G2" s="3" t="s">
        <v>20</v>
      </c>
      <c r="H2" s="9">
        <v>40.916699999999999</v>
      </c>
      <c r="I2" s="9">
        <v>2.1666660000000002</v>
      </c>
      <c r="J2" s="3">
        <v>1</v>
      </c>
      <c r="K2" s="3">
        <v>0</v>
      </c>
      <c r="L2" s="3">
        <v>1</v>
      </c>
      <c r="M2" s="3">
        <v>0</v>
      </c>
      <c r="N2" s="3" t="s">
        <v>6</v>
      </c>
      <c r="O2" s="3">
        <v>0</v>
      </c>
      <c r="P2" s="3">
        <v>0</v>
      </c>
      <c r="Q2" s="3">
        <v>1</v>
      </c>
      <c r="R2" s="3">
        <v>0</v>
      </c>
      <c r="S2" s="3">
        <v>0</v>
      </c>
      <c r="T2" s="3">
        <v>0</v>
      </c>
      <c r="U2" s="3">
        <v>0</v>
      </c>
      <c r="V2" s="3">
        <v>1</v>
      </c>
      <c r="W2" s="3" t="s">
        <v>6</v>
      </c>
      <c r="X2" s="3">
        <v>1</v>
      </c>
      <c r="Y2" s="3">
        <v>0</v>
      </c>
      <c r="Z2" s="3">
        <v>0</v>
      </c>
      <c r="AA2" s="3">
        <v>0</v>
      </c>
      <c r="AB2" s="3">
        <v>0</v>
      </c>
      <c r="AC2" s="3">
        <v>0</v>
      </c>
      <c r="AD2" s="3">
        <v>0</v>
      </c>
      <c r="AE2" s="3">
        <v>0</v>
      </c>
      <c r="AF2" s="3">
        <v>0</v>
      </c>
      <c r="AG2" s="3">
        <v>1</v>
      </c>
      <c r="AH2" s="3" t="s">
        <v>775</v>
      </c>
      <c r="AI2" s="3" t="s">
        <v>80</v>
      </c>
      <c r="AK2" t="s">
        <v>22</v>
      </c>
      <c r="AL2" s="3" t="s">
        <v>565</v>
      </c>
      <c r="AM2" t="s">
        <v>22</v>
      </c>
    </row>
    <row r="3" spans="1:39" x14ac:dyDescent="0.25">
      <c r="A3" t="s">
        <v>1234</v>
      </c>
      <c r="B3" s="7">
        <v>38586</v>
      </c>
      <c r="C3" s="7" t="s">
        <v>844</v>
      </c>
      <c r="D3" s="59" t="s">
        <v>6</v>
      </c>
      <c r="E3" s="3" t="s">
        <v>355</v>
      </c>
      <c r="F3" s="3" t="s">
        <v>24</v>
      </c>
      <c r="G3" s="3" t="s">
        <v>20</v>
      </c>
      <c r="H3" s="9">
        <v>41.502487576069598</v>
      </c>
      <c r="I3" s="9">
        <v>2.3951611309180598</v>
      </c>
      <c r="J3" s="3">
        <v>1</v>
      </c>
      <c r="K3" s="3">
        <v>1</v>
      </c>
      <c r="L3" s="3">
        <v>0</v>
      </c>
      <c r="M3" s="3">
        <v>0</v>
      </c>
      <c r="N3" s="3" t="s">
        <v>6</v>
      </c>
      <c r="O3" s="3">
        <v>0</v>
      </c>
      <c r="P3" s="3">
        <v>0</v>
      </c>
      <c r="Q3" s="3">
        <v>1</v>
      </c>
      <c r="R3" s="3">
        <v>0</v>
      </c>
      <c r="S3" s="3">
        <v>0</v>
      </c>
      <c r="T3" s="3">
        <v>0</v>
      </c>
      <c r="U3" s="3">
        <v>0</v>
      </c>
      <c r="V3" s="3">
        <v>1</v>
      </c>
      <c r="W3" s="3" t="s">
        <v>6</v>
      </c>
      <c r="X3" s="3">
        <v>0</v>
      </c>
      <c r="Y3" s="3">
        <v>0</v>
      </c>
      <c r="Z3" s="3">
        <v>0</v>
      </c>
      <c r="AA3" s="3">
        <v>0</v>
      </c>
      <c r="AB3" s="3">
        <v>0</v>
      </c>
      <c r="AC3" s="3">
        <v>0</v>
      </c>
      <c r="AD3" s="3">
        <v>0</v>
      </c>
      <c r="AE3" s="3">
        <v>0</v>
      </c>
      <c r="AF3" s="3">
        <v>0</v>
      </c>
      <c r="AG3" s="3">
        <v>0</v>
      </c>
      <c r="AH3" s="3" t="s">
        <v>577</v>
      </c>
      <c r="AI3" s="3" t="s">
        <v>741</v>
      </c>
      <c r="AK3" s="3" t="s">
        <v>741</v>
      </c>
      <c r="AL3" s="3" t="s">
        <v>316</v>
      </c>
    </row>
    <row r="4" spans="1:39" x14ac:dyDescent="0.25">
      <c r="A4" t="s">
        <v>1235</v>
      </c>
      <c r="B4" s="7">
        <v>38925</v>
      </c>
      <c r="C4" s="7" t="s">
        <v>844</v>
      </c>
      <c r="D4" s="59" t="s">
        <v>6</v>
      </c>
      <c r="E4" s="3" t="s">
        <v>610</v>
      </c>
      <c r="F4" s="3" t="s">
        <v>24</v>
      </c>
      <c r="G4" s="3" t="s">
        <v>20</v>
      </c>
      <c r="H4" s="9">
        <v>41.263684987044499</v>
      </c>
      <c r="I4" s="9">
        <v>1.9758406000009601</v>
      </c>
      <c r="J4" s="3">
        <v>1</v>
      </c>
      <c r="K4" s="3">
        <v>1</v>
      </c>
      <c r="L4" s="3">
        <v>0</v>
      </c>
      <c r="M4" s="3">
        <v>0</v>
      </c>
      <c r="N4" s="3" t="s">
        <v>6</v>
      </c>
      <c r="O4" s="3">
        <v>0</v>
      </c>
      <c r="P4" s="3">
        <v>0</v>
      </c>
      <c r="Q4" s="3">
        <v>1</v>
      </c>
      <c r="R4" s="3">
        <v>0</v>
      </c>
      <c r="S4" s="3">
        <v>0</v>
      </c>
      <c r="T4" s="3">
        <v>0</v>
      </c>
      <c r="U4" s="3">
        <v>0</v>
      </c>
      <c r="V4" s="3">
        <v>1</v>
      </c>
      <c r="W4" s="3" t="s">
        <v>6</v>
      </c>
      <c r="X4" s="3">
        <v>0</v>
      </c>
      <c r="Y4" s="3">
        <v>0</v>
      </c>
      <c r="Z4" s="3">
        <v>0</v>
      </c>
      <c r="AA4" s="3">
        <v>0</v>
      </c>
      <c r="AB4" s="3">
        <v>0</v>
      </c>
      <c r="AC4" s="3">
        <v>0</v>
      </c>
      <c r="AD4" s="3">
        <v>0</v>
      </c>
      <c r="AE4" s="3">
        <v>0</v>
      </c>
      <c r="AF4" s="3">
        <v>0</v>
      </c>
      <c r="AG4" s="3">
        <v>0</v>
      </c>
      <c r="AH4" s="3" t="s">
        <v>577</v>
      </c>
      <c r="AI4" s="3" t="s">
        <v>741</v>
      </c>
      <c r="AK4" s="3" t="s">
        <v>741</v>
      </c>
      <c r="AL4" s="3" t="s">
        <v>316</v>
      </c>
    </row>
    <row r="5" spans="1:39" x14ac:dyDescent="0.25">
      <c r="A5" t="s">
        <v>1236</v>
      </c>
      <c r="B5" s="7">
        <v>39325</v>
      </c>
      <c r="C5" s="7" t="s">
        <v>844</v>
      </c>
      <c r="D5" s="59" t="s">
        <v>6</v>
      </c>
      <c r="E5" s="3" t="s">
        <v>68</v>
      </c>
      <c r="F5" s="3" t="s">
        <v>69</v>
      </c>
      <c r="G5" s="3" t="s">
        <v>20</v>
      </c>
      <c r="H5" s="9">
        <v>41.140553813926097</v>
      </c>
      <c r="I5" s="9">
        <v>1.40740531626914</v>
      </c>
      <c r="J5" s="3">
        <v>1</v>
      </c>
      <c r="K5" s="3">
        <v>1</v>
      </c>
      <c r="L5" s="3">
        <v>0</v>
      </c>
      <c r="M5" s="3">
        <v>0</v>
      </c>
      <c r="N5" s="3" t="s">
        <v>6</v>
      </c>
      <c r="O5" s="3">
        <v>0</v>
      </c>
      <c r="P5" s="3">
        <v>0</v>
      </c>
      <c r="Q5" s="3">
        <v>1</v>
      </c>
      <c r="R5" s="3">
        <v>0</v>
      </c>
      <c r="S5" s="3">
        <v>0</v>
      </c>
      <c r="T5" s="3">
        <v>0</v>
      </c>
      <c r="U5" s="3">
        <v>0</v>
      </c>
      <c r="V5" s="3">
        <v>1</v>
      </c>
      <c r="W5" s="3" t="s">
        <v>6</v>
      </c>
      <c r="X5" s="3">
        <v>0</v>
      </c>
      <c r="Y5" s="3">
        <v>0</v>
      </c>
      <c r="Z5" s="3">
        <v>0</v>
      </c>
      <c r="AA5" s="3">
        <v>0</v>
      </c>
      <c r="AB5" s="3">
        <v>0</v>
      </c>
      <c r="AC5" s="3">
        <v>0</v>
      </c>
      <c r="AD5" s="3">
        <v>0</v>
      </c>
      <c r="AE5" s="3">
        <v>0</v>
      </c>
      <c r="AF5" s="3">
        <v>0</v>
      </c>
      <c r="AG5" s="3">
        <v>0</v>
      </c>
      <c r="AH5" s="3" t="s">
        <v>577</v>
      </c>
      <c r="AI5" s="3" t="s">
        <v>741</v>
      </c>
      <c r="AK5" s="3" t="s">
        <v>741</v>
      </c>
      <c r="AL5" s="3" t="s">
        <v>316</v>
      </c>
    </row>
    <row r="6" spans="1:39" x14ac:dyDescent="0.25">
      <c r="A6" t="s">
        <v>1237</v>
      </c>
      <c r="B6" s="7">
        <v>39327</v>
      </c>
      <c r="C6" s="7" t="s">
        <v>843</v>
      </c>
      <c r="D6" s="59" t="s">
        <v>6</v>
      </c>
      <c r="E6" s="3" t="s">
        <v>740</v>
      </c>
      <c r="F6" s="3" t="s">
        <v>69</v>
      </c>
      <c r="G6" s="3" t="s">
        <v>20</v>
      </c>
      <c r="H6" s="9">
        <v>41.155800721488703</v>
      </c>
      <c r="I6" s="9">
        <v>1.4417468446562201</v>
      </c>
      <c r="J6" s="3">
        <v>1</v>
      </c>
      <c r="K6" s="3">
        <v>1</v>
      </c>
      <c r="L6" s="3">
        <v>0</v>
      </c>
      <c r="M6" s="3">
        <v>0</v>
      </c>
      <c r="N6" s="3" t="s">
        <v>6</v>
      </c>
      <c r="O6" s="3">
        <v>0</v>
      </c>
      <c r="P6" s="3">
        <v>0</v>
      </c>
      <c r="Q6" s="3">
        <v>1</v>
      </c>
      <c r="R6" s="3">
        <v>0</v>
      </c>
      <c r="S6" s="3">
        <v>0</v>
      </c>
      <c r="T6" s="3">
        <v>0</v>
      </c>
      <c r="U6" s="3">
        <v>0</v>
      </c>
      <c r="V6" s="3">
        <v>1</v>
      </c>
      <c r="W6" s="3" t="s">
        <v>6</v>
      </c>
      <c r="X6" s="3">
        <v>0</v>
      </c>
      <c r="Y6" s="3">
        <v>0</v>
      </c>
      <c r="Z6" s="3">
        <v>0</v>
      </c>
      <c r="AA6" s="3">
        <v>0</v>
      </c>
      <c r="AB6" s="3">
        <v>0</v>
      </c>
      <c r="AC6" s="3">
        <v>0</v>
      </c>
      <c r="AD6" s="3">
        <v>0</v>
      </c>
      <c r="AE6" s="3">
        <v>0</v>
      </c>
      <c r="AF6" s="3">
        <v>0</v>
      </c>
      <c r="AG6" s="3">
        <v>0</v>
      </c>
      <c r="AH6" s="3" t="s">
        <v>577</v>
      </c>
      <c r="AI6" s="3" t="s">
        <v>741</v>
      </c>
      <c r="AK6" s="3" t="s">
        <v>741</v>
      </c>
      <c r="AL6" s="3" t="s">
        <v>316</v>
      </c>
    </row>
    <row r="7" spans="1:39" x14ac:dyDescent="0.25">
      <c r="A7" t="s">
        <v>1238</v>
      </c>
      <c r="B7" s="7">
        <v>39328</v>
      </c>
      <c r="C7" s="7" t="s">
        <v>843</v>
      </c>
      <c r="D7" s="59" t="s">
        <v>6</v>
      </c>
      <c r="E7" s="3" t="s">
        <v>739</v>
      </c>
      <c r="F7" s="3" t="s">
        <v>24</v>
      </c>
      <c r="G7" s="3" t="s">
        <v>20</v>
      </c>
      <c r="H7" s="9">
        <v>41.200311351599296</v>
      </c>
      <c r="I7" s="9">
        <v>1.67983394608559</v>
      </c>
      <c r="J7" s="3">
        <v>1</v>
      </c>
      <c r="K7" s="3">
        <v>1</v>
      </c>
      <c r="L7" s="3">
        <v>0</v>
      </c>
      <c r="M7" s="3">
        <v>0</v>
      </c>
      <c r="N7" s="3" t="s">
        <v>6</v>
      </c>
      <c r="O7" s="3">
        <v>0</v>
      </c>
      <c r="P7" s="3">
        <v>0</v>
      </c>
      <c r="Q7" s="3">
        <v>1</v>
      </c>
      <c r="R7" s="3">
        <v>0</v>
      </c>
      <c r="S7" s="3">
        <v>0</v>
      </c>
      <c r="T7" s="3">
        <v>0</v>
      </c>
      <c r="U7" s="3">
        <v>0</v>
      </c>
      <c r="V7" s="3">
        <v>1</v>
      </c>
      <c r="W7" s="3" t="s">
        <v>6</v>
      </c>
      <c r="X7" s="3">
        <v>0</v>
      </c>
      <c r="Y7" s="3">
        <v>0</v>
      </c>
      <c r="Z7" s="3">
        <v>0</v>
      </c>
      <c r="AA7" s="3">
        <v>0</v>
      </c>
      <c r="AB7" s="3">
        <v>0</v>
      </c>
      <c r="AC7" s="3">
        <v>0</v>
      </c>
      <c r="AD7" s="3">
        <v>0</v>
      </c>
      <c r="AE7" s="3">
        <v>0</v>
      </c>
      <c r="AF7" s="3">
        <v>0</v>
      </c>
      <c r="AG7" s="3">
        <v>0</v>
      </c>
      <c r="AH7" s="3" t="s">
        <v>577</v>
      </c>
      <c r="AI7" s="3" t="s">
        <v>741</v>
      </c>
      <c r="AK7" s="3" t="s">
        <v>741</v>
      </c>
      <c r="AL7" s="3" t="s">
        <v>316</v>
      </c>
    </row>
    <row r="8" spans="1:39" x14ac:dyDescent="0.25">
      <c r="A8" t="s">
        <v>1239</v>
      </c>
      <c r="B8" s="7">
        <v>39335</v>
      </c>
      <c r="C8" s="7" t="s">
        <v>843</v>
      </c>
      <c r="D8" s="59" t="s">
        <v>6</v>
      </c>
      <c r="E8" s="3" t="s">
        <v>739</v>
      </c>
      <c r="F8" s="3" t="s">
        <v>24</v>
      </c>
      <c r="G8" s="3" t="s">
        <v>20</v>
      </c>
      <c r="H8" s="9">
        <v>41.200311351599296</v>
      </c>
      <c r="I8" s="9">
        <v>1.67983394608559</v>
      </c>
      <c r="J8" s="3">
        <v>1</v>
      </c>
      <c r="K8" s="3">
        <v>1</v>
      </c>
      <c r="L8" s="3">
        <v>0</v>
      </c>
      <c r="M8" s="3">
        <v>0</v>
      </c>
      <c r="N8" s="3" t="s">
        <v>6</v>
      </c>
      <c r="O8" s="3">
        <v>0</v>
      </c>
      <c r="P8" s="3">
        <v>0</v>
      </c>
      <c r="Q8" s="3">
        <v>1</v>
      </c>
      <c r="R8" s="3">
        <v>0</v>
      </c>
      <c r="S8" s="3">
        <v>0</v>
      </c>
      <c r="T8" s="3">
        <v>0</v>
      </c>
      <c r="U8" s="3">
        <v>0</v>
      </c>
      <c r="V8" s="3">
        <v>1</v>
      </c>
      <c r="W8" s="3" t="s">
        <v>6</v>
      </c>
      <c r="X8" s="3">
        <v>0</v>
      </c>
      <c r="Y8" s="3">
        <v>0</v>
      </c>
      <c r="Z8" s="3">
        <v>0</v>
      </c>
      <c r="AA8" s="3">
        <v>0</v>
      </c>
      <c r="AB8" s="3">
        <v>0</v>
      </c>
      <c r="AC8" s="3">
        <v>0</v>
      </c>
      <c r="AD8" s="3">
        <v>0</v>
      </c>
      <c r="AE8" s="3">
        <v>0</v>
      </c>
      <c r="AF8" s="3">
        <v>0</v>
      </c>
      <c r="AG8" s="3">
        <v>0</v>
      </c>
      <c r="AH8" s="3" t="s">
        <v>577</v>
      </c>
      <c r="AI8" s="3" t="s">
        <v>741</v>
      </c>
      <c r="AK8" s="3" t="s">
        <v>741</v>
      </c>
      <c r="AL8" s="3" t="s">
        <v>316</v>
      </c>
    </row>
    <row r="9" spans="1:39" x14ac:dyDescent="0.25">
      <c r="A9" t="s">
        <v>1327</v>
      </c>
      <c r="B9" s="7">
        <v>40668</v>
      </c>
      <c r="C9" s="7" t="s">
        <v>842</v>
      </c>
      <c r="D9" s="5" t="s">
        <v>6</v>
      </c>
      <c r="E9" s="3" t="s">
        <v>22</v>
      </c>
      <c r="F9" s="3" t="s">
        <v>54</v>
      </c>
      <c r="G9" s="3" t="s">
        <v>21</v>
      </c>
      <c r="H9" s="9">
        <v>36.333399999999997</v>
      </c>
      <c r="I9" s="9">
        <v>-4.3398000000000003</v>
      </c>
      <c r="J9" s="3">
        <v>1</v>
      </c>
      <c r="K9" s="3">
        <v>0</v>
      </c>
      <c r="L9" s="3">
        <v>1</v>
      </c>
      <c r="M9" s="3">
        <v>0</v>
      </c>
      <c r="N9" s="3" t="s">
        <v>6</v>
      </c>
      <c r="O9" s="3">
        <v>0</v>
      </c>
      <c r="P9" s="3">
        <v>0</v>
      </c>
      <c r="Q9" s="3">
        <v>1</v>
      </c>
      <c r="R9" s="3">
        <v>0</v>
      </c>
      <c r="S9" s="3">
        <v>0</v>
      </c>
      <c r="T9" s="3">
        <v>0</v>
      </c>
      <c r="U9" s="3">
        <v>0</v>
      </c>
      <c r="V9" s="3">
        <v>1</v>
      </c>
      <c r="W9" s="3" t="s">
        <v>6</v>
      </c>
      <c r="X9" s="3">
        <v>0</v>
      </c>
      <c r="Y9" s="3">
        <v>0</v>
      </c>
      <c r="Z9" s="3">
        <v>0</v>
      </c>
      <c r="AA9" s="3">
        <v>0</v>
      </c>
      <c r="AB9" s="3">
        <v>0</v>
      </c>
      <c r="AC9" s="3">
        <v>0</v>
      </c>
      <c r="AD9" s="3">
        <v>0</v>
      </c>
      <c r="AE9" s="3">
        <v>0</v>
      </c>
      <c r="AF9" s="3">
        <v>0</v>
      </c>
      <c r="AG9" s="3">
        <v>0</v>
      </c>
      <c r="AH9" s="3" t="s">
        <v>775</v>
      </c>
      <c r="AI9" s="3" t="s">
        <v>80</v>
      </c>
      <c r="AK9"/>
      <c r="AL9" s="3" t="s">
        <v>31</v>
      </c>
      <c r="AM9" t="s">
        <v>22</v>
      </c>
    </row>
    <row r="10" spans="1:39" x14ac:dyDescent="0.25">
      <c r="A10" t="s">
        <v>998</v>
      </c>
      <c r="B10" s="7">
        <v>40745</v>
      </c>
      <c r="C10" s="7" t="s">
        <v>844</v>
      </c>
      <c r="D10" s="59" t="s">
        <v>6</v>
      </c>
      <c r="E10" s="3" t="s">
        <v>319</v>
      </c>
      <c r="F10" s="3" t="s">
        <v>47</v>
      </c>
      <c r="G10" s="3" t="s">
        <v>21</v>
      </c>
      <c r="H10" s="9">
        <v>36.6720667677303</v>
      </c>
      <c r="I10" s="9">
        <v>-2.6606359281096199</v>
      </c>
      <c r="J10" s="3">
        <v>2</v>
      </c>
      <c r="K10" s="3">
        <v>2</v>
      </c>
      <c r="L10" s="3">
        <v>0</v>
      </c>
      <c r="M10" s="3">
        <v>0</v>
      </c>
      <c r="N10" s="3" t="s">
        <v>6</v>
      </c>
      <c r="O10" s="3">
        <v>1</v>
      </c>
      <c r="P10" s="3">
        <v>1</v>
      </c>
      <c r="Q10" s="3">
        <v>0</v>
      </c>
      <c r="R10" s="3">
        <v>2</v>
      </c>
      <c r="S10" s="3">
        <v>0</v>
      </c>
      <c r="T10" s="3">
        <v>0</v>
      </c>
      <c r="U10" s="3">
        <v>0</v>
      </c>
      <c r="V10" s="3">
        <v>0</v>
      </c>
      <c r="W10" s="3" t="s">
        <v>6</v>
      </c>
      <c r="X10" s="3">
        <v>1</v>
      </c>
      <c r="Y10" s="3">
        <v>1</v>
      </c>
      <c r="Z10" s="3">
        <v>0</v>
      </c>
      <c r="AA10" s="3">
        <v>0</v>
      </c>
      <c r="AB10" s="3">
        <v>0</v>
      </c>
      <c r="AC10" s="3">
        <v>0</v>
      </c>
      <c r="AD10" s="3">
        <v>0</v>
      </c>
      <c r="AE10" s="3">
        <v>0</v>
      </c>
      <c r="AF10" s="3">
        <v>0</v>
      </c>
      <c r="AG10" s="3">
        <v>0</v>
      </c>
      <c r="AH10" s="3" t="s">
        <v>775</v>
      </c>
      <c r="AI10" s="3" t="s">
        <v>81</v>
      </c>
      <c r="AK10" s="3" t="s">
        <v>318</v>
      </c>
      <c r="AL10" s="3" t="s">
        <v>234</v>
      </c>
    </row>
    <row r="11" spans="1:39" x14ac:dyDescent="0.25">
      <c r="A11" t="s">
        <v>1050</v>
      </c>
      <c r="B11" s="7">
        <v>40777</v>
      </c>
      <c r="C11" s="7" t="s">
        <v>844</v>
      </c>
      <c r="D11" s="59" t="s">
        <v>6</v>
      </c>
      <c r="E11" s="3" t="s">
        <v>406</v>
      </c>
      <c r="F11" s="3" t="s">
        <v>47</v>
      </c>
      <c r="G11" s="3" t="s">
        <v>21</v>
      </c>
      <c r="H11" s="9">
        <v>36.730232662052401</v>
      </c>
      <c r="I11" s="9">
        <v>-2.15171762897362</v>
      </c>
      <c r="J11" s="3">
        <v>1</v>
      </c>
      <c r="K11" s="3">
        <v>1</v>
      </c>
      <c r="L11" s="3">
        <v>0</v>
      </c>
      <c r="M11" s="3">
        <v>0</v>
      </c>
      <c r="N11" s="3" t="s">
        <v>16</v>
      </c>
      <c r="O11" s="3">
        <v>0</v>
      </c>
      <c r="P11" s="3">
        <v>0</v>
      </c>
      <c r="Q11" s="3">
        <v>1</v>
      </c>
      <c r="R11" s="3">
        <v>1</v>
      </c>
      <c r="S11" s="3">
        <v>0</v>
      </c>
      <c r="T11" s="3">
        <v>0</v>
      </c>
      <c r="U11" s="3">
        <v>0</v>
      </c>
      <c r="V11" s="3">
        <v>0</v>
      </c>
      <c r="W11" s="3" t="s">
        <v>6</v>
      </c>
      <c r="X11" s="3">
        <v>0</v>
      </c>
      <c r="Y11" s="3">
        <v>0</v>
      </c>
      <c r="Z11" s="3">
        <v>0</v>
      </c>
      <c r="AA11" s="3">
        <v>0</v>
      </c>
      <c r="AB11" s="3">
        <v>0</v>
      </c>
      <c r="AC11" s="3">
        <v>0</v>
      </c>
      <c r="AD11" s="3">
        <v>0</v>
      </c>
      <c r="AE11" s="3">
        <v>0</v>
      </c>
      <c r="AF11" s="3">
        <v>0</v>
      </c>
      <c r="AG11" s="3">
        <v>0</v>
      </c>
      <c r="AH11" s="3" t="s">
        <v>17</v>
      </c>
      <c r="AI11" s="3" t="s">
        <v>777</v>
      </c>
      <c r="AK11" s="3" t="s">
        <v>407</v>
      </c>
    </row>
    <row r="12" spans="1:39" x14ac:dyDescent="0.25">
      <c r="A12" t="s">
        <v>1343</v>
      </c>
      <c r="B12" s="7">
        <v>41136</v>
      </c>
      <c r="C12" s="7" t="s">
        <v>844</v>
      </c>
      <c r="D12" s="5" t="s">
        <v>6</v>
      </c>
      <c r="E12" s="3" t="s">
        <v>72</v>
      </c>
      <c r="F12" s="3" t="s">
        <v>25</v>
      </c>
      <c r="G12" s="3" t="s">
        <v>19</v>
      </c>
      <c r="H12" s="9">
        <v>38.006</v>
      </c>
      <c r="I12" s="9">
        <v>-0.64939999999999998</v>
      </c>
      <c r="J12" s="3">
        <v>1</v>
      </c>
      <c r="K12" s="3">
        <v>1</v>
      </c>
      <c r="L12" s="3">
        <v>0</v>
      </c>
      <c r="M12" s="3">
        <v>0</v>
      </c>
      <c r="N12" s="3" t="s">
        <v>66</v>
      </c>
      <c r="O12" s="3">
        <v>0</v>
      </c>
      <c r="P12" s="3">
        <v>0</v>
      </c>
      <c r="Q12" s="3">
        <v>1</v>
      </c>
      <c r="R12" s="3">
        <v>0</v>
      </c>
      <c r="S12" s="3">
        <v>0</v>
      </c>
      <c r="T12" s="3">
        <v>1</v>
      </c>
      <c r="U12" s="3">
        <v>0</v>
      </c>
      <c r="V12" s="3">
        <v>0</v>
      </c>
      <c r="W12" s="3" t="s">
        <v>6</v>
      </c>
      <c r="X12" s="3">
        <v>1</v>
      </c>
      <c r="Y12" s="3">
        <v>0</v>
      </c>
      <c r="Z12" s="3">
        <v>0</v>
      </c>
      <c r="AA12" s="3">
        <v>0</v>
      </c>
      <c r="AB12" s="3">
        <v>0</v>
      </c>
      <c r="AC12" s="3">
        <v>0</v>
      </c>
      <c r="AD12" s="3">
        <v>0</v>
      </c>
      <c r="AE12" s="3">
        <v>0</v>
      </c>
      <c r="AF12" s="3">
        <v>0</v>
      </c>
      <c r="AG12" s="3">
        <v>1</v>
      </c>
      <c r="AH12" s="3" t="s">
        <v>775</v>
      </c>
      <c r="AI12" s="3" t="s">
        <v>81</v>
      </c>
      <c r="AK12" t="s">
        <v>293</v>
      </c>
      <c r="AL12" s="3" t="s">
        <v>294</v>
      </c>
      <c r="AM12" t="s">
        <v>22</v>
      </c>
    </row>
    <row r="13" spans="1:39" x14ac:dyDescent="0.25">
      <c r="A13" t="s">
        <v>1240</v>
      </c>
      <c r="B13" s="7">
        <v>41149</v>
      </c>
      <c r="C13" s="7" t="s">
        <v>844</v>
      </c>
      <c r="D13" s="59" t="s">
        <v>6</v>
      </c>
      <c r="E13" s="3" t="s">
        <v>610</v>
      </c>
      <c r="F13" s="3" t="s">
        <v>24</v>
      </c>
      <c r="G13" s="3" t="s">
        <v>20</v>
      </c>
      <c r="H13" s="9">
        <v>41.263684987044499</v>
      </c>
      <c r="I13" s="9">
        <v>1.9758406000009601</v>
      </c>
      <c r="J13" s="3">
        <v>1</v>
      </c>
      <c r="K13" s="3">
        <v>1</v>
      </c>
      <c r="L13" s="3">
        <v>0</v>
      </c>
      <c r="M13" s="3">
        <v>0</v>
      </c>
      <c r="N13" s="3" t="s">
        <v>6</v>
      </c>
      <c r="O13" s="3">
        <v>0</v>
      </c>
      <c r="P13" s="3">
        <v>0</v>
      </c>
      <c r="Q13" s="3">
        <v>1</v>
      </c>
      <c r="R13" s="3">
        <v>0</v>
      </c>
      <c r="S13" s="3">
        <v>0</v>
      </c>
      <c r="T13" s="3">
        <v>0</v>
      </c>
      <c r="U13" s="3">
        <v>0</v>
      </c>
      <c r="V13" s="3">
        <v>1</v>
      </c>
      <c r="W13" s="3" t="s">
        <v>6</v>
      </c>
      <c r="X13" s="3">
        <v>0</v>
      </c>
      <c r="Y13" s="3">
        <v>0</v>
      </c>
      <c r="Z13" s="3">
        <v>0</v>
      </c>
      <c r="AA13" s="3">
        <v>0</v>
      </c>
      <c r="AB13" s="3">
        <v>0</v>
      </c>
      <c r="AC13" s="3">
        <v>0</v>
      </c>
      <c r="AD13" s="3">
        <v>0</v>
      </c>
      <c r="AE13" s="3">
        <v>0</v>
      </c>
      <c r="AF13" s="3">
        <v>0</v>
      </c>
      <c r="AG13" s="3">
        <v>0</v>
      </c>
      <c r="AH13" s="3" t="s">
        <v>577</v>
      </c>
      <c r="AI13" s="3" t="s">
        <v>741</v>
      </c>
      <c r="AK13" s="3" t="s">
        <v>741</v>
      </c>
      <c r="AL13" s="3" t="s">
        <v>316</v>
      </c>
    </row>
    <row r="14" spans="1:39" x14ac:dyDescent="0.25">
      <c r="A14" t="s">
        <v>1049</v>
      </c>
      <c r="B14" s="7">
        <v>41487</v>
      </c>
      <c r="C14" s="7" t="s">
        <v>844</v>
      </c>
      <c r="D14" s="59" t="s">
        <v>6</v>
      </c>
      <c r="E14" s="3" t="s">
        <v>405</v>
      </c>
      <c r="F14" s="3" t="s">
        <v>24</v>
      </c>
      <c r="G14" s="3" t="s">
        <v>20</v>
      </c>
      <c r="H14" s="9">
        <v>41.454692619892597</v>
      </c>
      <c r="I14" s="9">
        <v>2.2606424006608199</v>
      </c>
      <c r="J14" s="3">
        <v>1</v>
      </c>
      <c r="K14" s="3">
        <v>1</v>
      </c>
      <c r="L14" s="3">
        <v>0</v>
      </c>
      <c r="M14" s="3">
        <v>0</v>
      </c>
      <c r="N14" s="3" t="s">
        <v>6</v>
      </c>
      <c r="O14" s="3">
        <v>0</v>
      </c>
      <c r="P14" s="3">
        <v>0</v>
      </c>
      <c r="Q14" s="3">
        <v>1</v>
      </c>
      <c r="R14" s="3">
        <v>0</v>
      </c>
      <c r="S14" s="3">
        <v>0</v>
      </c>
      <c r="T14" s="3">
        <v>0</v>
      </c>
      <c r="U14" s="3">
        <v>0</v>
      </c>
      <c r="V14" s="3">
        <v>1</v>
      </c>
      <c r="W14" s="3" t="s">
        <v>6</v>
      </c>
      <c r="X14" s="3">
        <v>0</v>
      </c>
      <c r="Y14" s="3">
        <v>0</v>
      </c>
      <c r="Z14" s="3">
        <v>0</v>
      </c>
      <c r="AA14" s="3">
        <v>0</v>
      </c>
      <c r="AB14" s="3">
        <v>0</v>
      </c>
      <c r="AC14" s="3">
        <v>0</v>
      </c>
      <c r="AD14" s="3">
        <v>0</v>
      </c>
      <c r="AE14" s="3">
        <v>0</v>
      </c>
      <c r="AF14" s="3">
        <v>0</v>
      </c>
      <c r="AG14" s="3">
        <v>0</v>
      </c>
      <c r="AH14" s="3" t="s">
        <v>17</v>
      </c>
      <c r="AI14" s="3" t="s">
        <v>777</v>
      </c>
      <c r="AK14" s="3" t="s">
        <v>404</v>
      </c>
    </row>
    <row r="15" spans="1:39" x14ac:dyDescent="0.25">
      <c r="A15" t="s">
        <v>1355</v>
      </c>
      <c r="B15" s="8">
        <v>41506</v>
      </c>
      <c r="C15" s="7" t="s">
        <v>844</v>
      </c>
      <c r="D15" s="59" t="s">
        <v>6</v>
      </c>
      <c r="E15" s="3" t="s">
        <v>26</v>
      </c>
      <c r="F15" s="3" t="s">
        <v>78</v>
      </c>
      <c r="G15" s="3" t="s">
        <v>19</v>
      </c>
      <c r="H15" s="9">
        <v>39.890047182757598</v>
      </c>
      <c r="I15" s="9">
        <v>0.66895061246423404</v>
      </c>
      <c r="J15" s="3">
        <v>1</v>
      </c>
      <c r="K15" s="3">
        <v>1</v>
      </c>
      <c r="L15" s="3">
        <v>0</v>
      </c>
      <c r="M15" s="3">
        <v>0</v>
      </c>
      <c r="N15" s="3" t="s">
        <v>66</v>
      </c>
      <c r="O15" s="3">
        <v>0</v>
      </c>
      <c r="P15" s="3">
        <v>1</v>
      </c>
      <c r="Q15" s="3">
        <v>0</v>
      </c>
      <c r="R15" s="3">
        <v>1</v>
      </c>
      <c r="S15" s="3">
        <v>0</v>
      </c>
      <c r="T15" s="3">
        <v>0</v>
      </c>
      <c r="U15" s="3">
        <v>0</v>
      </c>
      <c r="V15" s="3">
        <v>0</v>
      </c>
      <c r="W15" s="3" t="s">
        <v>6</v>
      </c>
      <c r="X15" s="3">
        <v>1</v>
      </c>
      <c r="Y15" s="3">
        <v>0</v>
      </c>
      <c r="Z15" s="3">
        <v>1</v>
      </c>
      <c r="AA15" s="3">
        <v>0</v>
      </c>
      <c r="AB15" s="3">
        <v>0</v>
      </c>
      <c r="AC15" s="3">
        <v>0</v>
      </c>
      <c r="AD15" s="3">
        <v>0</v>
      </c>
      <c r="AE15" s="3">
        <v>0</v>
      </c>
      <c r="AF15" s="3">
        <v>0</v>
      </c>
      <c r="AG15" s="3">
        <v>0</v>
      </c>
      <c r="AH15" s="3" t="s">
        <v>17</v>
      </c>
      <c r="AI15" s="3" t="s">
        <v>777</v>
      </c>
      <c r="AK15" t="s">
        <v>141</v>
      </c>
      <c r="AL15" s="3" t="s">
        <v>240</v>
      </c>
    </row>
    <row r="16" spans="1:39" x14ac:dyDescent="0.25">
      <c r="A16" t="s">
        <v>1325</v>
      </c>
      <c r="B16" s="7">
        <v>41508</v>
      </c>
      <c r="C16" s="7" t="s">
        <v>844</v>
      </c>
      <c r="D16" s="5" t="s">
        <v>6</v>
      </c>
      <c r="E16" s="3" t="s">
        <v>53</v>
      </c>
      <c r="F16" s="3" t="s">
        <v>8</v>
      </c>
      <c r="G16" s="3" t="s">
        <v>8</v>
      </c>
      <c r="H16" s="9">
        <v>39.322646292098398</v>
      </c>
      <c r="I16" s="9">
        <v>3.14626308090426</v>
      </c>
      <c r="J16" s="3">
        <v>1</v>
      </c>
      <c r="K16" s="3">
        <v>0</v>
      </c>
      <c r="L16" s="3">
        <v>0</v>
      </c>
      <c r="M16" s="3">
        <v>1</v>
      </c>
      <c r="N16" s="3" t="s">
        <v>16</v>
      </c>
      <c r="O16" s="3">
        <v>0</v>
      </c>
      <c r="P16" s="3">
        <v>1</v>
      </c>
      <c r="Q16" s="3">
        <v>0</v>
      </c>
      <c r="R16" s="3">
        <v>1</v>
      </c>
      <c r="S16" s="3">
        <v>0</v>
      </c>
      <c r="T16" s="3">
        <v>0</v>
      </c>
      <c r="U16" s="3">
        <v>0</v>
      </c>
      <c r="V16" s="3">
        <v>0</v>
      </c>
      <c r="W16" s="3" t="s">
        <v>6</v>
      </c>
      <c r="X16" s="3">
        <v>0</v>
      </c>
      <c r="Y16" s="3">
        <v>0</v>
      </c>
      <c r="Z16" s="3">
        <v>0</v>
      </c>
      <c r="AA16" s="3">
        <v>0</v>
      </c>
      <c r="AB16" s="3">
        <v>0</v>
      </c>
      <c r="AC16" s="3">
        <v>0</v>
      </c>
      <c r="AD16" s="3">
        <v>0</v>
      </c>
      <c r="AE16" s="3">
        <v>0</v>
      </c>
      <c r="AF16" s="3">
        <v>0</v>
      </c>
      <c r="AG16" s="3">
        <v>0</v>
      </c>
      <c r="AH16" s="3" t="s">
        <v>775</v>
      </c>
      <c r="AI16" s="3" t="s">
        <v>80</v>
      </c>
      <c r="AK16" t="s">
        <v>911</v>
      </c>
      <c r="AL16" s="3" t="s">
        <v>22</v>
      </c>
      <c r="AM16" t="s">
        <v>22</v>
      </c>
    </row>
    <row r="17" spans="1:39" x14ac:dyDescent="0.25">
      <c r="A17" t="s">
        <v>1338</v>
      </c>
      <c r="B17" s="7">
        <v>41509</v>
      </c>
      <c r="C17" s="7" t="s">
        <v>844</v>
      </c>
      <c r="D17" s="5" t="s">
        <v>6</v>
      </c>
      <c r="E17" s="3" t="s">
        <v>64</v>
      </c>
      <c r="F17" s="3" t="s">
        <v>25</v>
      </c>
      <c r="G17" s="3" t="s">
        <v>19</v>
      </c>
      <c r="H17" s="9">
        <v>38.019599999999997</v>
      </c>
      <c r="I17" s="9">
        <v>-0.65180000000000005</v>
      </c>
      <c r="J17" s="3">
        <v>1</v>
      </c>
      <c r="K17" s="3">
        <v>0</v>
      </c>
      <c r="L17" s="3">
        <v>1</v>
      </c>
      <c r="M17" s="3">
        <v>0</v>
      </c>
      <c r="N17" s="3" t="s">
        <v>16</v>
      </c>
      <c r="O17" s="3">
        <v>0</v>
      </c>
      <c r="P17" s="3">
        <v>0</v>
      </c>
      <c r="Q17" s="3">
        <v>1</v>
      </c>
      <c r="R17" s="3">
        <v>0</v>
      </c>
      <c r="S17" s="3">
        <v>1</v>
      </c>
      <c r="T17" s="3">
        <v>0</v>
      </c>
      <c r="U17" s="3">
        <v>0</v>
      </c>
      <c r="V17" s="3">
        <v>0</v>
      </c>
      <c r="W17" s="3" t="s">
        <v>6</v>
      </c>
      <c r="X17" s="3">
        <v>1</v>
      </c>
      <c r="Y17" s="3">
        <v>0</v>
      </c>
      <c r="Z17" s="3">
        <v>0</v>
      </c>
      <c r="AA17" s="3">
        <v>0</v>
      </c>
      <c r="AB17" s="3">
        <v>0</v>
      </c>
      <c r="AC17" s="3">
        <v>0</v>
      </c>
      <c r="AD17" s="3">
        <v>0</v>
      </c>
      <c r="AE17" s="3">
        <v>0</v>
      </c>
      <c r="AF17" s="3">
        <v>0</v>
      </c>
      <c r="AG17" s="3">
        <v>1</v>
      </c>
      <c r="AH17" s="3" t="s">
        <v>775</v>
      </c>
      <c r="AI17" s="3" t="s">
        <v>81</v>
      </c>
      <c r="AK17" t="s">
        <v>295</v>
      </c>
      <c r="AL17" s="3" t="s">
        <v>296</v>
      </c>
      <c r="AM17" t="s">
        <v>22</v>
      </c>
    </row>
    <row r="18" spans="1:39" x14ac:dyDescent="0.25">
      <c r="A18" t="s">
        <v>1116</v>
      </c>
      <c r="B18" s="7">
        <v>41516</v>
      </c>
      <c r="C18" s="7" t="s">
        <v>844</v>
      </c>
      <c r="D18" s="69">
        <v>0.58333333333333337</v>
      </c>
      <c r="E18" s="3" t="s">
        <v>571</v>
      </c>
      <c r="F18" s="3" t="s">
        <v>87</v>
      </c>
      <c r="G18" s="3" t="s">
        <v>19</v>
      </c>
      <c r="H18" s="9">
        <v>39.477406971705697</v>
      </c>
      <c r="I18" s="9">
        <v>-0.32260826772856899</v>
      </c>
      <c r="J18" s="3">
        <v>3</v>
      </c>
      <c r="K18" s="3">
        <v>3</v>
      </c>
      <c r="L18" s="3">
        <v>0</v>
      </c>
      <c r="M18" s="3">
        <v>0</v>
      </c>
      <c r="N18" s="3" t="s">
        <v>6</v>
      </c>
      <c r="O18" s="3">
        <v>0</v>
      </c>
      <c r="P18" s="3">
        <v>1</v>
      </c>
      <c r="Q18" s="3">
        <v>2</v>
      </c>
      <c r="R18" s="3">
        <v>1</v>
      </c>
      <c r="S18" s="3">
        <v>0</v>
      </c>
      <c r="T18" s="3">
        <v>2</v>
      </c>
      <c r="U18" s="3">
        <v>0</v>
      </c>
      <c r="V18" s="3">
        <v>0</v>
      </c>
      <c r="W18" s="3" t="s">
        <v>6</v>
      </c>
      <c r="X18" s="3">
        <v>1</v>
      </c>
      <c r="Y18" s="3">
        <v>0</v>
      </c>
      <c r="Z18" s="3">
        <v>0</v>
      </c>
      <c r="AA18" s="3">
        <v>0</v>
      </c>
      <c r="AB18" s="3">
        <v>1</v>
      </c>
      <c r="AC18" s="3">
        <v>0</v>
      </c>
      <c r="AD18" s="3">
        <v>0</v>
      </c>
      <c r="AE18" s="3">
        <v>0</v>
      </c>
      <c r="AF18" s="3">
        <v>0</v>
      </c>
      <c r="AG18" s="3">
        <v>0</v>
      </c>
      <c r="AH18" s="3" t="s">
        <v>233</v>
      </c>
      <c r="AI18" s="3" t="s">
        <v>789</v>
      </c>
      <c r="AK18" t="s">
        <v>573</v>
      </c>
      <c r="AL18" s="3" t="s">
        <v>799</v>
      </c>
    </row>
    <row r="19" spans="1:39" x14ac:dyDescent="0.25">
      <c r="A19" t="s">
        <v>1117</v>
      </c>
      <c r="B19" s="7">
        <v>41516</v>
      </c>
      <c r="C19" s="7" t="s">
        <v>844</v>
      </c>
      <c r="D19" s="69">
        <v>0.58333333333333337</v>
      </c>
      <c r="E19" s="3" t="s">
        <v>572</v>
      </c>
      <c r="F19" s="3" t="s">
        <v>87</v>
      </c>
      <c r="G19" s="3" t="s">
        <v>19</v>
      </c>
      <c r="H19" s="9">
        <v>39.468527193047599</v>
      </c>
      <c r="I19" s="9">
        <v>-0.32183885726449102</v>
      </c>
      <c r="J19" s="3">
        <v>2</v>
      </c>
      <c r="K19" s="3">
        <v>2</v>
      </c>
      <c r="L19" s="3">
        <v>0</v>
      </c>
      <c r="M19" s="3">
        <v>0</v>
      </c>
      <c r="N19" s="3" t="s">
        <v>6</v>
      </c>
      <c r="O19" s="3">
        <v>0</v>
      </c>
      <c r="P19" s="3">
        <v>0</v>
      </c>
      <c r="Q19" s="3">
        <v>2</v>
      </c>
      <c r="R19" s="3">
        <v>0</v>
      </c>
      <c r="S19" s="3">
        <v>0</v>
      </c>
      <c r="T19" s="3">
        <v>0</v>
      </c>
      <c r="U19" s="3">
        <v>0</v>
      </c>
      <c r="V19" s="3">
        <v>2</v>
      </c>
      <c r="W19" s="3" t="s">
        <v>6</v>
      </c>
      <c r="X19" s="3">
        <v>0</v>
      </c>
      <c r="Y19" s="3">
        <v>0</v>
      </c>
      <c r="Z19" s="3">
        <v>0</v>
      </c>
      <c r="AA19" s="3">
        <v>0</v>
      </c>
      <c r="AB19" s="3">
        <v>0</v>
      </c>
      <c r="AC19" s="3">
        <v>0</v>
      </c>
      <c r="AD19" s="3">
        <v>0</v>
      </c>
      <c r="AE19" s="3">
        <v>0</v>
      </c>
      <c r="AF19" s="3">
        <v>0</v>
      </c>
      <c r="AG19" s="3">
        <v>0</v>
      </c>
      <c r="AH19" s="3" t="s">
        <v>233</v>
      </c>
      <c r="AI19" s="3" t="s">
        <v>789</v>
      </c>
      <c r="AK19" s="3" t="s">
        <v>573</v>
      </c>
    </row>
    <row r="20" spans="1:39" x14ac:dyDescent="0.25">
      <c r="A20" t="s">
        <v>1258</v>
      </c>
      <c r="B20" s="7">
        <v>41842</v>
      </c>
      <c r="C20" s="7" t="s">
        <v>844</v>
      </c>
      <c r="D20" s="59" t="s">
        <v>6</v>
      </c>
      <c r="E20" s="3" t="s">
        <v>797</v>
      </c>
      <c r="F20" s="3" t="s">
        <v>25</v>
      </c>
      <c r="G20" s="3" t="s">
        <v>19</v>
      </c>
      <c r="H20" s="9">
        <v>38.727971409107703</v>
      </c>
      <c r="I20" s="9">
        <v>0.19870984828897301</v>
      </c>
      <c r="J20" s="3">
        <v>1</v>
      </c>
      <c r="K20" s="3">
        <v>1</v>
      </c>
      <c r="L20" s="3">
        <v>0</v>
      </c>
      <c r="M20" s="3">
        <v>0</v>
      </c>
      <c r="N20" s="3" t="s">
        <v>66</v>
      </c>
      <c r="O20" s="3">
        <v>0</v>
      </c>
      <c r="P20" s="3">
        <v>1</v>
      </c>
      <c r="Q20" s="3">
        <v>0</v>
      </c>
      <c r="R20" s="3">
        <v>1</v>
      </c>
      <c r="S20" s="3">
        <v>0</v>
      </c>
      <c r="T20" s="3">
        <v>0</v>
      </c>
      <c r="U20" s="3">
        <v>0</v>
      </c>
      <c r="V20" s="3">
        <v>0</v>
      </c>
      <c r="W20" s="3" t="s">
        <v>6</v>
      </c>
      <c r="X20" s="3">
        <v>0</v>
      </c>
      <c r="Y20" s="3">
        <v>0</v>
      </c>
      <c r="Z20" s="3">
        <v>0</v>
      </c>
      <c r="AA20" s="3">
        <v>0</v>
      </c>
      <c r="AB20" s="3">
        <v>0</v>
      </c>
      <c r="AC20" s="3">
        <v>0</v>
      </c>
      <c r="AD20" s="3">
        <v>0</v>
      </c>
      <c r="AE20" s="3">
        <v>0</v>
      </c>
      <c r="AF20" s="3">
        <v>0</v>
      </c>
      <c r="AG20" s="3">
        <v>0</v>
      </c>
      <c r="AH20" s="3" t="s">
        <v>17</v>
      </c>
      <c r="AI20" s="3" t="s">
        <v>776</v>
      </c>
      <c r="AK20" s="3" t="s">
        <v>798</v>
      </c>
      <c r="AL20" s="3" t="s">
        <v>316</v>
      </c>
    </row>
    <row r="21" spans="1:39" x14ac:dyDescent="0.25">
      <c r="A21" t="s">
        <v>1000</v>
      </c>
      <c r="B21" s="7">
        <v>42140</v>
      </c>
      <c r="C21" s="7" t="s">
        <v>842</v>
      </c>
      <c r="D21" s="59" t="s">
        <v>6</v>
      </c>
      <c r="E21" s="3" t="s">
        <v>319</v>
      </c>
      <c r="F21" s="3" t="s">
        <v>47</v>
      </c>
      <c r="G21" s="3" t="s">
        <v>21</v>
      </c>
      <c r="H21" s="9">
        <v>36.6720667677303</v>
      </c>
      <c r="I21" s="9">
        <v>-2.6606359281096199</v>
      </c>
      <c r="J21" s="3">
        <v>1</v>
      </c>
      <c r="K21" s="3">
        <v>1</v>
      </c>
      <c r="L21" s="3">
        <v>0</v>
      </c>
      <c r="M21" s="3">
        <v>0</v>
      </c>
      <c r="N21" s="3" t="s">
        <v>66</v>
      </c>
      <c r="O21" s="3">
        <v>0</v>
      </c>
      <c r="P21" s="3">
        <v>1</v>
      </c>
      <c r="Q21" s="3">
        <v>0</v>
      </c>
      <c r="R21" s="3">
        <v>1</v>
      </c>
      <c r="S21" s="3">
        <v>0</v>
      </c>
      <c r="T21" s="3">
        <v>0</v>
      </c>
      <c r="U21" s="3">
        <v>0</v>
      </c>
      <c r="V21" s="3">
        <v>0</v>
      </c>
      <c r="W21" s="3" t="s">
        <v>6</v>
      </c>
      <c r="X21" s="3">
        <v>1</v>
      </c>
      <c r="Y21" s="3">
        <v>0</v>
      </c>
      <c r="Z21" s="3">
        <v>0</v>
      </c>
      <c r="AA21" s="3">
        <v>1</v>
      </c>
      <c r="AB21" s="3">
        <v>0</v>
      </c>
      <c r="AC21" s="3">
        <v>0</v>
      </c>
      <c r="AD21" s="3">
        <v>0</v>
      </c>
      <c r="AE21" s="3">
        <v>0</v>
      </c>
      <c r="AF21" s="3">
        <v>0</v>
      </c>
      <c r="AG21" s="3">
        <v>0</v>
      </c>
      <c r="AH21" s="3" t="s">
        <v>775</v>
      </c>
      <c r="AI21" s="3" t="s">
        <v>81</v>
      </c>
      <c r="AK21" s="3" t="s">
        <v>320</v>
      </c>
      <c r="AL21" s="3" t="s">
        <v>240</v>
      </c>
    </row>
    <row r="22" spans="1:39" x14ac:dyDescent="0.25">
      <c r="A22" t="s">
        <v>1344</v>
      </c>
      <c r="B22" s="7">
        <v>42159</v>
      </c>
      <c r="C22" s="7" t="s">
        <v>844</v>
      </c>
      <c r="D22" s="5" t="s">
        <v>6</v>
      </c>
      <c r="E22" s="3" t="s">
        <v>72</v>
      </c>
      <c r="F22" s="3" t="s">
        <v>25</v>
      </c>
      <c r="G22" s="3" t="s">
        <v>19</v>
      </c>
      <c r="H22" s="9">
        <v>37.985399999999998</v>
      </c>
      <c r="I22" s="9">
        <v>-0.60540000000000005</v>
      </c>
      <c r="J22" s="3">
        <v>1</v>
      </c>
      <c r="K22" s="3">
        <v>0</v>
      </c>
      <c r="L22" s="3">
        <v>1</v>
      </c>
      <c r="M22" s="3">
        <v>0</v>
      </c>
      <c r="N22" s="3" t="s">
        <v>66</v>
      </c>
      <c r="O22" s="3">
        <v>0</v>
      </c>
      <c r="P22" s="3">
        <v>0</v>
      </c>
      <c r="Q22" s="3">
        <v>1</v>
      </c>
      <c r="R22" s="3">
        <v>1</v>
      </c>
      <c r="S22" s="3">
        <v>0</v>
      </c>
      <c r="T22" s="3">
        <v>0</v>
      </c>
      <c r="U22" s="3">
        <v>0</v>
      </c>
      <c r="V22" s="3">
        <v>0</v>
      </c>
      <c r="W22" s="3" t="s">
        <v>6</v>
      </c>
      <c r="X22" s="3">
        <v>1</v>
      </c>
      <c r="Y22" s="3">
        <v>0</v>
      </c>
      <c r="Z22" s="3">
        <v>0</v>
      </c>
      <c r="AA22" s="3">
        <v>0</v>
      </c>
      <c r="AB22" s="3">
        <v>0</v>
      </c>
      <c r="AC22" s="3">
        <v>0</v>
      </c>
      <c r="AD22" s="3">
        <v>0</v>
      </c>
      <c r="AE22" s="3">
        <v>0</v>
      </c>
      <c r="AF22" s="3">
        <v>0</v>
      </c>
      <c r="AG22" s="3">
        <v>0</v>
      </c>
      <c r="AH22" s="3" t="s">
        <v>775</v>
      </c>
      <c r="AI22" s="3" t="s">
        <v>81</v>
      </c>
      <c r="AK22" t="s">
        <v>281</v>
      </c>
      <c r="AL22" s="3" t="s">
        <v>36</v>
      </c>
      <c r="AM22" t="s">
        <v>22</v>
      </c>
    </row>
    <row r="23" spans="1:39" x14ac:dyDescent="0.25">
      <c r="A23" t="s">
        <v>1332</v>
      </c>
      <c r="B23" s="7">
        <v>42385</v>
      </c>
      <c r="C23" s="7" t="s">
        <v>841</v>
      </c>
      <c r="D23" s="5">
        <v>0.86041666666666672</v>
      </c>
      <c r="F23" s="3" t="s">
        <v>8</v>
      </c>
      <c r="G23" s="3" t="s">
        <v>8</v>
      </c>
      <c r="H23" s="9">
        <v>38.632002</v>
      </c>
      <c r="I23" s="9">
        <v>0.78200999999999998</v>
      </c>
      <c r="J23" s="3">
        <v>1</v>
      </c>
      <c r="K23" s="3">
        <v>1</v>
      </c>
      <c r="L23" s="3">
        <v>0</v>
      </c>
      <c r="M23" s="3">
        <v>0</v>
      </c>
      <c r="N23" s="3" t="s">
        <v>16</v>
      </c>
      <c r="O23" s="3">
        <v>0</v>
      </c>
      <c r="P23" s="3">
        <v>0</v>
      </c>
      <c r="Q23" s="3">
        <v>1</v>
      </c>
      <c r="R23" s="3">
        <v>0</v>
      </c>
      <c r="S23" s="3">
        <v>0</v>
      </c>
      <c r="T23" s="3">
        <v>0</v>
      </c>
      <c r="U23" s="3">
        <v>0</v>
      </c>
      <c r="V23" s="3">
        <v>1</v>
      </c>
      <c r="W23" s="3" t="s">
        <v>6</v>
      </c>
      <c r="X23" s="3">
        <v>1</v>
      </c>
      <c r="Y23" s="3">
        <v>0</v>
      </c>
      <c r="Z23" s="3">
        <v>0</v>
      </c>
      <c r="AA23" s="3">
        <v>0</v>
      </c>
      <c r="AB23" s="3">
        <v>0</v>
      </c>
      <c r="AC23" s="3">
        <v>0</v>
      </c>
      <c r="AD23" s="3">
        <v>0</v>
      </c>
      <c r="AE23" s="3">
        <v>0</v>
      </c>
      <c r="AF23" s="3">
        <v>0</v>
      </c>
      <c r="AG23" s="3">
        <v>0</v>
      </c>
      <c r="AH23" s="3" t="s">
        <v>775</v>
      </c>
      <c r="AI23" s="3" t="s">
        <v>80</v>
      </c>
      <c r="AK23"/>
      <c r="AM23" t="s">
        <v>22</v>
      </c>
    </row>
    <row r="24" spans="1:39" x14ac:dyDescent="0.25">
      <c r="A24" t="s">
        <v>1250</v>
      </c>
      <c r="B24" s="7">
        <v>42385</v>
      </c>
      <c r="C24" s="7" t="s">
        <v>841</v>
      </c>
      <c r="D24" s="59" t="s">
        <v>6</v>
      </c>
      <c r="E24" s="3" t="s">
        <v>758</v>
      </c>
      <c r="F24" s="3" t="s">
        <v>25</v>
      </c>
      <c r="G24" s="3" t="s">
        <v>19</v>
      </c>
      <c r="H24" s="9">
        <v>38.631684695294602</v>
      </c>
      <c r="I24" s="9">
        <v>7.7434680130772995E-2</v>
      </c>
      <c r="J24" s="3">
        <v>1</v>
      </c>
      <c r="K24" s="3">
        <v>1</v>
      </c>
      <c r="L24" s="3">
        <v>0</v>
      </c>
      <c r="M24" s="3">
        <v>0</v>
      </c>
      <c r="N24" s="3" t="s">
        <v>16</v>
      </c>
      <c r="O24" s="3">
        <v>0</v>
      </c>
      <c r="P24" s="3">
        <v>1</v>
      </c>
      <c r="Q24" s="3">
        <v>0</v>
      </c>
      <c r="R24" s="3">
        <v>1</v>
      </c>
      <c r="S24" s="3">
        <v>0</v>
      </c>
      <c r="T24" s="3">
        <v>0</v>
      </c>
      <c r="U24" s="3">
        <v>0</v>
      </c>
      <c r="V24" s="3">
        <v>0</v>
      </c>
      <c r="W24" s="3" t="s">
        <v>6</v>
      </c>
      <c r="X24" s="3">
        <v>1</v>
      </c>
      <c r="Y24" s="3">
        <v>0</v>
      </c>
      <c r="Z24" s="3">
        <v>0</v>
      </c>
      <c r="AA24" s="3">
        <v>0</v>
      </c>
      <c r="AB24" s="3">
        <v>0</v>
      </c>
      <c r="AC24" s="3">
        <v>0</v>
      </c>
      <c r="AD24" s="3">
        <v>1</v>
      </c>
      <c r="AE24" s="3">
        <v>0</v>
      </c>
      <c r="AF24" s="3">
        <v>0</v>
      </c>
      <c r="AG24" s="3">
        <v>0</v>
      </c>
      <c r="AH24" s="3" t="s">
        <v>775</v>
      </c>
      <c r="AI24" s="3" t="s">
        <v>759</v>
      </c>
      <c r="AK24" s="3" t="s">
        <v>275</v>
      </c>
      <c r="AL24" s="3" t="s">
        <v>253</v>
      </c>
    </row>
    <row r="25" spans="1:39" x14ac:dyDescent="0.25">
      <c r="A25" t="s">
        <v>1040</v>
      </c>
      <c r="B25" s="7">
        <v>42506</v>
      </c>
      <c r="C25" s="7" t="s">
        <v>842</v>
      </c>
      <c r="D25" s="59" t="s">
        <v>6</v>
      </c>
      <c r="E25" s="3" t="s">
        <v>389</v>
      </c>
      <c r="F25" s="3" t="s">
        <v>8</v>
      </c>
      <c r="G25" s="3" t="s">
        <v>8</v>
      </c>
      <c r="H25" s="9">
        <v>39.500223671805301</v>
      </c>
      <c r="I25" s="9">
        <v>2.6608700129841001</v>
      </c>
      <c r="J25" s="3">
        <v>1</v>
      </c>
      <c r="K25" s="3">
        <v>1</v>
      </c>
      <c r="L25" s="3">
        <v>0</v>
      </c>
      <c r="M25" s="3">
        <v>0</v>
      </c>
      <c r="N25" s="3" t="s">
        <v>16</v>
      </c>
      <c r="O25" s="3">
        <v>1</v>
      </c>
      <c r="P25" s="3">
        <v>0</v>
      </c>
      <c r="Q25" s="3">
        <v>0</v>
      </c>
      <c r="R25" s="3">
        <v>1</v>
      </c>
      <c r="S25" s="3">
        <v>0</v>
      </c>
      <c r="T25" s="3">
        <v>0</v>
      </c>
      <c r="U25" s="3">
        <v>0</v>
      </c>
      <c r="V25" s="3">
        <v>0</v>
      </c>
      <c r="W25" s="3" t="s">
        <v>6</v>
      </c>
      <c r="X25" s="3">
        <v>0</v>
      </c>
      <c r="Y25" s="3">
        <v>0</v>
      </c>
      <c r="Z25" s="3">
        <v>0</v>
      </c>
      <c r="AA25" s="3">
        <v>0</v>
      </c>
      <c r="AB25" s="3">
        <v>0</v>
      </c>
      <c r="AC25" s="3">
        <v>0</v>
      </c>
      <c r="AD25" s="3">
        <v>0</v>
      </c>
      <c r="AE25" s="3">
        <v>0</v>
      </c>
      <c r="AF25" s="3">
        <v>0</v>
      </c>
      <c r="AG25" s="3">
        <v>0</v>
      </c>
      <c r="AH25" s="3" t="s">
        <v>17</v>
      </c>
      <c r="AI25" s="3" t="s">
        <v>777</v>
      </c>
      <c r="AK25" s="3" t="s">
        <v>390</v>
      </c>
      <c r="AL25" s="3" t="s">
        <v>316</v>
      </c>
    </row>
    <row r="26" spans="1:39" x14ac:dyDescent="0.25">
      <c r="A26" t="s">
        <v>1356</v>
      </c>
      <c r="B26" s="8">
        <v>42573</v>
      </c>
      <c r="C26" s="7" t="s">
        <v>844</v>
      </c>
      <c r="D26" s="59" t="s">
        <v>6</v>
      </c>
      <c r="E26" s="3" t="s">
        <v>82</v>
      </c>
      <c r="F26" s="3" t="s">
        <v>47</v>
      </c>
      <c r="G26" s="3" t="s">
        <v>21</v>
      </c>
      <c r="H26" s="9">
        <v>36.817942473534899</v>
      </c>
      <c r="I26" s="9">
        <v>-2.5332834711130299</v>
      </c>
      <c r="J26" s="3">
        <v>2</v>
      </c>
      <c r="K26" s="3">
        <v>2</v>
      </c>
      <c r="L26" s="3">
        <v>0</v>
      </c>
      <c r="M26" s="3">
        <v>0</v>
      </c>
      <c r="N26" s="3" t="s">
        <v>16</v>
      </c>
      <c r="O26" s="3">
        <v>1</v>
      </c>
      <c r="P26" s="3">
        <v>1</v>
      </c>
      <c r="Q26" s="3">
        <v>0</v>
      </c>
      <c r="R26" s="3">
        <v>2</v>
      </c>
      <c r="S26" s="3">
        <v>0</v>
      </c>
      <c r="T26" s="3">
        <v>0</v>
      </c>
      <c r="U26" s="3">
        <v>0</v>
      </c>
      <c r="V26" s="3">
        <v>0</v>
      </c>
      <c r="W26" s="3" t="s">
        <v>6</v>
      </c>
      <c r="X26" s="3">
        <v>1</v>
      </c>
      <c r="Y26" s="3">
        <v>1</v>
      </c>
      <c r="Z26" s="3">
        <v>0</v>
      </c>
      <c r="AA26" s="3">
        <v>0</v>
      </c>
      <c r="AB26" s="3">
        <v>0</v>
      </c>
      <c r="AC26" s="3">
        <v>0</v>
      </c>
      <c r="AD26" s="3">
        <v>0</v>
      </c>
      <c r="AE26" s="3">
        <v>0</v>
      </c>
      <c r="AF26" s="3">
        <v>0</v>
      </c>
      <c r="AG26" s="3">
        <v>0</v>
      </c>
      <c r="AH26" s="3" t="s">
        <v>17</v>
      </c>
      <c r="AI26" s="3" t="s">
        <v>779</v>
      </c>
      <c r="AK26" s="3" t="s">
        <v>142</v>
      </c>
      <c r="AL26" s="3" t="s">
        <v>234</v>
      </c>
    </row>
    <row r="27" spans="1:39" x14ac:dyDescent="0.25">
      <c r="A27" t="s">
        <v>1357</v>
      </c>
      <c r="B27" s="8">
        <v>42581</v>
      </c>
      <c r="C27" s="7" t="s">
        <v>844</v>
      </c>
      <c r="D27" s="59" t="s">
        <v>6</v>
      </c>
      <c r="E27" s="3" t="s">
        <v>83</v>
      </c>
      <c r="F27" s="3" t="s">
        <v>25</v>
      </c>
      <c r="G27" s="3" t="s">
        <v>19</v>
      </c>
      <c r="H27" s="9">
        <v>38.685822395333297</v>
      </c>
      <c r="I27" s="9">
        <v>0.15444061476923501</v>
      </c>
      <c r="J27" s="3">
        <v>1</v>
      </c>
      <c r="K27" s="3">
        <v>1</v>
      </c>
      <c r="L27" s="3">
        <v>0</v>
      </c>
      <c r="M27" s="3">
        <v>0</v>
      </c>
      <c r="N27" s="3" t="s">
        <v>66</v>
      </c>
      <c r="O27" s="3">
        <v>0</v>
      </c>
      <c r="P27" s="3">
        <v>1</v>
      </c>
      <c r="Q27" s="3">
        <v>0</v>
      </c>
      <c r="R27" s="3">
        <v>1</v>
      </c>
      <c r="S27" s="3">
        <v>0</v>
      </c>
      <c r="T27" s="3">
        <v>0</v>
      </c>
      <c r="U27" s="3">
        <v>0</v>
      </c>
      <c r="V27" s="3">
        <v>0</v>
      </c>
      <c r="W27" s="3" t="s">
        <v>6</v>
      </c>
      <c r="X27" s="3">
        <v>1</v>
      </c>
      <c r="Y27" s="3">
        <v>0</v>
      </c>
      <c r="Z27" s="3">
        <v>1</v>
      </c>
      <c r="AA27" s="3">
        <v>0</v>
      </c>
      <c r="AB27" s="3">
        <v>0</v>
      </c>
      <c r="AC27" s="3">
        <v>0</v>
      </c>
      <c r="AD27" s="3">
        <v>0</v>
      </c>
      <c r="AE27" s="3">
        <v>0</v>
      </c>
      <c r="AF27" s="3">
        <v>0</v>
      </c>
      <c r="AG27" s="3">
        <v>0</v>
      </c>
      <c r="AH27" s="3" t="s">
        <v>17</v>
      </c>
      <c r="AI27" s="3" t="s">
        <v>780</v>
      </c>
      <c r="AK27" s="3" t="s">
        <v>143</v>
      </c>
      <c r="AL27" s="3" t="s">
        <v>241</v>
      </c>
    </row>
    <row r="28" spans="1:39" x14ac:dyDescent="0.25">
      <c r="A28" t="s">
        <v>1358</v>
      </c>
      <c r="B28" s="8">
        <v>42581</v>
      </c>
      <c r="C28" s="7" t="s">
        <v>844</v>
      </c>
      <c r="D28" s="59" t="s">
        <v>6</v>
      </c>
      <c r="E28" s="3" t="s">
        <v>84</v>
      </c>
      <c r="F28" s="3" t="s">
        <v>8</v>
      </c>
      <c r="G28" s="3" t="s">
        <v>8</v>
      </c>
      <c r="H28" s="9">
        <v>39.776233835183902</v>
      </c>
      <c r="I28" s="9">
        <v>3.1497188613510998</v>
      </c>
      <c r="J28" s="3">
        <v>1</v>
      </c>
      <c r="K28" s="3">
        <v>1</v>
      </c>
      <c r="L28" s="3">
        <v>0</v>
      </c>
      <c r="M28" s="3">
        <v>0</v>
      </c>
      <c r="N28" s="3" t="s">
        <v>16</v>
      </c>
      <c r="O28" s="3">
        <v>0</v>
      </c>
      <c r="P28" s="3">
        <v>0</v>
      </c>
      <c r="Q28" s="3">
        <v>1</v>
      </c>
      <c r="R28" s="3">
        <v>1</v>
      </c>
      <c r="S28" s="3">
        <v>0</v>
      </c>
      <c r="T28" s="3">
        <v>0</v>
      </c>
      <c r="U28" s="3">
        <v>0</v>
      </c>
      <c r="V28" s="3">
        <v>0</v>
      </c>
      <c r="W28" s="3" t="s">
        <v>6</v>
      </c>
      <c r="X28" s="3">
        <v>0</v>
      </c>
      <c r="Y28" s="3">
        <v>0</v>
      </c>
      <c r="Z28" s="3">
        <v>0</v>
      </c>
      <c r="AA28" s="3">
        <v>0</v>
      </c>
      <c r="AB28" s="3">
        <v>0</v>
      </c>
      <c r="AC28" s="3">
        <v>0</v>
      </c>
      <c r="AD28" s="3">
        <v>0</v>
      </c>
      <c r="AE28" s="3">
        <v>0</v>
      </c>
      <c r="AF28" s="3">
        <v>0</v>
      </c>
      <c r="AG28" s="3">
        <v>0</v>
      </c>
      <c r="AH28" s="3" t="s">
        <v>17</v>
      </c>
      <c r="AI28" s="3" t="s">
        <v>778</v>
      </c>
      <c r="AK28" s="3" t="s">
        <v>144</v>
      </c>
      <c r="AL28" s="3" t="s">
        <v>242</v>
      </c>
    </row>
    <row r="29" spans="1:39" x14ac:dyDescent="0.25">
      <c r="A29" t="s">
        <v>1359</v>
      </c>
      <c r="B29" s="8">
        <v>42587</v>
      </c>
      <c r="C29" s="7" t="s">
        <v>844</v>
      </c>
      <c r="D29" s="59" t="s">
        <v>6</v>
      </c>
      <c r="E29" s="3" t="s">
        <v>85</v>
      </c>
      <c r="F29" s="3" t="s">
        <v>8</v>
      </c>
      <c r="G29" s="3" t="s">
        <v>8</v>
      </c>
      <c r="H29" s="9">
        <v>39.812591691244798</v>
      </c>
      <c r="I29" s="9">
        <v>4.2835301075474499</v>
      </c>
      <c r="J29" s="3">
        <v>1</v>
      </c>
      <c r="K29" s="3">
        <v>0</v>
      </c>
      <c r="L29" s="3">
        <v>0</v>
      </c>
      <c r="M29" s="3">
        <v>1</v>
      </c>
      <c r="N29" s="3" t="s">
        <v>6</v>
      </c>
      <c r="O29" s="3">
        <v>0</v>
      </c>
      <c r="P29" s="3">
        <v>0</v>
      </c>
      <c r="Q29" s="3">
        <v>1</v>
      </c>
      <c r="R29" s="3">
        <v>0</v>
      </c>
      <c r="S29" s="3">
        <v>0</v>
      </c>
      <c r="T29" s="3">
        <v>0</v>
      </c>
      <c r="U29" s="3">
        <v>0</v>
      </c>
      <c r="V29" s="3">
        <v>1</v>
      </c>
      <c r="W29" s="3" t="s">
        <v>6</v>
      </c>
      <c r="X29" s="3">
        <v>0</v>
      </c>
      <c r="Y29" s="3">
        <v>0</v>
      </c>
      <c r="Z29" s="3">
        <v>0</v>
      </c>
      <c r="AA29" s="3">
        <v>0</v>
      </c>
      <c r="AB29" s="3">
        <v>0</v>
      </c>
      <c r="AC29" s="3">
        <v>0</v>
      </c>
      <c r="AD29" s="3">
        <v>0</v>
      </c>
      <c r="AE29" s="3">
        <v>0</v>
      </c>
      <c r="AF29" s="3">
        <v>0</v>
      </c>
      <c r="AG29" s="3">
        <v>0</v>
      </c>
      <c r="AH29" s="3" t="s">
        <v>17</v>
      </c>
      <c r="AI29" s="3" t="s">
        <v>778</v>
      </c>
      <c r="AK29" s="3" t="s">
        <v>145</v>
      </c>
      <c r="AL29" s="3" t="s">
        <v>243</v>
      </c>
    </row>
    <row r="30" spans="1:39" x14ac:dyDescent="0.25">
      <c r="A30" t="s">
        <v>1360</v>
      </c>
      <c r="B30" s="8">
        <v>42590</v>
      </c>
      <c r="C30" s="7" t="s">
        <v>844</v>
      </c>
      <c r="D30" s="59" t="s">
        <v>6</v>
      </c>
      <c r="E30" s="3" t="s">
        <v>24</v>
      </c>
      <c r="F30" s="3" t="s">
        <v>24</v>
      </c>
      <c r="G30" s="3" t="s">
        <v>20</v>
      </c>
      <c r="H30" s="9">
        <v>41.378808232807799</v>
      </c>
      <c r="I30" s="9">
        <v>2.1949401553585899</v>
      </c>
      <c r="J30" s="3">
        <v>1</v>
      </c>
      <c r="K30" s="3">
        <v>1</v>
      </c>
      <c r="L30" s="3">
        <v>0</v>
      </c>
      <c r="M30" s="3">
        <v>0</v>
      </c>
      <c r="N30" s="3" t="s">
        <v>16</v>
      </c>
      <c r="O30" s="3">
        <v>0</v>
      </c>
      <c r="P30" s="3">
        <v>1</v>
      </c>
      <c r="Q30" s="3">
        <v>0</v>
      </c>
      <c r="R30" s="3">
        <v>1</v>
      </c>
      <c r="S30" s="3">
        <v>0</v>
      </c>
      <c r="T30" s="3">
        <v>0</v>
      </c>
      <c r="U30" s="3">
        <v>0</v>
      </c>
      <c r="V30" s="3">
        <v>0</v>
      </c>
      <c r="W30" s="3" t="s">
        <v>6</v>
      </c>
      <c r="X30" s="3">
        <v>0</v>
      </c>
      <c r="Y30" s="3">
        <v>0</v>
      </c>
      <c r="Z30" s="3">
        <v>0</v>
      </c>
      <c r="AA30" s="3">
        <v>0</v>
      </c>
      <c r="AB30" s="3">
        <v>0</v>
      </c>
      <c r="AC30" s="3">
        <v>0</v>
      </c>
      <c r="AD30" s="3">
        <v>0</v>
      </c>
      <c r="AE30" s="3">
        <v>0</v>
      </c>
      <c r="AF30" s="3">
        <v>0</v>
      </c>
      <c r="AG30" s="3">
        <v>0</v>
      </c>
      <c r="AH30" s="3" t="s">
        <v>17</v>
      </c>
      <c r="AI30" s="3" t="s">
        <v>778</v>
      </c>
      <c r="AK30" s="3" t="s">
        <v>146</v>
      </c>
    </row>
    <row r="31" spans="1:39" x14ac:dyDescent="0.25">
      <c r="A31" t="s">
        <v>1028</v>
      </c>
      <c r="B31" s="7">
        <v>42592</v>
      </c>
      <c r="C31" s="7" t="s">
        <v>844</v>
      </c>
      <c r="D31" s="59" t="s">
        <v>6</v>
      </c>
      <c r="E31" s="3" t="s">
        <v>366</v>
      </c>
      <c r="F31" s="3" t="s">
        <v>25</v>
      </c>
      <c r="G31" s="3" t="s">
        <v>19</v>
      </c>
      <c r="H31" s="9">
        <v>38.818371590718598</v>
      </c>
      <c r="I31" s="9">
        <v>0.176234115054162</v>
      </c>
      <c r="J31" s="3">
        <v>1</v>
      </c>
      <c r="K31" s="3">
        <v>1</v>
      </c>
      <c r="L31" s="3">
        <v>0</v>
      </c>
      <c r="M31" s="3">
        <v>0</v>
      </c>
      <c r="N31" s="3" t="s">
        <v>66</v>
      </c>
      <c r="O31" s="3">
        <v>0</v>
      </c>
      <c r="P31" s="3">
        <v>0</v>
      </c>
      <c r="Q31" s="3">
        <v>1</v>
      </c>
      <c r="R31" s="3">
        <v>0</v>
      </c>
      <c r="S31" s="3">
        <v>0</v>
      </c>
      <c r="T31" s="3">
        <v>0</v>
      </c>
      <c r="U31" s="3">
        <v>0</v>
      </c>
      <c r="V31" s="3">
        <v>1</v>
      </c>
      <c r="W31" s="3" t="s">
        <v>6</v>
      </c>
      <c r="X31" s="3">
        <v>0</v>
      </c>
      <c r="Y31" s="3">
        <v>0</v>
      </c>
      <c r="Z31" s="3">
        <v>0</v>
      </c>
      <c r="AA31" s="3">
        <v>0</v>
      </c>
      <c r="AB31" s="3">
        <v>0</v>
      </c>
      <c r="AC31" s="3">
        <v>0</v>
      </c>
      <c r="AD31" s="3">
        <v>0</v>
      </c>
      <c r="AE31" s="3">
        <v>0</v>
      </c>
      <c r="AF31" s="3">
        <v>0</v>
      </c>
      <c r="AG31" s="3">
        <v>0</v>
      </c>
      <c r="AH31" s="3" t="s">
        <v>17</v>
      </c>
      <c r="AI31" s="3" t="s">
        <v>780</v>
      </c>
      <c r="AK31" s="3" t="s">
        <v>365</v>
      </c>
    </row>
    <row r="32" spans="1:39" x14ac:dyDescent="0.25">
      <c r="A32" t="s">
        <v>1341</v>
      </c>
      <c r="B32" s="7">
        <v>42595</v>
      </c>
      <c r="C32" s="7" t="s">
        <v>844</v>
      </c>
      <c r="D32" s="5" t="s">
        <v>6</v>
      </c>
      <c r="E32" s="3" t="s">
        <v>70</v>
      </c>
      <c r="F32" s="3" t="s">
        <v>59</v>
      </c>
      <c r="G32" s="3" t="s">
        <v>20</v>
      </c>
      <c r="H32" s="9">
        <v>41.960099999999997</v>
      </c>
      <c r="I32" s="9">
        <v>3.2315</v>
      </c>
      <c r="J32" s="3">
        <v>1</v>
      </c>
      <c r="K32" s="3">
        <v>1</v>
      </c>
      <c r="L32" s="3">
        <v>0</v>
      </c>
      <c r="M32" s="3">
        <v>0</v>
      </c>
      <c r="N32" s="3" t="s">
        <v>66</v>
      </c>
      <c r="O32" s="3">
        <v>0</v>
      </c>
      <c r="P32" s="3">
        <v>1</v>
      </c>
      <c r="Q32" s="3">
        <v>0</v>
      </c>
      <c r="R32" s="3">
        <v>1</v>
      </c>
      <c r="S32" s="3">
        <v>0</v>
      </c>
      <c r="T32" s="3">
        <v>0</v>
      </c>
      <c r="U32" s="3">
        <v>0</v>
      </c>
      <c r="V32" s="3">
        <v>0</v>
      </c>
      <c r="W32" s="3" t="s">
        <v>6</v>
      </c>
      <c r="X32" s="3">
        <v>0</v>
      </c>
      <c r="Y32" s="3">
        <v>0</v>
      </c>
      <c r="Z32" s="3">
        <v>0</v>
      </c>
      <c r="AA32" s="3">
        <v>0</v>
      </c>
      <c r="AB32" s="3">
        <v>0</v>
      </c>
      <c r="AC32" s="3">
        <v>0</v>
      </c>
      <c r="AD32" s="3">
        <v>0</v>
      </c>
      <c r="AE32" s="3">
        <v>0</v>
      </c>
      <c r="AF32" s="3">
        <v>0</v>
      </c>
      <c r="AG32" s="3">
        <v>0</v>
      </c>
      <c r="AH32" s="3" t="s">
        <v>775</v>
      </c>
      <c r="AI32" s="3" t="s">
        <v>81</v>
      </c>
      <c r="AK32" t="s">
        <v>313</v>
      </c>
      <c r="AL32" s="3" t="s">
        <v>35</v>
      </c>
      <c r="AM32" t="s">
        <v>22</v>
      </c>
    </row>
    <row r="33" spans="1:39" x14ac:dyDescent="0.25">
      <c r="A33" t="s">
        <v>1353</v>
      </c>
      <c r="B33" s="7">
        <v>42596</v>
      </c>
      <c r="C33" s="7" t="s">
        <v>844</v>
      </c>
      <c r="D33" s="5">
        <v>0.90277777777777779</v>
      </c>
      <c r="E33" s="3" t="s">
        <v>26</v>
      </c>
      <c r="F33" s="3" t="s">
        <v>78</v>
      </c>
      <c r="G33" s="3" t="s">
        <v>19</v>
      </c>
      <c r="H33" s="9">
        <v>39.881656999999997</v>
      </c>
      <c r="I33" s="9">
        <v>0.67274900000000004</v>
      </c>
      <c r="J33" s="3">
        <v>1</v>
      </c>
      <c r="K33" s="3">
        <v>1</v>
      </c>
      <c r="L33" s="3">
        <v>0</v>
      </c>
      <c r="M33" s="3">
        <v>0</v>
      </c>
      <c r="N33" s="3" t="s">
        <v>66</v>
      </c>
      <c r="O33" s="3">
        <v>0</v>
      </c>
      <c r="P33" s="3">
        <v>1</v>
      </c>
      <c r="Q33" s="3">
        <v>0</v>
      </c>
      <c r="R33" s="3">
        <v>1</v>
      </c>
      <c r="S33" s="3">
        <v>0</v>
      </c>
      <c r="T33" s="3">
        <v>0</v>
      </c>
      <c r="U33" s="3">
        <v>0</v>
      </c>
      <c r="V33" s="3">
        <v>0</v>
      </c>
      <c r="W33" s="3" t="s">
        <v>6</v>
      </c>
      <c r="X33" s="3">
        <v>0</v>
      </c>
      <c r="Y33" s="3">
        <v>0</v>
      </c>
      <c r="Z33" s="3">
        <v>0</v>
      </c>
      <c r="AA33" s="3">
        <v>0</v>
      </c>
      <c r="AB33" s="3">
        <v>0</v>
      </c>
      <c r="AC33" s="3">
        <v>0</v>
      </c>
      <c r="AD33" s="3">
        <v>0</v>
      </c>
      <c r="AE33" s="3">
        <v>0</v>
      </c>
      <c r="AF33" s="3">
        <v>0</v>
      </c>
      <c r="AG33" s="3">
        <v>0</v>
      </c>
      <c r="AH33" s="3" t="s">
        <v>775</v>
      </c>
      <c r="AI33" s="3" t="s">
        <v>80</v>
      </c>
      <c r="AK33" t="s">
        <v>280</v>
      </c>
      <c r="AL33" s="3" t="s">
        <v>22</v>
      </c>
      <c r="AM33" t="s">
        <v>22</v>
      </c>
    </row>
    <row r="34" spans="1:39" x14ac:dyDescent="0.25">
      <c r="A34" t="s">
        <v>982</v>
      </c>
      <c r="B34" s="8">
        <v>42617</v>
      </c>
      <c r="C34" s="8" t="s">
        <v>844</v>
      </c>
      <c r="D34" s="59" t="s">
        <v>6</v>
      </c>
      <c r="E34" s="3" t="s">
        <v>92</v>
      </c>
      <c r="F34" s="3" t="s">
        <v>24</v>
      </c>
      <c r="G34" s="3" t="s">
        <v>20</v>
      </c>
      <c r="H34" s="9">
        <v>41.440147077501003</v>
      </c>
      <c r="I34" s="9">
        <v>2.24728485917099</v>
      </c>
      <c r="J34" s="3">
        <v>1</v>
      </c>
      <c r="K34" s="6">
        <v>1</v>
      </c>
      <c r="L34" s="3">
        <v>0</v>
      </c>
      <c r="M34" s="3">
        <v>0</v>
      </c>
      <c r="N34" s="3" t="s">
        <v>66</v>
      </c>
      <c r="O34" s="3">
        <v>0</v>
      </c>
      <c r="P34" s="3">
        <v>1</v>
      </c>
      <c r="Q34" s="3">
        <v>0</v>
      </c>
      <c r="R34" s="3">
        <v>0</v>
      </c>
      <c r="S34" s="3">
        <v>0</v>
      </c>
      <c r="T34" s="3">
        <v>0</v>
      </c>
      <c r="U34" s="3">
        <v>0</v>
      </c>
      <c r="V34" s="3">
        <v>1</v>
      </c>
      <c r="W34" s="3" t="s">
        <v>6</v>
      </c>
      <c r="X34" s="3">
        <v>1</v>
      </c>
      <c r="Y34" s="3">
        <v>0</v>
      </c>
      <c r="Z34" s="3">
        <v>0</v>
      </c>
      <c r="AA34" s="3">
        <v>1</v>
      </c>
      <c r="AB34" s="3">
        <v>0</v>
      </c>
      <c r="AC34" s="3">
        <v>0</v>
      </c>
      <c r="AD34" s="3">
        <v>0</v>
      </c>
      <c r="AE34" s="3">
        <v>0</v>
      </c>
      <c r="AF34" s="3">
        <v>0</v>
      </c>
      <c r="AG34" s="3">
        <v>0</v>
      </c>
      <c r="AH34" s="3" t="s">
        <v>17</v>
      </c>
      <c r="AI34" s="3" t="s">
        <v>776</v>
      </c>
      <c r="AK34" s="3" t="s">
        <v>225</v>
      </c>
      <c r="AL34" s="3" t="s">
        <v>848</v>
      </c>
    </row>
    <row r="35" spans="1:39" x14ac:dyDescent="0.25">
      <c r="A35" t="s">
        <v>1361</v>
      </c>
      <c r="B35" s="8">
        <v>42622</v>
      </c>
      <c r="C35" s="7" t="s">
        <v>844</v>
      </c>
      <c r="D35" s="59" t="s">
        <v>6</v>
      </c>
      <c r="E35" s="3" t="s">
        <v>86</v>
      </c>
      <c r="F35" s="3" t="s">
        <v>57</v>
      </c>
      <c r="G35" s="3" t="s">
        <v>21</v>
      </c>
      <c r="H35" s="9">
        <v>36.717911680388497</v>
      </c>
      <c r="I35" s="9">
        <v>-3.5415474221322198</v>
      </c>
      <c r="J35" s="3">
        <v>3</v>
      </c>
      <c r="K35" s="3">
        <v>0</v>
      </c>
      <c r="L35" s="3">
        <v>3</v>
      </c>
      <c r="M35" s="3">
        <v>0</v>
      </c>
      <c r="N35" s="3" t="s">
        <v>6</v>
      </c>
      <c r="O35" s="3">
        <v>0</v>
      </c>
      <c r="P35" s="3">
        <v>1</v>
      </c>
      <c r="Q35" s="3">
        <v>2</v>
      </c>
      <c r="R35" s="3">
        <v>1</v>
      </c>
      <c r="S35" s="3">
        <v>0</v>
      </c>
      <c r="T35" s="3">
        <v>2</v>
      </c>
      <c r="U35" s="3">
        <v>0</v>
      </c>
      <c r="V35" s="3">
        <v>0</v>
      </c>
      <c r="W35" s="3" t="s">
        <v>6</v>
      </c>
      <c r="X35" s="3">
        <v>1</v>
      </c>
      <c r="Y35" s="3">
        <v>0</v>
      </c>
      <c r="Z35" s="3">
        <v>0</v>
      </c>
      <c r="AA35" s="3">
        <v>0</v>
      </c>
      <c r="AB35" s="3">
        <v>1</v>
      </c>
      <c r="AC35" s="3">
        <v>0</v>
      </c>
      <c r="AD35" s="3">
        <v>0</v>
      </c>
      <c r="AE35" s="3">
        <v>0</v>
      </c>
      <c r="AF35" s="3">
        <v>0</v>
      </c>
      <c r="AG35" s="3">
        <v>0</v>
      </c>
      <c r="AH35" s="3" t="s">
        <v>17</v>
      </c>
      <c r="AI35" s="3" t="s">
        <v>778</v>
      </c>
      <c r="AK35" s="3" t="s">
        <v>147</v>
      </c>
      <c r="AL35" s="3" t="s">
        <v>244</v>
      </c>
    </row>
    <row r="36" spans="1:39" x14ac:dyDescent="0.25">
      <c r="A36" t="s">
        <v>1093</v>
      </c>
      <c r="B36" s="7">
        <v>42912</v>
      </c>
      <c r="C36" s="7" t="s">
        <v>844</v>
      </c>
      <c r="D36" s="59" t="s">
        <v>6</v>
      </c>
      <c r="E36" s="3" t="s">
        <v>485</v>
      </c>
      <c r="F36" s="3" t="s">
        <v>24</v>
      </c>
      <c r="G36" s="3" t="s">
        <v>20</v>
      </c>
      <c r="H36" s="9">
        <v>41.198395429284602</v>
      </c>
      <c r="I36" s="9">
        <v>1.92318494745307</v>
      </c>
      <c r="J36" s="3">
        <v>1</v>
      </c>
      <c r="K36" s="3">
        <v>1</v>
      </c>
      <c r="L36" s="3">
        <v>0</v>
      </c>
      <c r="M36" s="3">
        <v>0</v>
      </c>
      <c r="N36" s="3" t="s">
        <v>16</v>
      </c>
      <c r="O36" s="3">
        <v>0</v>
      </c>
      <c r="P36" s="3">
        <v>1</v>
      </c>
      <c r="Q36" s="3">
        <v>0</v>
      </c>
      <c r="R36" s="3">
        <v>1</v>
      </c>
      <c r="S36" s="3">
        <v>0</v>
      </c>
      <c r="T36" s="3">
        <v>0</v>
      </c>
      <c r="U36" s="3">
        <v>0</v>
      </c>
      <c r="V36" s="3">
        <v>0</v>
      </c>
      <c r="W36" s="3" t="s">
        <v>6</v>
      </c>
      <c r="X36" s="3">
        <v>0</v>
      </c>
      <c r="Y36" s="3">
        <v>0</v>
      </c>
      <c r="Z36" s="3">
        <v>0</v>
      </c>
      <c r="AA36" s="3">
        <v>0</v>
      </c>
      <c r="AB36" s="3">
        <v>0</v>
      </c>
      <c r="AC36" s="3">
        <v>0</v>
      </c>
      <c r="AD36" s="3">
        <v>0</v>
      </c>
      <c r="AE36" s="3">
        <v>0</v>
      </c>
      <c r="AF36" s="3">
        <v>0</v>
      </c>
      <c r="AG36" s="3">
        <v>0</v>
      </c>
      <c r="AH36" s="3" t="s">
        <v>17</v>
      </c>
      <c r="AI36" s="3" t="s">
        <v>776</v>
      </c>
      <c r="AK36" s="3" t="s">
        <v>486</v>
      </c>
      <c r="AL36" s="3" t="s">
        <v>316</v>
      </c>
    </row>
    <row r="37" spans="1:39" x14ac:dyDescent="0.25">
      <c r="A37" t="s">
        <v>1350</v>
      </c>
      <c r="B37" s="7">
        <v>42917</v>
      </c>
      <c r="C37" s="7" t="s">
        <v>844</v>
      </c>
      <c r="D37" s="5">
        <v>0.37083333333333335</v>
      </c>
      <c r="E37" s="3" t="s">
        <v>76</v>
      </c>
      <c r="F37" s="3" t="s">
        <v>59</v>
      </c>
      <c r="G37" s="3" t="s">
        <v>20</v>
      </c>
      <c r="H37" s="9">
        <v>42.249115000000003</v>
      </c>
      <c r="I37" s="9">
        <v>3.227598</v>
      </c>
      <c r="J37" s="3">
        <v>1</v>
      </c>
      <c r="K37" s="3">
        <v>1</v>
      </c>
      <c r="L37" s="3">
        <v>0</v>
      </c>
      <c r="M37" s="3">
        <v>0</v>
      </c>
      <c r="N37" s="3" t="s">
        <v>66</v>
      </c>
      <c r="O37" s="3">
        <v>0</v>
      </c>
      <c r="P37" s="3">
        <v>0</v>
      </c>
      <c r="Q37" s="3">
        <v>1</v>
      </c>
      <c r="R37" s="3">
        <v>0</v>
      </c>
      <c r="S37" s="3">
        <v>0</v>
      </c>
      <c r="T37" s="3">
        <v>0</v>
      </c>
      <c r="U37" s="3">
        <v>0</v>
      </c>
      <c r="V37" s="3">
        <v>1</v>
      </c>
      <c r="W37" s="3" t="s">
        <v>6</v>
      </c>
      <c r="X37" s="3">
        <v>1</v>
      </c>
      <c r="Y37" s="3">
        <v>0</v>
      </c>
      <c r="Z37" s="3">
        <v>0</v>
      </c>
      <c r="AA37" s="3">
        <v>1</v>
      </c>
      <c r="AB37" s="3">
        <v>0</v>
      </c>
      <c r="AC37" s="3">
        <v>0</v>
      </c>
      <c r="AD37" s="3">
        <v>0</v>
      </c>
      <c r="AE37" s="3">
        <v>0</v>
      </c>
      <c r="AF37" s="3">
        <v>0</v>
      </c>
      <c r="AG37" s="3">
        <v>0</v>
      </c>
      <c r="AH37" s="3" t="s">
        <v>775</v>
      </c>
      <c r="AI37" s="3" t="s">
        <v>80</v>
      </c>
      <c r="AK37" t="s">
        <v>277</v>
      </c>
      <c r="AL37" s="3" t="s">
        <v>286</v>
      </c>
      <c r="AM37" t="s">
        <v>22</v>
      </c>
    </row>
    <row r="38" spans="1:39" x14ac:dyDescent="0.25">
      <c r="A38" t="s">
        <v>1362</v>
      </c>
      <c r="B38" s="8">
        <v>42949</v>
      </c>
      <c r="C38" s="7" t="s">
        <v>844</v>
      </c>
      <c r="D38" s="59" t="s">
        <v>6</v>
      </c>
      <c r="E38" s="3" t="s">
        <v>87</v>
      </c>
      <c r="F38" s="3" t="s">
        <v>87</v>
      </c>
      <c r="G38" s="3" t="s">
        <v>19</v>
      </c>
      <c r="J38" s="3">
        <v>1</v>
      </c>
      <c r="K38" s="3">
        <v>0</v>
      </c>
      <c r="L38" s="3">
        <v>0</v>
      </c>
      <c r="M38" s="3">
        <v>1</v>
      </c>
      <c r="N38" s="3" t="s">
        <v>6</v>
      </c>
      <c r="O38" s="3">
        <v>0</v>
      </c>
      <c r="P38" s="3">
        <v>0</v>
      </c>
      <c r="Q38" s="3">
        <v>1</v>
      </c>
      <c r="R38" s="3">
        <v>0</v>
      </c>
      <c r="S38" s="3">
        <v>0</v>
      </c>
      <c r="T38" s="3">
        <v>0</v>
      </c>
      <c r="U38" s="3">
        <v>0</v>
      </c>
      <c r="V38" s="3">
        <v>1</v>
      </c>
      <c r="W38" s="3" t="s">
        <v>6</v>
      </c>
      <c r="X38" s="3">
        <v>0</v>
      </c>
      <c r="Y38" s="3">
        <v>0</v>
      </c>
      <c r="Z38" s="3">
        <v>0</v>
      </c>
      <c r="AA38" s="3">
        <v>0</v>
      </c>
      <c r="AB38" s="3">
        <v>0</v>
      </c>
      <c r="AC38" s="3">
        <v>0</v>
      </c>
      <c r="AD38" s="3">
        <v>0</v>
      </c>
      <c r="AE38" s="3">
        <v>0</v>
      </c>
      <c r="AF38" s="3">
        <v>0</v>
      </c>
      <c r="AG38" s="3">
        <v>0</v>
      </c>
      <c r="AH38" s="3" t="s">
        <v>17</v>
      </c>
      <c r="AI38" s="3" t="s">
        <v>776</v>
      </c>
      <c r="AK38" s="3" t="s">
        <v>148</v>
      </c>
      <c r="AL38" s="3" t="s">
        <v>139</v>
      </c>
    </row>
    <row r="39" spans="1:39" x14ac:dyDescent="0.25">
      <c r="A39" t="s">
        <v>1444</v>
      </c>
      <c r="B39" s="7">
        <v>42959</v>
      </c>
      <c r="C39" s="7" t="s">
        <v>844</v>
      </c>
      <c r="D39" s="69">
        <v>0.79166666666666663</v>
      </c>
      <c r="E39" s="3" t="s">
        <v>1447</v>
      </c>
      <c r="F39" s="3" t="s">
        <v>8</v>
      </c>
      <c r="G39" s="3" t="s">
        <v>8</v>
      </c>
      <c r="H39" s="9">
        <v>39.165366666700002</v>
      </c>
      <c r="I39" s="9">
        <v>2.9474027777999998</v>
      </c>
      <c r="J39" s="3">
        <v>1</v>
      </c>
      <c r="K39" s="3">
        <v>1</v>
      </c>
      <c r="L39" s="3">
        <v>0</v>
      </c>
      <c r="M39" s="3">
        <v>0</v>
      </c>
      <c r="N39" s="3" t="s">
        <v>16</v>
      </c>
      <c r="O39" s="3">
        <v>0</v>
      </c>
      <c r="P39" s="3">
        <v>1</v>
      </c>
      <c r="Q39" s="3">
        <v>0</v>
      </c>
      <c r="R39" s="3">
        <v>1</v>
      </c>
      <c r="S39" s="3">
        <v>0</v>
      </c>
      <c r="T39" s="3">
        <v>0</v>
      </c>
      <c r="U39" s="3">
        <v>0</v>
      </c>
      <c r="V39" s="3">
        <v>0</v>
      </c>
      <c r="W39" s="3" t="s">
        <v>6</v>
      </c>
      <c r="X39" s="3">
        <v>1</v>
      </c>
      <c r="Y39" s="3">
        <v>0</v>
      </c>
      <c r="Z39" s="3">
        <v>0</v>
      </c>
      <c r="AA39" s="3">
        <v>1</v>
      </c>
      <c r="AB39" s="3">
        <v>0</v>
      </c>
      <c r="AC39" s="3">
        <v>0</v>
      </c>
      <c r="AD39" s="3">
        <v>0</v>
      </c>
      <c r="AE39" s="3">
        <v>0</v>
      </c>
      <c r="AF39" s="3">
        <v>0</v>
      </c>
      <c r="AG39" s="3">
        <v>0</v>
      </c>
      <c r="AH39" s="3" t="s">
        <v>775</v>
      </c>
      <c r="AI39" s="3" t="s">
        <v>759</v>
      </c>
      <c r="AK39" s="3" t="s">
        <v>1445</v>
      </c>
      <c r="AL39" s="3" t="s">
        <v>1446</v>
      </c>
    </row>
    <row r="40" spans="1:39" x14ac:dyDescent="0.25">
      <c r="A40" t="s">
        <v>1363</v>
      </c>
      <c r="B40" s="8">
        <v>42963</v>
      </c>
      <c r="C40" s="7" t="s">
        <v>844</v>
      </c>
      <c r="D40" s="59" t="s">
        <v>6</v>
      </c>
      <c r="E40" s="3" t="s">
        <v>88</v>
      </c>
      <c r="F40" s="3" t="s">
        <v>24</v>
      </c>
      <c r="G40" s="3" t="s">
        <v>20</v>
      </c>
      <c r="H40" s="9">
        <v>41.566685095404701</v>
      </c>
      <c r="I40" s="9">
        <v>2.52544230649724</v>
      </c>
      <c r="J40" s="3">
        <v>1</v>
      </c>
      <c r="K40" s="3">
        <v>1</v>
      </c>
      <c r="L40" s="3">
        <v>0</v>
      </c>
      <c r="M40" s="3">
        <v>0</v>
      </c>
      <c r="N40" s="3" t="s">
        <v>66</v>
      </c>
      <c r="O40" s="3">
        <v>0</v>
      </c>
      <c r="P40" s="3">
        <v>0</v>
      </c>
      <c r="Q40" s="3">
        <v>1</v>
      </c>
      <c r="R40" s="3">
        <v>0</v>
      </c>
      <c r="S40" s="3">
        <v>0</v>
      </c>
      <c r="T40" s="3">
        <v>0</v>
      </c>
      <c r="U40" s="3">
        <v>0</v>
      </c>
      <c r="V40" s="3">
        <v>1</v>
      </c>
      <c r="W40" s="3" t="s">
        <v>6</v>
      </c>
      <c r="X40" s="3">
        <v>1</v>
      </c>
      <c r="Y40" s="3">
        <v>0</v>
      </c>
      <c r="Z40" s="3">
        <v>0</v>
      </c>
      <c r="AA40" s="3">
        <v>0</v>
      </c>
      <c r="AB40" s="3">
        <v>0</v>
      </c>
      <c r="AC40" s="3">
        <v>0</v>
      </c>
      <c r="AD40" s="3">
        <v>0</v>
      </c>
      <c r="AE40" s="3">
        <v>1</v>
      </c>
      <c r="AF40" s="3">
        <v>0</v>
      </c>
      <c r="AG40" s="3">
        <v>1</v>
      </c>
      <c r="AH40" s="3" t="s">
        <v>17</v>
      </c>
      <c r="AI40" s="3" t="s">
        <v>776</v>
      </c>
      <c r="AK40" s="3" t="s">
        <v>149</v>
      </c>
      <c r="AL40" s="3" t="s">
        <v>567</v>
      </c>
    </row>
    <row r="41" spans="1:39" x14ac:dyDescent="0.25">
      <c r="A41" t="s">
        <v>1014</v>
      </c>
      <c r="B41" s="7">
        <v>42976</v>
      </c>
      <c r="C41" s="7" t="s">
        <v>844</v>
      </c>
      <c r="D41" s="59" t="s">
        <v>6</v>
      </c>
      <c r="F41" s="3" t="s">
        <v>8</v>
      </c>
      <c r="G41" s="3" t="s">
        <v>8</v>
      </c>
      <c r="H41" s="9">
        <v>40.038297884544903</v>
      </c>
      <c r="I41" s="9">
        <v>3.3939457609621302</v>
      </c>
      <c r="J41" s="3">
        <v>1</v>
      </c>
      <c r="K41" s="3">
        <v>0</v>
      </c>
      <c r="L41" s="3">
        <v>1</v>
      </c>
      <c r="M41" s="3">
        <v>0</v>
      </c>
      <c r="N41" s="3" t="s">
        <v>16</v>
      </c>
      <c r="O41" s="3">
        <v>1</v>
      </c>
      <c r="P41" s="3">
        <v>0</v>
      </c>
      <c r="Q41" s="3">
        <v>0</v>
      </c>
      <c r="R41" s="3">
        <v>0</v>
      </c>
      <c r="S41" s="3">
        <v>1</v>
      </c>
      <c r="T41" s="3">
        <v>0</v>
      </c>
      <c r="U41" s="3">
        <v>0</v>
      </c>
      <c r="V41" s="3">
        <v>0</v>
      </c>
      <c r="W41" s="3" t="s">
        <v>6</v>
      </c>
      <c r="X41" s="3">
        <v>1</v>
      </c>
      <c r="Y41" s="3">
        <v>0</v>
      </c>
      <c r="Z41" s="3">
        <v>0</v>
      </c>
      <c r="AA41" s="3">
        <v>0</v>
      </c>
      <c r="AB41" s="3">
        <v>0</v>
      </c>
      <c r="AC41" s="3">
        <v>0</v>
      </c>
      <c r="AD41" s="3">
        <v>0</v>
      </c>
      <c r="AE41" s="3">
        <v>0</v>
      </c>
      <c r="AF41" s="3">
        <v>0</v>
      </c>
      <c r="AG41" s="3">
        <v>1</v>
      </c>
      <c r="AH41" s="3" t="s">
        <v>775</v>
      </c>
      <c r="AI41" s="3" t="s">
        <v>81</v>
      </c>
      <c r="AK41" s="3" t="s">
        <v>342</v>
      </c>
      <c r="AL41" s="3" t="s">
        <v>354</v>
      </c>
    </row>
    <row r="42" spans="1:39" x14ac:dyDescent="0.25">
      <c r="A42" t="s">
        <v>1146</v>
      </c>
      <c r="B42" s="7">
        <v>43205</v>
      </c>
      <c r="C42" s="7" t="s">
        <v>842</v>
      </c>
      <c r="D42" s="59" t="s">
        <v>6</v>
      </c>
      <c r="F42" s="3" t="s">
        <v>69</v>
      </c>
      <c r="G42" s="3" t="s">
        <v>20</v>
      </c>
      <c r="H42" s="9">
        <v>40.979383300000002</v>
      </c>
      <c r="I42" s="9">
        <v>1.3635999999999999</v>
      </c>
      <c r="J42" s="3">
        <v>6</v>
      </c>
      <c r="K42" s="3">
        <v>0</v>
      </c>
      <c r="L42" s="3">
        <v>6</v>
      </c>
      <c r="M42" s="3">
        <v>0</v>
      </c>
      <c r="N42" s="3" t="s">
        <v>6</v>
      </c>
      <c r="O42" s="3">
        <v>0</v>
      </c>
      <c r="P42" s="3">
        <v>0</v>
      </c>
      <c r="Q42" s="3">
        <v>6</v>
      </c>
      <c r="R42" s="3">
        <v>6</v>
      </c>
      <c r="S42" s="3">
        <v>0</v>
      </c>
      <c r="T42" s="3">
        <v>0</v>
      </c>
      <c r="U42" s="3">
        <v>0</v>
      </c>
      <c r="V42" s="3">
        <v>0</v>
      </c>
      <c r="W42" s="3" t="s">
        <v>6</v>
      </c>
      <c r="X42" s="3">
        <v>0</v>
      </c>
      <c r="Y42" s="3">
        <v>0</v>
      </c>
      <c r="Z42" s="3">
        <v>0</v>
      </c>
      <c r="AA42" s="3">
        <v>0</v>
      </c>
      <c r="AB42" s="3">
        <v>0</v>
      </c>
      <c r="AC42" s="3">
        <v>0</v>
      </c>
      <c r="AD42" s="3">
        <v>0</v>
      </c>
      <c r="AE42" s="3">
        <v>0</v>
      </c>
      <c r="AF42" s="3">
        <v>0</v>
      </c>
      <c r="AG42" s="3">
        <v>0</v>
      </c>
      <c r="AH42" s="3" t="s">
        <v>633</v>
      </c>
      <c r="AI42" s="3" t="s">
        <v>683</v>
      </c>
      <c r="AK42" s="3" t="s">
        <v>783</v>
      </c>
      <c r="AL42" s="3" t="s">
        <v>682</v>
      </c>
    </row>
    <row r="43" spans="1:39" x14ac:dyDescent="0.25">
      <c r="A43" t="s">
        <v>1147</v>
      </c>
      <c r="B43" s="7">
        <v>43213</v>
      </c>
      <c r="C43" s="7" t="s">
        <v>842</v>
      </c>
      <c r="D43" s="3" t="s">
        <v>6</v>
      </c>
      <c r="F43" s="3" t="s">
        <v>69</v>
      </c>
      <c r="G43" s="3" t="s">
        <v>20</v>
      </c>
      <c r="H43" s="9">
        <v>40.931616699999999</v>
      </c>
      <c r="I43" s="9">
        <v>1.31585</v>
      </c>
      <c r="J43" s="3">
        <v>8</v>
      </c>
      <c r="K43" s="3">
        <v>0</v>
      </c>
      <c r="L43" s="3">
        <v>8</v>
      </c>
      <c r="M43" s="3">
        <v>0</v>
      </c>
      <c r="N43" s="3" t="s">
        <v>6</v>
      </c>
      <c r="O43" s="3">
        <v>0</v>
      </c>
      <c r="P43" s="3">
        <v>0</v>
      </c>
      <c r="Q43" s="3">
        <v>8</v>
      </c>
      <c r="R43" s="3">
        <v>8</v>
      </c>
      <c r="S43" s="3">
        <v>0</v>
      </c>
      <c r="T43" s="3">
        <v>0</v>
      </c>
      <c r="U43" s="3">
        <v>0</v>
      </c>
      <c r="V43" s="3">
        <v>0</v>
      </c>
      <c r="W43" s="3" t="s">
        <v>6</v>
      </c>
      <c r="X43" s="3">
        <v>0</v>
      </c>
      <c r="Y43" s="3">
        <v>0</v>
      </c>
      <c r="Z43" s="3">
        <v>0</v>
      </c>
      <c r="AA43" s="3">
        <v>0</v>
      </c>
      <c r="AB43" s="3">
        <v>0</v>
      </c>
      <c r="AC43" s="3">
        <v>0</v>
      </c>
      <c r="AD43" s="3">
        <v>0</v>
      </c>
      <c r="AE43" s="3">
        <v>0</v>
      </c>
      <c r="AF43" s="3">
        <v>0</v>
      </c>
      <c r="AG43" s="3">
        <v>0</v>
      </c>
      <c r="AH43" s="3" t="s">
        <v>633</v>
      </c>
      <c r="AI43" s="3" t="s">
        <v>683</v>
      </c>
      <c r="AK43" s="3" t="s">
        <v>783</v>
      </c>
      <c r="AL43" s="3" t="s">
        <v>682</v>
      </c>
    </row>
    <row r="44" spans="1:39" x14ac:dyDescent="0.25">
      <c r="A44" t="s">
        <v>1148</v>
      </c>
      <c r="B44" s="7">
        <v>43217</v>
      </c>
      <c r="C44" s="7" t="s">
        <v>842</v>
      </c>
      <c r="D44" s="3" t="s">
        <v>6</v>
      </c>
      <c r="F44" s="3" t="s">
        <v>69</v>
      </c>
      <c r="G44" s="3" t="s">
        <v>20</v>
      </c>
      <c r="H44" s="9">
        <v>40.920850000000002</v>
      </c>
      <c r="I44" s="9">
        <v>1.3004500000000001</v>
      </c>
      <c r="J44" s="3">
        <v>8</v>
      </c>
      <c r="K44" s="3">
        <v>0</v>
      </c>
      <c r="L44" s="3">
        <v>8</v>
      </c>
      <c r="M44" s="3">
        <v>0</v>
      </c>
      <c r="N44" s="3" t="s">
        <v>6</v>
      </c>
      <c r="O44" s="3">
        <v>0</v>
      </c>
      <c r="P44" s="3">
        <v>0</v>
      </c>
      <c r="Q44" s="3">
        <v>8</v>
      </c>
      <c r="R44" s="3">
        <v>8</v>
      </c>
      <c r="S44" s="3">
        <v>0</v>
      </c>
      <c r="T44" s="3">
        <v>0</v>
      </c>
      <c r="U44" s="3">
        <v>0</v>
      </c>
      <c r="V44" s="3">
        <v>0</v>
      </c>
      <c r="W44" s="3" t="s">
        <v>6</v>
      </c>
      <c r="X44" s="3">
        <v>0</v>
      </c>
      <c r="Y44" s="3">
        <v>0</v>
      </c>
      <c r="Z44" s="3">
        <v>0</v>
      </c>
      <c r="AA44" s="3">
        <v>0</v>
      </c>
      <c r="AB44" s="3">
        <v>0</v>
      </c>
      <c r="AC44" s="3">
        <v>0</v>
      </c>
      <c r="AD44" s="3">
        <v>0</v>
      </c>
      <c r="AE44" s="3">
        <v>0</v>
      </c>
      <c r="AF44" s="3">
        <v>0</v>
      </c>
      <c r="AG44" s="3">
        <v>0</v>
      </c>
      <c r="AH44" s="3" t="s">
        <v>633</v>
      </c>
      <c r="AI44" s="3" t="s">
        <v>683</v>
      </c>
      <c r="AK44" s="3" t="s">
        <v>783</v>
      </c>
      <c r="AL44" s="3" t="s">
        <v>682</v>
      </c>
    </row>
    <row r="45" spans="1:39" x14ac:dyDescent="0.25">
      <c r="A45" t="s">
        <v>1149</v>
      </c>
      <c r="B45" s="7">
        <v>43221</v>
      </c>
      <c r="C45" s="7" t="s">
        <v>842</v>
      </c>
      <c r="D45" s="3" t="s">
        <v>6</v>
      </c>
      <c r="F45" s="3" t="s">
        <v>69</v>
      </c>
      <c r="G45" s="3" t="s">
        <v>20</v>
      </c>
      <c r="H45" s="9">
        <v>40.947450000000003</v>
      </c>
      <c r="I45" s="9">
        <v>1.31033333333333</v>
      </c>
      <c r="J45" s="3">
        <v>8</v>
      </c>
      <c r="K45" s="3">
        <v>0</v>
      </c>
      <c r="L45" s="3">
        <v>8</v>
      </c>
      <c r="M45" s="3">
        <v>0</v>
      </c>
      <c r="N45" s="3" t="s">
        <v>6</v>
      </c>
      <c r="O45" s="3">
        <v>0</v>
      </c>
      <c r="P45" s="3">
        <v>0</v>
      </c>
      <c r="Q45" s="3">
        <v>8</v>
      </c>
      <c r="R45" s="3">
        <v>8</v>
      </c>
      <c r="S45" s="3">
        <v>0</v>
      </c>
      <c r="T45" s="3">
        <v>0</v>
      </c>
      <c r="U45" s="3">
        <v>0</v>
      </c>
      <c r="V45" s="3">
        <v>0</v>
      </c>
      <c r="W45" s="3" t="s">
        <v>6</v>
      </c>
      <c r="X45" s="3">
        <v>0</v>
      </c>
      <c r="Y45" s="3">
        <v>0</v>
      </c>
      <c r="Z45" s="3">
        <v>0</v>
      </c>
      <c r="AA45" s="3">
        <v>0</v>
      </c>
      <c r="AB45" s="3">
        <v>0</v>
      </c>
      <c r="AC45" s="3">
        <v>0</v>
      </c>
      <c r="AD45" s="3">
        <v>0</v>
      </c>
      <c r="AE45" s="3">
        <v>0</v>
      </c>
      <c r="AF45" s="3">
        <v>0</v>
      </c>
      <c r="AG45" s="3">
        <v>0</v>
      </c>
      <c r="AH45" s="3" t="s">
        <v>633</v>
      </c>
      <c r="AI45" s="3" t="s">
        <v>683</v>
      </c>
      <c r="AK45" s="3" t="s">
        <v>783</v>
      </c>
      <c r="AL45" s="3" t="s">
        <v>682</v>
      </c>
    </row>
    <row r="46" spans="1:39" x14ac:dyDescent="0.25">
      <c r="A46" t="s">
        <v>1364</v>
      </c>
      <c r="B46" s="8">
        <v>43224</v>
      </c>
      <c r="C46" s="8" t="s">
        <v>842</v>
      </c>
      <c r="D46" s="3" t="s">
        <v>6</v>
      </c>
      <c r="E46" s="3" t="s">
        <v>89</v>
      </c>
      <c r="F46" s="3" t="s">
        <v>47</v>
      </c>
      <c r="G46" s="3" t="s">
        <v>21</v>
      </c>
      <c r="H46" s="9">
        <v>36.774948309743699</v>
      </c>
      <c r="I46" s="9">
        <v>-2.24174945320414</v>
      </c>
      <c r="J46" s="3">
        <v>1</v>
      </c>
      <c r="K46" s="3">
        <v>0</v>
      </c>
      <c r="L46" s="3">
        <v>0</v>
      </c>
      <c r="M46" s="3">
        <v>1</v>
      </c>
      <c r="N46" s="3" t="s">
        <v>6</v>
      </c>
      <c r="O46" s="3">
        <v>0</v>
      </c>
      <c r="P46" s="3">
        <v>0</v>
      </c>
      <c r="Q46" s="3">
        <v>1</v>
      </c>
      <c r="R46" s="3">
        <v>0</v>
      </c>
      <c r="S46" s="3">
        <v>0</v>
      </c>
      <c r="T46" s="3">
        <v>0</v>
      </c>
      <c r="U46" s="3">
        <v>0</v>
      </c>
      <c r="V46" s="3">
        <v>1</v>
      </c>
      <c r="W46" s="3" t="s">
        <v>6</v>
      </c>
      <c r="X46" s="3">
        <v>0</v>
      </c>
      <c r="Y46" s="3">
        <v>0</v>
      </c>
      <c r="Z46" s="3">
        <v>0</v>
      </c>
      <c r="AA46" s="3">
        <v>0</v>
      </c>
      <c r="AB46" s="3">
        <v>0</v>
      </c>
      <c r="AC46" s="3">
        <v>0</v>
      </c>
      <c r="AD46" s="3">
        <v>0</v>
      </c>
      <c r="AE46" s="3">
        <v>0</v>
      </c>
      <c r="AF46" s="3">
        <v>0</v>
      </c>
      <c r="AG46" s="3">
        <v>0</v>
      </c>
      <c r="AH46" s="3" t="s">
        <v>17</v>
      </c>
      <c r="AI46" s="3" t="s">
        <v>776</v>
      </c>
      <c r="AK46" s="3" t="s">
        <v>150</v>
      </c>
      <c r="AL46" s="3" t="s">
        <v>245</v>
      </c>
    </row>
    <row r="47" spans="1:39" x14ac:dyDescent="0.25">
      <c r="A47" t="s">
        <v>1365</v>
      </c>
      <c r="B47" s="8">
        <v>43225</v>
      </c>
      <c r="C47" s="8" t="s">
        <v>842</v>
      </c>
      <c r="D47" s="3" t="s">
        <v>6</v>
      </c>
      <c r="E47" s="3" t="s">
        <v>90</v>
      </c>
      <c r="F47" s="3" t="s">
        <v>69</v>
      </c>
      <c r="G47" s="3" t="s">
        <v>20</v>
      </c>
      <c r="H47" s="9">
        <v>41.118889405874903</v>
      </c>
      <c r="I47" s="9">
        <v>1.2781904836431</v>
      </c>
      <c r="J47" s="3">
        <v>1</v>
      </c>
      <c r="K47" s="3">
        <v>1</v>
      </c>
      <c r="L47" s="3">
        <v>0</v>
      </c>
      <c r="M47" s="3">
        <v>0</v>
      </c>
      <c r="N47" s="3" t="s">
        <v>16</v>
      </c>
      <c r="O47" s="3">
        <v>0</v>
      </c>
      <c r="P47" s="3">
        <v>0</v>
      </c>
      <c r="Q47" s="3">
        <v>1</v>
      </c>
      <c r="R47" s="3">
        <v>0</v>
      </c>
      <c r="S47" s="3">
        <v>0</v>
      </c>
      <c r="T47" s="3">
        <v>0</v>
      </c>
      <c r="U47" s="3">
        <v>0</v>
      </c>
      <c r="V47" s="3">
        <v>1</v>
      </c>
      <c r="W47" s="3" t="s">
        <v>6</v>
      </c>
      <c r="X47" s="3">
        <v>0</v>
      </c>
      <c r="Y47" s="3">
        <v>0</v>
      </c>
      <c r="Z47" s="3">
        <v>0</v>
      </c>
      <c r="AA47" s="3">
        <v>0</v>
      </c>
      <c r="AB47" s="3">
        <v>0</v>
      </c>
      <c r="AC47" s="3">
        <v>0</v>
      </c>
      <c r="AD47" s="3">
        <v>0</v>
      </c>
      <c r="AE47" s="3">
        <v>0</v>
      </c>
      <c r="AF47" s="3">
        <v>0</v>
      </c>
      <c r="AG47" s="3">
        <v>0</v>
      </c>
      <c r="AH47" s="3" t="s">
        <v>17</v>
      </c>
      <c r="AI47" s="3" t="s">
        <v>776</v>
      </c>
      <c r="AK47" s="3" t="s">
        <v>151</v>
      </c>
    </row>
    <row r="48" spans="1:39" x14ac:dyDescent="0.25">
      <c r="A48" t="s">
        <v>1056</v>
      </c>
      <c r="B48" s="7">
        <v>43272</v>
      </c>
      <c r="C48" s="7" t="s">
        <v>844</v>
      </c>
      <c r="D48" s="3" t="s">
        <v>6</v>
      </c>
      <c r="E48" s="3" t="s">
        <v>416</v>
      </c>
      <c r="F48" s="3" t="s">
        <v>78</v>
      </c>
      <c r="G48" s="3" t="s">
        <v>19</v>
      </c>
      <c r="H48" s="9">
        <v>40.243670840506503</v>
      </c>
      <c r="I48" s="9">
        <v>0.27879649755767699</v>
      </c>
      <c r="J48" s="3">
        <v>1</v>
      </c>
      <c r="K48" s="3">
        <v>1</v>
      </c>
      <c r="L48" s="3">
        <v>0</v>
      </c>
      <c r="M48" s="3">
        <v>0</v>
      </c>
      <c r="N48" s="3" t="s">
        <v>66</v>
      </c>
      <c r="O48" s="3">
        <v>0</v>
      </c>
      <c r="P48" s="3">
        <v>0</v>
      </c>
      <c r="Q48" s="3">
        <v>1</v>
      </c>
      <c r="R48" s="3">
        <v>1</v>
      </c>
      <c r="S48" s="3">
        <v>0</v>
      </c>
      <c r="T48" s="3">
        <v>0</v>
      </c>
      <c r="U48" s="3">
        <v>0</v>
      </c>
      <c r="V48" s="3">
        <v>0</v>
      </c>
      <c r="W48" s="3" t="s">
        <v>6</v>
      </c>
      <c r="X48" s="3">
        <v>0</v>
      </c>
      <c r="Y48" s="3">
        <v>0</v>
      </c>
      <c r="Z48" s="3">
        <v>0</v>
      </c>
      <c r="AA48" s="3">
        <v>0</v>
      </c>
      <c r="AB48" s="3">
        <v>0</v>
      </c>
      <c r="AC48" s="3">
        <v>0</v>
      </c>
      <c r="AD48" s="3">
        <v>0</v>
      </c>
      <c r="AE48" s="3">
        <v>0</v>
      </c>
      <c r="AF48" s="3">
        <v>0</v>
      </c>
      <c r="AG48" s="3">
        <v>0</v>
      </c>
      <c r="AH48" s="3" t="s">
        <v>17</v>
      </c>
      <c r="AI48" s="3" t="s">
        <v>778</v>
      </c>
      <c r="AK48" s="3" t="s">
        <v>417</v>
      </c>
    </row>
    <row r="49" spans="1:39" x14ac:dyDescent="0.25">
      <c r="A49" t="s">
        <v>1366</v>
      </c>
      <c r="B49" s="8">
        <v>43300</v>
      </c>
      <c r="C49" s="8" t="s">
        <v>844</v>
      </c>
      <c r="D49" s="3" t="s">
        <v>6</v>
      </c>
      <c r="E49" s="3" t="s">
        <v>91</v>
      </c>
      <c r="F49" s="3" t="s">
        <v>59</v>
      </c>
      <c r="G49" s="3" t="s">
        <v>20</v>
      </c>
      <c r="H49" s="9">
        <v>42.361303164752499</v>
      </c>
      <c r="I49" s="9">
        <v>3.1661867347394099</v>
      </c>
      <c r="J49" s="3">
        <v>1</v>
      </c>
      <c r="K49" s="3">
        <v>1</v>
      </c>
      <c r="L49" s="3">
        <v>0</v>
      </c>
      <c r="M49" s="3">
        <v>0</v>
      </c>
      <c r="N49" s="3" t="s">
        <v>66</v>
      </c>
      <c r="O49" s="3">
        <v>0</v>
      </c>
      <c r="P49" s="3">
        <v>1</v>
      </c>
      <c r="Q49" s="3">
        <v>0</v>
      </c>
      <c r="R49" s="3">
        <v>1</v>
      </c>
      <c r="S49" s="3">
        <v>0</v>
      </c>
      <c r="T49" s="3">
        <v>0</v>
      </c>
      <c r="U49" s="3">
        <v>0</v>
      </c>
      <c r="V49" s="3">
        <v>0</v>
      </c>
      <c r="W49" s="3" t="s">
        <v>6</v>
      </c>
      <c r="X49" s="3">
        <v>0</v>
      </c>
      <c r="Y49" s="3">
        <v>0</v>
      </c>
      <c r="Z49" s="3">
        <v>0</v>
      </c>
      <c r="AA49" s="3">
        <v>0</v>
      </c>
      <c r="AB49" s="3">
        <v>0</v>
      </c>
      <c r="AC49" s="3">
        <v>0</v>
      </c>
      <c r="AD49" s="3">
        <v>0</v>
      </c>
      <c r="AE49" s="3">
        <v>0</v>
      </c>
      <c r="AF49" s="3">
        <v>0</v>
      </c>
      <c r="AG49" s="3">
        <v>0</v>
      </c>
      <c r="AH49" s="3" t="s">
        <v>17</v>
      </c>
      <c r="AI49" s="3" t="s">
        <v>776</v>
      </c>
      <c r="AK49" s="3" t="s">
        <v>152</v>
      </c>
    </row>
    <row r="50" spans="1:39" x14ac:dyDescent="0.25">
      <c r="A50" t="s">
        <v>1345</v>
      </c>
      <c r="B50" s="7">
        <v>43303</v>
      </c>
      <c r="C50" s="7" t="s">
        <v>844</v>
      </c>
      <c r="D50" s="68" t="s">
        <v>6</v>
      </c>
      <c r="E50" s="3" t="s">
        <v>73</v>
      </c>
      <c r="F50" s="3" t="s">
        <v>8</v>
      </c>
      <c r="G50" s="3" t="s">
        <v>8</v>
      </c>
      <c r="H50" s="9">
        <v>39.962899999999998</v>
      </c>
      <c r="I50" s="9">
        <v>3.2107000000000001</v>
      </c>
      <c r="J50" s="3">
        <v>1</v>
      </c>
      <c r="K50" s="3">
        <v>1</v>
      </c>
      <c r="L50" s="3">
        <v>0</v>
      </c>
      <c r="M50" s="3">
        <v>0</v>
      </c>
      <c r="N50" s="3" t="s">
        <v>66</v>
      </c>
      <c r="O50" s="3">
        <v>0</v>
      </c>
      <c r="P50" s="3">
        <v>1</v>
      </c>
      <c r="Q50" s="3">
        <v>0</v>
      </c>
      <c r="R50" s="3">
        <v>0</v>
      </c>
      <c r="S50" s="3">
        <v>0</v>
      </c>
      <c r="T50" s="3">
        <v>0</v>
      </c>
      <c r="U50" s="3">
        <v>0</v>
      </c>
      <c r="V50" s="3">
        <v>1</v>
      </c>
      <c r="W50" s="3" t="s">
        <v>6</v>
      </c>
      <c r="X50" s="3">
        <v>0</v>
      </c>
      <c r="Y50" s="3">
        <v>0</v>
      </c>
      <c r="Z50" s="3">
        <v>0</v>
      </c>
      <c r="AA50" s="3">
        <v>0</v>
      </c>
      <c r="AB50" s="3">
        <v>0</v>
      </c>
      <c r="AC50" s="3">
        <v>0</v>
      </c>
      <c r="AD50" s="3">
        <v>0</v>
      </c>
      <c r="AE50" s="3">
        <v>0</v>
      </c>
      <c r="AF50" s="3">
        <v>0</v>
      </c>
      <c r="AG50" s="3">
        <v>0</v>
      </c>
      <c r="AH50" s="3" t="s">
        <v>775</v>
      </c>
      <c r="AI50" s="3" t="s">
        <v>81</v>
      </c>
      <c r="AK50" t="s">
        <v>309</v>
      </c>
      <c r="AL50" s="3" t="s">
        <v>37</v>
      </c>
      <c r="AM50" t="s">
        <v>22</v>
      </c>
    </row>
    <row r="51" spans="1:39" x14ac:dyDescent="0.25">
      <c r="A51" t="s">
        <v>1367</v>
      </c>
      <c r="B51" s="8">
        <v>43305</v>
      </c>
      <c r="C51" s="8" t="s">
        <v>844</v>
      </c>
      <c r="D51" s="3" t="s">
        <v>6</v>
      </c>
      <c r="E51" s="3" t="s">
        <v>92</v>
      </c>
      <c r="F51" s="3" t="s">
        <v>24</v>
      </c>
      <c r="G51" s="3" t="s">
        <v>20</v>
      </c>
      <c r="H51" s="9">
        <v>41.448106757462398</v>
      </c>
      <c r="I51" s="9">
        <v>2.2537084796833202</v>
      </c>
      <c r="J51" s="3">
        <v>1</v>
      </c>
      <c r="K51" s="3">
        <v>1</v>
      </c>
      <c r="L51" s="3">
        <v>0</v>
      </c>
      <c r="M51" s="3">
        <v>0</v>
      </c>
      <c r="N51" s="3" t="s">
        <v>6</v>
      </c>
      <c r="O51" s="3">
        <v>0</v>
      </c>
      <c r="P51" s="3">
        <v>0</v>
      </c>
      <c r="Q51" s="3">
        <v>1</v>
      </c>
      <c r="R51" s="3">
        <v>1</v>
      </c>
      <c r="S51" s="3">
        <v>0</v>
      </c>
      <c r="T51" s="3">
        <v>0</v>
      </c>
      <c r="U51" s="3">
        <v>0</v>
      </c>
      <c r="V51" s="3">
        <v>0</v>
      </c>
      <c r="W51" s="3" t="s">
        <v>6</v>
      </c>
      <c r="X51" s="3">
        <v>0</v>
      </c>
      <c r="Y51" s="3">
        <v>0</v>
      </c>
      <c r="Z51" s="3">
        <v>0</v>
      </c>
      <c r="AA51" s="3">
        <v>0</v>
      </c>
      <c r="AB51" s="3">
        <v>0</v>
      </c>
      <c r="AC51" s="3">
        <v>0</v>
      </c>
      <c r="AD51" s="3">
        <v>0</v>
      </c>
      <c r="AE51" s="3">
        <v>0</v>
      </c>
      <c r="AF51" s="3">
        <v>0</v>
      </c>
      <c r="AG51" s="3">
        <v>0</v>
      </c>
      <c r="AH51" s="3" t="s">
        <v>17</v>
      </c>
      <c r="AI51" s="3" t="s">
        <v>778</v>
      </c>
      <c r="AK51" s="3" t="s">
        <v>153</v>
      </c>
      <c r="AL51" s="3" t="s">
        <v>246</v>
      </c>
    </row>
    <row r="52" spans="1:39" x14ac:dyDescent="0.25">
      <c r="A52" t="s">
        <v>1348</v>
      </c>
      <c r="B52" s="7">
        <v>43306</v>
      </c>
      <c r="C52" s="7" t="s">
        <v>844</v>
      </c>
      <c r="D52" s="68" t="s">
        <v>6</v>
      </c>
      <c r="E52" s="3" t="s">
        <v>22</v>
      </c>
      <c r="F52" s="3" t="s">
        <v>24</v>
      </c>
      <c r="G52" s="3" t="s">
        <v>20</v>
      </c>
      <c r="H52" s="9">
        <v>41.235883358926202</v>
      </c>
      <c r="I52" s="9">
        <v>1.82905629906239</v>
      </c>
      <c r="J52" s="3">
        <v>1</v>
      </c>
      <c r="K52" s="3">
        <v>1</v>
      </c>
      <c r="L52" s="3">
        <v>0</v>
      </c>
      <c r="M52" s="3">
        <v>0</v>
      </c>
      <c r="N52" s="3" t="s">
        <v>66</v>
      </c>
      <c r="O52" s="3">
        <v>0</v>
      </c>
      <c r="P52" s="3">
        <v>0</v>
      </c>
      <c r="Q52" s="3">
        <v>1</v>
      </c>
      <c r="R52" s="3">
        <v>0</v>
      </c>
      <c r="S52" s="3">
        <v>0</v>
      </c>
      <c r="T52" s="3">
        <v>0</v>
      </c>
      <c r="U52" s="3">
        <v>0</v>
      </c>
      <c r="V52" s="3">
        <v>1</v>
      </c>
      <c r="W52" s="3" t="s">
        <v>6</v>
      </c>
      <c r="X52" s="3">
        <v>0</v>
      </c>
      <c r="Y52" s="3">
        <v>0</v>
      </c>
      <c r="Z52" s="3">
        <v>0</v>
      </c>
      <c r="AA52" s="3">
        <v>0</v>
      </c>
      <c r="AB52" s="3">
        <v>0</v>
      </c>
      <c r="AC52" s="3">
        <v>0</v>
      </c>
      <c r="AD52" s="3">
        <v>0</v>
      </c>
      <c r="AE52" s="3">
        <v>0</v>
      </c>
      <c r="AF52" s="3">
        <v>0</v>
      </c>
      <c r="AG52" s="3">
        <v>0</v>
      </c>
      <c r="AH52" s="3" t="s">
        <v>775</v>
      </c>
      <c r="AI52" s="3" t="s">
        <v>81</v>
      </c>
      <c r="AK52" t="s">
        <v>311</v>
      </c>
      <c r="AL52" s="3" t="s">
        <v>594</v>
      </c>
      <c r="AM52" t="s">
        <v>22</v>
      </c>
    </row>
    <row r="53" spans="1:39" x14ac:dyDescent="0.25">
      <c r="A53" t="s">
        <v>1368</v>
      </c>
      <c r="B53" s="8">
        <v>43306</v>
      </c>
      <c r="C53" s="8" t="s">
        <v>844</v>
      </c>
      <c r="D53" s="3" t="s">
        <v>6</v>
      </c>
      <c r="E53" s="3" t="s">
        <v>93</v>
      </c>
      <c r="F53" s="3" t="s">
        <v>24</v>
      </c>
      <c r="G53" s="3" t="s">
        <v>20</v>
      </c>
      <c r="H53" s="9">
        <v>41.370643792689997</v>
      </c>
      <c r="I53" s="9">
        <v>2.19094505367989</v>
      </c>
      <c r="J53" s="3">
        <v>1</v>
      </c>
      <c r="K53" s="3">
        <v>1</v>
      </c>
      <c r="L53" s="3">
        <v>0</v>
      </c>
      <c r="M53" s="3">
        <v>0</v>
      </c>
      <c r="N53" s="3" t="s">
        <v>6</v>
      </c>
      <c r="O53" s="3">
        <v>0</v>
      </c>
      <c r="P53" s="3">
        <v>0</v>
      </c>
      <c r="Q53" s="3">
        <v>1</v>
      </c>
      <c r="R53" s="3">
        <v>0</v>
      </c>
      <c r="S53" s="3">
        <v>0</v>
      </c>
      <c r="T53" s="3">
        <v>0</v>
      </c>
      <c r="U53" s="3">
        <v>0</v>
      </c>
      <c r="V53" s="3">
        <v>1</v>
      </c>
      <c r="W53" s="3" t="s">
        <v>6</v>
      </c>
      <c r="X53" s="3">
        <v>0</v>
      </c>
      <c r="Y53" s="3">
        <v>0</v>
      </c>
      <c r="Z53" s="3">
        <v>0</v>
      </c>
      <c r="AA53" s="3">
        <v>0</v>
      </c>
      <c r="AB53" s="3">
        <v>0</v>
      </c>
      <c r="AC53" s="3">
        <v>0</v>
      </c>
      <c r="AD53" s="3">
        <v>0</v>
      </c>
      <c r="AE53" s="3">
        <v>0</v>
      </c>
      <c r="AF53" s="3">
        <v>0</v>
      </c>
      <c r="AG53" s="3">
        <v>0</v>
      </c>
      <c r="AH53" s="3" t="s">
        <v>17</v>
      </c>
      <c r="AI53" s="3" t="s">
        <v>780</v>
      </c>
      <c r="AK53" s="3" t="s">
        <v>154</v>
      </c>
    </row>
    <row r="54" spans="1:39" x14ac:dyDescent="0.25">
      <c r="A54" t="s">
        <v>1369</v>
      </c>
      <c r="B54" s="8">
        <v>43307</v>
      </c>
      <c r="C54" s="8" t="s">
        <v>844</v>
      </c>
      <c r="D54" s="3" t="s">
        <v>6</v>
      </c>
      <c r="E54" s="3" t="s">
        <v>67</v>
      </c>
      <c r="F54" s="3" t="s">
        <v>69</v>
      </c>
      <c r="G54" s="3" t="s">
        <v>20</v>
      </c>
      <c r="H54" s="9">
        <v>41.144134887492001</v>
      </c>
      <c r="I54" s="9">
        <v>1.41594845722559</v>
      </c>
      <c r="J54" s="3">
        <v>1</v>
      </c>
      <c r="K54" s="3">
        <v>1</v>
      </c>
      <c r="L54" s="3">
        <v>0</v>
      </c>
      <c r="M54" s="3">
        <v>0</v>
      </c>
      <c r="N54" s="3" t="s">
        <v>6</v>
      </c>
      <c r="O54" s="3">
        <v>0</v>
      </c>
      <c r="P54" s="3">
        <v>0</v>
      </c>
      <c r="Q54" s="3">
        <v>1</v>
      </c>
      <c r="R54" s="3">
        <v>0</v>
      </c>
      <c r="S54" s="3">
        <v>0</v>
      </c>
      <c r="T54" s="3">
        <v>0</v>
      </c>
      <c r="U54" s="3">
        <v>0</v>
      </c>
      <c r="V54" s="3">
        <v>1</v>
      </c>
      <c r="W54" s="3" t="s">
        <v>6</v>
      </c>
      <c r="X54" s="3">
        <v>0</v>
      </c>
      <c r="Y54" s="3">
        <v>0</v>
      </c>
      <c r="Z54" s="3">
        <v>0</v>
      </c>
      <c r="AA54" s="3">
        <v>0</v>
      </c>
      <c r="AB54" s="3">
        <v>0</v>
      </c>
      <c r="AC54" s="3">
        <v>0</v>
      </c>
      <c r="AD54" s="3">
        <v>0</v>
      </c>
      <c r="AE54" s="3">
        <v>0</v>
      </c>
      <c r="AF54" s="3">
        <v>0</v>
      </c>
      <c r="AG54" s="3">
        <v>0</v>
      </c>
      <c r="AH54" s="3" t="s">
        <v>17</v>
      </c>
      <c r="AI54" s="3" t="s">
        <v>777</v>
      </c>
      <c r="AK54" s="3" t="s">
        <v>155</v>
      </c>
    </row>
    <row r="55" spans="1:39" x14ac:dyDescent="0.25">
      <c r="A55" t="s">
        <v>1370</v>
      </c>
      <c r="B55" s="8">
        <v>43309</v>
      </c>
      <c r="C55" s="8" t="s">
        <v>844</v>
      </c>
      <c r="D55" s="3" t="s">
        <v>6</v>
      </c>
      <c r="E55" s="3" t="s">
        <v>94</v>
      </c>
      <c r="F55" s="3" t="s">
        <v>59</v>
      </c>
      <c r="G55" s="3" t="s">
        <v>20</v>
      </c>
      <c r="H55" s="9">
        <v>42.405055670054502</v>
      </c>
      <c r="I55" s="9">
        <v>3.1573966384024299</v>
      </c>
      <c r="J55" s="3">
        <v>1</v>
      </c>
      <c r="K55" s="3">
        <v>1</v>
      </c>
      <c r="L55" s="3">
        <v>0</v>
      </c>
      <c r="M55" s="3">
        <v>0</v>
      </c>
      <c r="N55" s="3" t="s">
        <v>66</v>
      </c>
      <c r="O55" s="3">
        <v>0</v>
      </c>
      <c r="P55" s="3">
        <v>0</v>
      </c>
      <c r="Q55" s="3">
        <v>1</v>
      </c>
      <c r="R55" s="3">
        <v>1</v>
      </c>
      <c r="S55" s="3">
        <v>0</v>
      </c>
      <c r="T55" s="3">
        <v>0</v>
      </c>
      <c r="U55" s="3">
        <v>0</v>
      </c>
      <c r="V55" s="3">
        <v>0</v>
      </c>
      <c r="W55" s="3" t="s">
        <v>6</v>
      </c>
      <c r="X55" s="3">
        <v>0</v>
      </c>
      <c r="Y55" s="3">
        <v>0</v>
      </c>
      <c r="Z55" s="3">
        <v>0</v>
      </c>
      <c r="AA55" s="3">
        <v>0</v>
      </c>
      <c r="AB55" s="3">
        <v>0</v>
      </c>
      <c r="AC55" s="3">
        <v>0</v>
      </c>
      <c r="AD55" s="3">
        <v>0</v>
      </c>
      <c r="AE55" s="3">
        <v>0</v>
      </c>
      <c r="AF55" s="3">
        <v>0</v>
      </c>
      <c r="AG55" s="3">
        <v>0</v>
      </c>
      <c r="AH55" s="3" t="s">
        <v>17</v>
      </c>
      <c r="AI55" s="3" t="s">
        <v>776</v>
      </c>
      <c r="AK55" s="3" t="s">
        <v>156</v>
      </c>
    </row>
    <row r="56" spans="1:39" x14ac:dyDescent="0.25">
      <c r="A56" t="s">
        <v>1305</v>
      </c>
      <c r="B56" s="7">
        <v>43309</v>
      </c>
      <c r="C56" s="7" t="s">
        <v>844</v>
      </c>
      <c r="D56" s="3" t="s">
        <v>6</v>
      </c>
      <c r="E56" s="3" t="s">
        <v>588</v>
      </c>
      <c r="F56" s="3" t="s">
        <v>69</v>
      </c>
      <c r="G56" s="3" t="s">
        <v>20</v>
      </c>
      <c r="H56" s="9">
        <v>41.1749882179978</v>
      </c>
      <c r="I56" s="9">
        <v>1.50784551165226</v>
      </c>
      <c r="J56" s="3">
        <v>1</v>
      </c>
      <c r="K56" s="3">
        <v>1</v>
      </c>
      <c r="L56" s="3">
        <v>0</v>
      </c>
      <c r="M56" s="3">
        <v>0</v>
      </c>
      <c r="N56" s="3" t="s">
        <v>16</v>
      </c>
      <c r="O56" s="3">
        <v>0</v>
      </c>
      <c r="P56" s="3">
        <v>1</v>
      </c>
      <c r="Q56" s="3">
        <v>0</v>
      </c>
      <c r="R56" s="3">
        <v>1</v>
      </c>
      <c r="S56" s="3">
        <v>0</v>
      </c>
      <c r="T56" s="3">
        <v>0</v>
      </c>
      <c r="U56" s="3">
        <v>0</v>
      </c>
      <c r="V56" s="3">
        <v>0</v>
      </c>
      <c r="W56" s="3" t="s">
        <v>6</v>
      </c>
      <c r="X56" s="3">
        <v>1</v>
      </c>
      <c r="Y56" s="3">
        <v>0</v>
      </c>
      <c r="Z56" s="3">
        <v>0</v>
      </c>
      <c r="AA56" s="3">
        <v>1</v>
      </c>
      <c r="AB56" s="3">
        <v>0</v>
      </c>
      <c r="AC56" s="3">
        <v>0</v>
      </c>
      <c r="AD56" s="3">
        <v>0</v>
      </c>
      <c r="AE56" s="3">
        <v>0</v>
      </c>
      <c r="AF56" s="3">
        <v>0</v>
      </c>
      <c r="AG56" s="3">
        <v>0</v>
      </c>
      <c r="AH56" s="3" t="s">
        <v>17</v>
      </c>
      <c r="AI56" s="3" t="s">
        <v>780</v>
      </c>
      <c r="AK56" s="3" t="s">
        <v>900</v>
      </c>
      <c r="AL56" s="3" t="s">
        <v>901</v>
      </c>
    </row>
    <row r="57" spans="1:39" x14ac:dyDescent="0.25">
      <c r="A57" t="s">
        <v>1371</v>
      </c>
      <c r="B57" s="8">
        <v>43310</v>
      </c>
      <c r="C57" s="8" t="s">
        <v>844</v>
      </c>
      <c r="D57" s="3" t="s">
        <v>6</v>
      </c>
      <c r="E57" s="3" t="s">
        <v>95</v>
      </c>
      <c r="F57" s="3" t="s">
        <v>59</v>
      </c>
      <c r="G57" s="3" t="s">
        <v>20</v>
      </c>
      <c r="H57" s="9">
        <v>42.428211944788302</v>
      </c>
      <c r="I57" s="9">
        <v>3.1651550374395998</v>
      </c>
      <c r="J57" s="3">
        <v>1</v>
      </c>
      <c r="K57" s="3">
        <v>1</v>
      </c>
      <c r="L57" s="3">
        <v>0</v>
      </c>
      <c r="M57" s="3">
        <v>0</v>
      </c>
      <c r="N57" s="3" t="s">
        <v>16</v>
      </c>
      <c r="O57" s="3">
        <v>0</v>
      </c>
      <c r="P57" s="3">
        <v>0</v>
      </c>
      <c r="Q57" s="3">
        <v>1</v>
      </c>
      <c r="R57" s="3">
        <v>1</v>
      </c>
      <c r="S57" s="3">
        <v>0</v>
      </c>
      <c r="T57" s="3">
        <v>0</v>
      </c>
      <c r="U57" s="3">
        <v>0</v>
      </c>
      <c r="V57" s="3">
        <v>0</v>
      </c>
      <c r="W57" s="3" t="s">
        <v>6</v>
      </c>
      <c r="X57" s="3">
        <v>0</v>
      </c>
      <c r="Y57" s="3">
        <v>0</v>
      </c>
      <c r="Z57" s="3">
        <v>0</v>
      </c>
      <c r="AA57" s="3">
        <v>0</v>
      </c>
      <c r="AB57" s="3">
        <v>0</v>
      </c>
      <c r="AC57" s="3">
        <v>0</v>
      </c>
      <c r="AD57" s="3">
        <v>0</v>
      </c>
      <c r="AE57" s="3">
        <v>0</v>
      </c>
      <c r="AF57" s="3">
        <v>0</v>
      </c>
      <c r="AG57" s="3">
        <v>0</v>
      </c>
      <c r="AH57" s="3" t="s">
        <v>17</v>
      </c>
      <c r="AI57" s="3" t="s">
        <v>776</v>
      </c>
      <c r="AK57" s="3" t="s">
        <v>157</v>
      </c>
    </row>
    <row r="58" spans="1:39" x14ac:dyDescent="0.25">
      <c r="A58" t="s">
        <v>1372</v>
      </c>
      <c r="B58" s="8">
        <v>43310</v>
      </c>
      <c r="C58" s="8" t="s">
        <v>844</v>
      </c>
      <c r="D58" s="3" t="s">
        <v>6</v>
      </c>
      <c r="E58" s="3" t="s">
        <v>96</v>
      </c>
      <c r="F58" s="3" t="s">
        <v>59</v>
      </c>
      <c r="G58" s="3" t="s">
        <v>20</v>
      </c>
      <c r="H58" s="9">
        <v>41.721057239619803</v>
      </c>
      <c r="I58" s="9">
        <v>2.9419563914035201</v>
      </c>
      <c r="J58" s="3">
        <v>1</v>
      </c>
      <c r="K58" s="3">
        <v>0</v>
      </c>
      <c r="L58" s="3">
        <v>0</v>
      </c>
      <c r="M58" s="3">
        <v>1</v>
      </c>
      <c r="N58" s="3" t="s">
        <v>6</v>
      </c>
      <c r="O58" s="3">
        <v>0</v>
      </c>
      <c r="P58" s="3">
        <v>0</v>
      </c>
      <c r="Q58" s="3">
        <v>1</v>
      </c>
      <c r="R58" s="3">
        <v>0</v>
      </c>
      <c r="S58" s="3">
        <v>0</v>
      </c>
      <c r="T58" s="3">
        <v>0</v>
      </c>
      <c r="U58" s="3">
        <v>0</v>
      </c>
      <c r="V58" s="3">
        <v>1</v>
      </c>
      <c r="W58" s="3" t="s">
        <v>6</v>
      </c>
      <c r="X58" s="3">
        <v>0</v>
      </c>
      <c r="Y58" s="3">
        <v>0</v>
      </c>
      <c r="Z58" s="3">
        <v>0</v>
      </c>
      <c r="AA58" s="3">
        <v>0</v>
      </c>
      <c r="AB58" s="3">
        <v>0</v>
      </c>
      <c r="AC58" s="3">
        <v>0</v>
      </c>
      <c r="AD58" s="3">
        <v>0</v>
      </c>
      <c r="AE58" s="3">
        <v>0</v>
      </c>
      <c r="AF58" s="3">
        <v>0</v>
      </c>
      <c r="AG58" s="3">
        <v>0</v>
      </c>
      <c r="AH58" s="3" t="s">
        <v>17</v>
      </c>
      <c r="AI58" s="3" t="s">
        <v>780</v>
      </c>
      <c r="AK58" s="3" t="s">
        <v>158</v>
      </c>
    </row>
    <row r="59" spans="1:39" x14ac:dyDescent="0.25">
      <c r="A59" t="s">
        <v>1373</v>
      </c>
      <c r="B59" s="8">
        <v>43311</v>
      </c>
      <c r="C59" s="8" t="s">
        <v>844</v>
      </c>
      <c r="D59" s="3" t="s">
        <v>6</v>
      </c>
      <c r="E59" s="3" t="s">
        <v>95</v>
      </c>
      <c r="F59" s="3" t="s">
        <v>59</v>
      </c>
      <c r="G59" s="3" t="s">
        <v>20</v>
      </c>
      <c r="H59" s="9">
        <v>42.428211944788302</v>
      </c>
      <c r="I59" s="9">
        <v>3.1651550374395998</v>
      </c>
      <c r="J59" s="3">
        <v>2</v>
      </c>
      <c r="K59" s="3">
        <v>2</v>
      </c>
      <c r="L59" s="3">
        <v>0</v>
      </c>
      <c r="M59" s="3">
        <v>0</v>
      </c>
      <c r="N59" s="3" t="s">
        <v>247</v>
      </c>
      <c r="O59" s="3">
        <v>0</v>
      </c>
      <c r="P59" s="3">
        <v>0</v>
      </c>
      <c r="Q59" s="3">
        <v>2</v>
      </c>
      <c r="R59" s="3">
        <v>0</v>
      </c>
      <c r="S59" s="3">
        <v>0</v>
      </c>
      <c r="T59" s="3">
        <v>0</v>
      </c>
      <c r="U59" s="3">
        <v>0</v>
      </c>
      <c r="V59" s="3">
        <v>2</v>
      </c>
      <c r="W59" s="3" t="s">
        <v>6</v>
      </c>
      <c r="X59" s="3">
        <v>1</v>
      </c>
      <c r="Y59" s="3">
        <v>0</v>
      </c>
      <c r="Z59" s="3">
        <v>0</v>
      </c>
      <c r="AA59" s="3">
        <v>0</v>
      </c>
      <c r="AB59" s="3">
        <v>0</v>
      </c>
      <c r="AC59" s="3">
        <v>0</v>
      </c>
      <c r="AD59" s="3">
        <v>1</v>
      </c>
      <c r="AE59" s="3">
        <v>0</v>
      </c>
      <c r="AF59" s="3">
        <v>0</v>
      </c>
      <c r="AG59" s="3">
        <v>1</v>
      </c>
      <c r="AH59" s="3" t="s">
        <v>17</v>
      </c>
      <c r="AI59" s="3" t="s">
        <v>780</v>
      </c>
      <c r="AK59" s="3" t="s">
        <v>159</v>
      </c>
      <c r="AL59" s="3" t="s">
        <v>248</v>
      </c>
    </row>
    <row r="60" spans="1:39" x14ac:dyDescent="0.25">
      <c r="A60" t="s">
        <v>1374</v>
      </c>
      <c r="B60" s="8">
        <v>43313</v>
      </c>
      <c r="C60" s="8" t="s">
        <v>844</v>
      </c>
      <c r="D60" s="3" t="s">
        <v>6</v>
      </c>
      <c r="E60" s="3" t="s">
        <v>97</v>
      </c>
      <c r="F60" s="3" t="s">
        <v>59</v>
      </c>
      <c r="G60" s="3" t="s">
        <v>20</v>
      </c>
      <c r="H60" s="9">
        <v>42.262452179144901</v>
      </c>
      <c r="I60" s="9">
        <v>3.1720993617682698</v>
      </c>
      <c r="J60" s="3">
        <v>1</v>
      </c>
      <c r="K60" s="3">
        <v>1</v>
      </c>
      <c r="L60" s="3">
        <v>0</v>
      </c>
      <c r="M60" s="3">
        <v>0</v>
      </c>
      <c r="N60" s="3" t="s">
        <v>16</v>
      </c>
      <c r="O60" s="3">
        <v>0</v>
      </c>
      <c r="P60" s="3">
        <v>1</v>
      </c>
      <c r="Q60" s="3">
        <v>0</v>
      </c>
      <c r="R60" s="3">
        <v>0</v>
      </c>
      <c r="S60" s="3">
        <v>0</v>
      </c>
      <c r="T60" s="3">
        <v>0</v>
      </c>
      <c r="U60" s="3">
        <v>0</v>
      </c>
      <c r="V60" s="3">
        <v>1</v>
      </c>
      <c r="W60" s="3" t="s">
        <v>6</v>
      </c>
      <c r="X60" s="3">
        <v>0</v>
      </c>
      <c r="Y60" s="3">
        <v>0</v>
      </c>
      <c r="Z60" s="3">
        <v>0</v>
      </c>
      <c r="AA60" s="3">
        <v>0</v>
      </c>
      <c r="AB60" s="3">
        <v>0</v>
      </c>
      <c r="AC60" s="3">
        <v>0</v>
      </c>
      <c r="AD60" s="3">
        <v>0</v>
      </c>
      <c r="AE60" s="3">
        <v>0</v>
      </c>
      <c r="AF60" s="3">
        <v>0</v>
      </c>
      <c r="AG60" s="3">
        <v>0</v>
      </c>
      <c r="AH60" s="3" t="s">
        <v>17</v>
      </c>
      <c r="AI60" s="3" t="s">
        <v>778</v>
      </c>
      <c r="AK60" s="3" t="s">
        <v>160</v>
      </c>
    </row>
    <row r="61" spans="1:39" x14ac:dyDescent="0.25">
      <c r="A61" t="s">
        <v>1375</v>
      </c>
      <c r="B61" s="8">
        <v>43313</v>
      </c>
      <c r="C61" s="8" t="s">
        <v>844</v>
      </c>
      <c r="D61" s="3" t="s">
        <v>6</v>
      </c>
      <c r="E61" s="3" t="s">
        <v>69</v>
      </c>
      <c r="F61" s="3" t="s">
        <v>69</v>
      </c>
      <c r="G61" s="3" t="s">
        <v>20</v>
      </c>
      <c r="H61" s="9">
        <v>41.127926541411902</v>
      </c>
      <c r="I61" s="9">
        <v>1.30718061163969</v>
      </c>
      <c r="J61" s="3">
        <v>1</v>
      </c>
      <c r="K61" s="3">
        <v>1</v>
      </c>
      <c r="L61" s="3">
        <v>0</v>
      </c>
      <c r="M61" s="3">
        <v>0</v>
      </c>
      <c r="N61" s="3" t="s">
        <v>6</v>
      </c>
      <c r="O61" s="3">
        <v>0</v>
      </c>
      <c r="P61" s="3">
        <v>0</v>
      </c>
      <c r="Q61" s="3">
        <v>1</v>
      </c>
      <c r="R61" s="3">
        <v>0</v>
      </c>
      <c r="S61" s="3">
        <v>0</v>
      </c>
      <c r="T61" s="3">
        <v>0</v>
      </c>
      <c r="U61" s="3">
        <v>0</v>
      </c>
      <c r="V61" s="3">
        <v>1</v>
      </c>
      <c r="W61" s="3" t="s">
        <v>6</v>
      </c>
      <c r="X61" s="3">
        <v>0</v>
      </c>
      <c r="Y61" s="3">
        <v>0</v>
      </c>
      <c r="Z61" s="3">
        <v>0</v>
      </c>
      <c r="AA61" s="3">
        <v>0</v>
      </c>
      <c r="AB61" s="3">
        <v>0</v>
      </c>
      <c r="AC61" s="3">
        <v>0</v>
      </c>
      <c r="AD61" s="3">
        <v>0</v>
      </c>
      <c r="AE61" s="3">
        <v>0</v>
      </c>
      <c r="AF61" s="3">
        <v>0</v>
      </c>
      <c r="AG61" s="3">
        <v>0</v>
      </c>
      <c r="AH61" s="3" t="s">
        <v>17</v>
      </c>
      <c r="AI61" s="3" t="s">
        <v>778</v>
      </c>
      <c r="AK61" s="3" t="s">
        <v>161</v>
      </c>
    </row>
    <row r="62" spans="1:39" x14ac:dyDescent="0.25">
      <c r="A62" t="s">
        <v>1376</v>
      </c>
      <c r="B62" s="8">
        <v>43314</v>
      </c>
      <c r="C62" s="8" t="s">
        <v>844</v>
      </c>
      <c r="D62" s="3" t="s">
        <v>6</v>
      </c>
      <c r="E62" s="3" t="s">
        <v>98</v>
      </c>
      <c r="F62" s="3" t="s">
        <v>24</v>
      </c>
      <c r="G62" s="3" t="s">
        <v>20</v>
      </c>
      <c r="H62" s="9">
        <v>41.618485543829102</v>
      </c>
      <c r="I62" s="9">
        <v>2.6887821072081399</v>
      </c>
      <c r="J62" s="3">
        <v>1</v>
      </c>
      <c r="K62" s="3">
        <v>1</v>
      </c>
      <c r="L62" s="3">
        <v>0</v>
      </c>
      <c r="M62" s="3">
        <v>0</v>
      </c>
      <c r="N62" s="3" t="s">
        <v>66</v>
      </c>
      <c r="O62" s="3">
        <v>0</v>
      </c>
      <c r="P62" s="3">
        <v>1</v>
      </c>
      <c r="Q62" s="3">
        <v>0</v>
      </c>
      <c r="R62" s="3">
        <v>1</v>
      </c>
      <c r="S62" s="3">
        <v>0</v>
      </c>
      <c r="T62" s="3">
        <v>0</v>
      </c>
      <c r="U62" s="3">
        <v>0</v>
      </c>
      <c r="V62" s="3">
        <v>0</v>
      </c>
      <c r="W62" s="3" t="s">
        <v>6</v>
      </c>
      <c r="X62" s="3">
        <v>0</v>
      </c>
      <c r="Y62" s="3">
        <v>0</v>
      </c>
      <c r="Z62" s="3">
        <v>0</v>
      </c>
      <c r="AA62" s="3">
        <v>0</v>
      </c>
      <c r="AB62" s="3">
        <v>0</v>
      </c>
      <c r="AC62" s="3">
        <v>0</v>
      </c>
      <c r="AD62" s="3">
        <v>0</v>
      </c>
      <c r="AE62" s="3">
        <v>0</v>
      </c>
      <c r="AF62" s="3">
        <v>0</v>
      </c>
      <c r="AG62" s="3">
        <v>0</v>
      </c>
      <c r="AH62" s="3" t="s">
        <v>17</v>
      </c>
      <c r="AI62" s="3" t="s">
        <v>778</v>
      </c>
      <c r="AK62" s="3" t="s">
        <v>162</v>
      </c>
    </row>
    <row r="63" spans="1:39" x14ac:dyDescent="0.25">
      <c r="A63" t="s">
        <v>1377</v>
      </c>
      <c r="B63" s="8">
        <v>43314</v>
      </c>
      <c r="C63" s="8" t="s">
        <v>844</v>
      </c>
      <c r="D63" s="3" t="s">
        <v>6</v>
      </c>
      <c r="E63" s="3" t="s">
        <v>69</v>
      </c>
      <c r="F63" s="3" t="s">
        <v>69</v>
      </c>
      <c r="G63" s="3" t="s">
        <v>20</v>
      </c>
      <c r="H63" s="9">
        <v>41.1330886665938</v>
      </c>
      <c r="I63" s="9">
        <v>1.38326583890431</v>
      </c>
      <c r="J63" s="3">
        <v>1</v>
      </c>
      <c r="K63" s="3">
        <v>1</v>
      </c>
      <c r="L63" s="3">
        <v>0</v>
      </c>
      <c r="M63" s="3">
        <v>0</v>
      </c>
      <c r="N63" s="3" t="s">
        <v>6</v>
      </c>
      <c r="O63" s="3">
        <v>0</v>
      </c>
      <c r="P63" s="3">
        <v>0</v>
      </c>
      <c r="Q63" s="3">
        <v>1</v>
      </c>
      <c r="R63" s="3">
        <v>0</v>
      </c>
      <c r="S63" s="3">
        <v>0</v>
      </c>
      <c r="T63" s="3">
        <v>0</v>
      </c>
      <c r="U63" s="3">
        <v>0</v>
      </c>
      <c r="V63" s="3">
        <v>1</v>
      </c>
      <c r="W63" s="3" t="s">
        <v>6</v>
      </c>
      <c r="X63" s="3">
        <v>0</v>
      </c>
      <c r="Y63" s="3">
        <v>0</v>
      </c>
      <c r="Z63" s="3">
        <v>0</v>
      </c>
      <c r="AA63" s="3">
        <v>0</v>
      </c>
      <c r="AB63" s="3">
        <v>0</v>
      </c>
      <c r="AC63" s="3">
        <v>0</v>
      </c>
      <c r="AD63" s="3">
        <v>0</v>
      </c>
      <c r="AE63" s="3">
        <v>0</v>
      </c>
      <c r="AF63" s="3">
        <v>0</v>
      </c>
      <c r="AG63" s="3">
        <v>0</v>
      </c>
      <c r="AH63" s="3" t="s">
        <v>17</v>
      </c>
      <c r="AI63" s="3" t="s">
        <v>777</v>
      </c>
      <c r="AK63" s="3" t="s">
        <v>163</v>
      </c>
    </row>
    <row r="64" spans="1:39" x14ac:dyDescent="0.25">
      <c r="A64" t="s">
        <v>999</v>
      </c>
      <c r="B64" s="7">
        <v>43314</v>
      </c>
      <c r="C64" s="7" t="s">
        <v>844</v>
      </c>
      <c r="D64" s="3" t="s">
        <v>6</v>
      </c>
      <c r="E64" s="3" t="s">
        <v>319</v>
      </c>
      <c r="F64" s="3" t="s">
        <v>47</v>
      </c>
      <c r="G64" s="3" t="s">
        <v>21</v>
      </c>
      <c r="H64" s="9">
        <v>36.6720667677303</v>
      </c>
      <c r="I64" s="9">
        <v>-2.6606359281096199</v>
      </c>
      <c r="J64" s="3">
        <v>2</v>
      </c>
      <c r="K64" s="3">
        <v>2</v>
      </c>
      <c r="L64" s="3">
        <v>0</v>
      </c>
      <c r="M64" s="3">
        <v>0</v>
      </c>
      <c r="N64" s="3" t="s">
        <v>6</v>
      </c>
      <c r="O64" s="3">
        <v>1</v>
      </c>
      <c r="P64" s="3">
        <v>1</v>
      </c>
      <c r="Q64" s="3">
        <v>0</v>
      </c>
      <c r="R64" s="3">
        <v>2</v>
      </c>
      <c r="S64" s="3">
        <v>0</v>
      </c>
      <c r="T64" s="3">
        <v>0</v>
      </c>
      <c r="U64" s="3">
        <v>0</v>
      </c>
      <c r="V64" s="3">
        <v>0</v>
      </c>
      <c r="W64" s="3" t="s">
        <v>6</v>
      </c>
      <c r="X64" s="3">
        <v>1</v>
      </c>
      <c r="Y64" s="3">
        <v>1</v>
      </c>
      <c r="Z64" s="3">
        <v>0</v>
      </c>
      <c r="AA64" s="3">
        <v>0</v>
      </c>
      <c r="AB64" s="3">
        <v>0</v>
      </c>
      <c r="AC64" s="3">
        <v>0</v>
      </c>
      <c r="AD64" s="3">
        <v>0</v>
      </c>
      <c r="AE64" s="3">
        <v>0</v>
      </c>
      <c r="AF64" s="3">
        <v>0</v>
      </c>
      <c r="AG64" s="3">
        <v>0</v>
      </c>
      <c r="AH64" s="3" t="s">
        <v>775</v>
      </c>
      <c r="AI64" s="3" t="s">
        <v>81</v>
      </c>
      <c r="AK64" s="3" t="s">
        <v>321</v>
      </c>
      <c r="AL64" s="3" t="s">
        <v>234</v>
      </c>
    </row>
    <row r="65" spans="1:39" x14ac:dyDescent="0.25">
      <c r="A65" t="s">
        <v>1326</v>
      </c>
      <c r="B65" s="7">
        <v>43315</v>
      </c>
      <c r="C65" s="7" t="s">
        <v>844</v>
      </c>
      <c r="D65" s="68" t="s">
        <v>6</v>
      </c>
      <c r="E65" s="3" t="s">
        <v>40</v>
      </c>
      <c r="F65" s="3" t="s">
        <v>59</v>
      </c>
      <c r="G65" s="3" t="s">
        <v>20</v>
      </c>
      <c r="H65" s="9">
        <v>42.409219999999998</v>
      </c>
      <c r="I65" s="9">
        <v>3.1620900000000001</v>
      </c>
      <c r="J65" s="3">
        <v>1</v>
      </c>
      <c r="K65" s="3">
        <v>0</v>
      </c>
      <c r="L65" s="3">
        <v>0</v>
      </c>
      <c r="M65" s="3">
        <v>1</v>
      </c>
      <c r="N65" s="3" t="s">
        <v>6</v>
      </c>
      <c r="O65" s="3">
        <v>0</v>
      </c>
      <c r="P65" s="3">
        <v>0</v>
      </c>
      <c r="Q65" s="3">
        <v>1</v>
      </c>
      <c r="R65" s="3">
        <v>0</v>
      </c>
      <c r="S65" s="3">
        <v>0</v>
      </c>
      <c r="T65" s="3">
        <v>0</v>
      </c>
      <c r="U65" s="3">
        <v>0</v>
      </c>
      <c r="V65" s="3">
        <v>1</v>
      </c>
      <c r="W65" s="3" t="s">
        <v>6</v>
      </c>
      <c r="X65" s="3">
        <v>0</v>
      </c>
      <c r="Y65" s="3">
        <v>0</v>
      </c>
      <c r="Z65" s="3">
        <v>0</v>
      </c>
      <c r="AA65" s="3">
        <v>0</v>
      </c>
      <c r="AB65" s="3">
        <v>0</v>
      </c>
      <c r="AC65" s="3">
        <v>0</v>
      </c>
      <c r="AD65" s="3">
        <v>0</v>
      </c>
      <c r="AE65" s="3">
        <v>0</v>
      </c>
      <c r="AF65" s="3">
        <v>0</v>
      </c>
      <c r="AG65" s="3">
        <v>0</v>
      </c>
      <c r="AH65" s="3" t="s">
        <v>775</v>
      </c>
      <c r="AI65" s="3" t="s">
        <v>80</v>
      </c>
      <c r="AK65" t="s">
        <v>282</v>
      </c>
      <c r="AL65" s="3" t="s">
        <v>22</v>
      </c>
      <c r="AM65" t="s">
        <v>22</v>
      </c>
    </row>
    <row r="66" spans="1:39" x14ac:dyDescent="0.25">
      <c r="A66" t="s">
        <v>1378</v>
      </c>
      <c r="B66" s="8">
        <v>43315</v>
      </c>
      <c r="C66" s="8" t="s">
        <v>844</v>
      </c>
      <c r="D66" s="3" t="s">
        <v>6</v>
      </c>
      <c r="E66" s="3" t="s">
        <v>99</v>
      </c>
      <c r="F66" s="3" t="s">
        <v>69</v>
      </c>
      <c r="G66" s="3" t="s">
        <v>20</v>
      </c>
      <c r="H66" s="9">
        <v>41.187794270318697</v>
      </c>
      <c r="I66" s="9">
        <v>1.60145743577168</v>
      </c>
      <c r="J66" s="3">
        <v>1</v>
      </c>
      <c r="K66" s="3">
        <v>1</v>
      </c>
      <c r="L66" s="3">
        <v>0</v>
      </c>
      <c r="M66" s="3">
        <v>0</v>
      </c>
      <c r="N66" s="3" t="s">
        <v>66</v>
      </c>
      <c r="O66" s="3">
        <v>0</v>
      </c>
      <c r="P66" s="3">
        <v>1</v>
      </c>
      <c r="Q66" s="3">
        <v>0</v>
      </c>
      <c r="R66" s="3">
        <v>0</v>
      </c>
      <c r="S66" s="3">
        <v>0</v>
      </c>
      <c r="T66" s="3">
        <v>0</v>
      </c>
      <c r="U66" s="3">
        <v>0</v>
      </c>
      <c r="V66" s="3">
        <v>1</v>
      </c>
      <c r="W66" s="3" t="s">
        <v>6</v>
      </c>
      <c r="X66" s="3">
        <v>0</v>
      </c>
      <c r="Y66" s="3">
        <v>0</v>
      </c>
      <c r="Z66" s="3">
        <v>0</v>
      </c>
      <c r="AA66" s="3">
        <v>0</v>
      </c>
      <c r="AB66" s="3">
        <v>0</v>
      </c>
      <c r="AC66" s="3">
        <v>0</v>
      </c>
      <c r="AD66" s="3">
        <v>0</v>
      </c>
      <c r="AE66" s="3">
        <v>0</v>
      </c>
      <c r="AF66" s="3">
        <v>0</v>
      </c>
      <c r="AG66" s="3">
        <v>0</v>
      </c>
      <c r="AH66" s="3" t="s">
        <v>17</v>
      </c>
      <c r="AI66" s="3" t="s">
        <v>776</v>
      </c>
      <c r="AK66" s="3" t="s">
        <v>164</v>
      </c>
    </row>
    <row r="67" spans="1:39" x14ac:dyDescent="0.25">
      <c r="A67" t="s">
        <v>1379</v>
      </c>
      <c r="B67" s="8">
        <v>43315</v>
      </c>
      <c r="C67" s="8" t="s">
        <v>844</v>
      </c>
      <c r="D67" s="3" t="s">
        <v>6</v>
      </c>
      <c r="E67" s="3" t="s">
        <v>100</v>
      </c>
      <c r="F67" s="3" t="s">
        <v>24</v>
      </c>
      <c r="G67" s="3" t="s">
        <v>20</v>
      </c>
      <c r="H67" s="9">
        <v>41.286292750222202</v>
      </c>
      <c r="I67" s="9">
        <v>2.1050163910896802</v>
      </c>
      <c r="J67" s="3">
        <v>1</v>
      </c>
      <c r="K67" s="3">
        <v>1</v>
      </c>
      <c r="L67" s="3">
        <v>0</v>
      </c>
      <c r="M67" s="3">
        <v>0</v>
      </c>
      <c r="N67" s="3" t="s">
        <v>6</v>
      </c>
      <c r="O67" s="3">
        <v>0</v>
      </c>
      <c r="P67" s="3">
        <v>0</v>
      </c>
      <c r="Q67" s="3">
        <v>1</v>
      </c>
      <c r="R67" s="3">
        <v>0</v>
      </c>
      <c r="S67" s="3">
        <v>0</v>
      </c>
      <c r="T67" s="3">
        <v>0</v>
      </c>
      <c r="U67" s="3">
        <v>0</v>
      </c>
      <c r="V67" s="3">
        <v>1</v>
      </c>
      <c r="W67" s="3" t="s">
        <v>6</v>
      </c>
      <c r="X67" s="3">
        <v>0</v>
      </c>
      <c r="Y67" s="3">
        <v>0</v>
      </c>
      <c r="Z67" s="3">
        <v>0</v>
      </c>
      <c r="AA67" s="3">
        <v>0</v>
      </c>
      <c r="AB67" s="3">
        <v>0</v>
      </c>
      <c r="AC67" s="3">
        <v>0</v>
      </c>
      <c r="AD67" s="3">
        <v>0</v>
      </c>
      <c r="AE67" s="3">
        <v>0</v>
      </c>
      <c r="AF67" s="3">
        <v>0</v>
      </c>
      <c r="AG67" s="3">
        <v>0</v>
      </c>
      <c r="AH67" s="3" t="s">
        <v>17</v>
      </c>
      <c r="AI67" s="3" t="s">
        <v>778</v>
      </c>
      <c r="AK67" s="3" t="s">
        <v>165</v>
      </c>
    </row>
    <row r="68" spans="1:39" x14ac:dyDescent="0.25">
      <c r="A68" t="s">
        <v>1380</v>
      </c>
      <c r="B68" s="8">
        <v>43315</v>
      </c>
      <c r="C68" s="8" t="s">
        <v>844</v>
      </c>
      <c r="D68" s="3" t="s">
        <v>6</v>
      </c>
      <c r="E68" s="3" t="s">
        <v>67</v>
      </c>
      <c r="F68" s="3" t="s">
        <v>69</v>
      </c>
      <c r="G68" s="3" t="s">
        <v>20</v>
      </c>
      <c r="H68" s="9">
        <v>41.138958692002099</v>
      </c>
      <c r="I68" s="9">
        <v>1.4072088872497901</v>
      </c>
      <c r="J68" s="3">
        <v>1</v>
      </c>
      <c r="K68" s="3">
        <v>1</v>
      </c>
      <c r="L68" s="3">
        <v>0</v>
      </c>
      <c r="M68" s="3">
        <v>0</v>
      </c>
      <c r="N68" s="3" t="s">
        <v>6</v>
      </c>
      <c r="O68" s="3">
        <v>0</v>
      </c>
      <c r="P68" s="3">
        <v>0</v>
      </c>
      <c r="Q68" s="3">
        <v>1</v>
      </c>
      <c r="R68" s="3">
        <v>0</v>
      </c>
      <c r="S68" s="3">
        <v>0</v>
      </c>
      <c r="T68" s="3">
        <v>0</v>
      </c>
      <c r="U68" s="3">
        <v>0</v>
      </c>
      <c r="V68" s="3">
        <v>1</v>
      </c>
      <c r="W68" s="3" t="s">
        <v>6</v>
      </c>
      <c r="X68" s="3">
        <v>0</v>
      </c>
      <c r="Y68" s="3">
        <v>0</v>
      </c>
      <c r="Z68" s="3">
        <v>0</v>
      </c>
      <c r="AA68" s="3">
        <v>0</v>
      </c>
      <c r="AB68" s="3">
        <v>0</v>
      </c>
      <c r="AC68" s="3">
        <v>0</v>
      </c>
      <c r="AD68" s="3">
        <v>0</v>
      </c>
      <c r="AE68" s="3">
        <v>0</v>
      </c>
      <c r="AF68" s="3">
        <v>0</v>
      </c>
      <c r="AG68" s="3">
        <v>0</v>
      </c>
      <c r="AH68" s="3" t="s">
        <v>17</v>
      </c>
      <c r="AI68" s="3" t="s">
        <v>778</v>
      </c>
      <c r="AK68" s="3" t="s">
        <v>166</v>
      </c>
    </row>
    <row r="69" spans="1:39" x14ac:dyDescent="0.25">
      <c r="A69" t="s">
        <v>1381</v>
      </c>
      <c r="B69" s="8">
        <v>43315</v>
      </c>
      <c r="C69" s="8" t="s">
        <v>844</v>
      </c>
      <c r="D69" s="3" t="s">
        <v>6</v>
      </c>
      <c r="E69" s="3" t="s">
        <v>101</v>
      </c>
      <c r="F69" s="3" t="s">
        <v>69</v>
      </c>
      <c r="G69" s="3" t="s">
        <v>20</v>
      </c>
      <c r="H69" s="9">
        <v>41.118671650723002</v>
      </c>
      <c r="I69" s="9">
        <v>1.2775099166039201</v>
      </c>
      <c r="J69" s="3">
        <v>1</v>
      </c>
      <c r="K69" s="3">
        <v>1</v>
      </c>
      <c r="L69" s="3">
        <v>0</v>
      </c>
      <c r="M69" s="3">
        <v>0</v>
      </c>
      <c r="N69" s="3" t="s">
        <v>6</v>
      </c>
      <c r="O69" s="3">
        <v>0</v>
      </c>
      <c r="P69" s="3">
        <v>0</v>
      </c>
      <c r="Q69" s="3">
        <v>1</v>
      </c>
      <c r="R69" s="3">
        <v>0</v>
      </c>
      <c r="S69" s="3">
        <v>0</v>
      </c>
      <c r="T69" s="3">
        <v>0</v>
      </c>
      <c r="U69" s="3">
        <v>0</v>
      </c>
      <c r="V69" s="3">
        <v>1</v>
      </c>
      <c r="W69" s="3" t="s">
        <v>6</v>
      </c>
      <c r="X69" s="3">
        <v>0</v>
      </c>
      <c r="Y69" s="3">
        <v>0</v>
      </c>
      <c r="Z69" s="3">
        <v>0</v>
      </c>
      <c r="AA69" s="3">
        <v>0</v>
      </c>
      <c r="AB69" s="3">
        <v>0</v>
      </c>
      <c r="AC69" s="3">
        <v>0</v>
      </c>
      <c r="AD69" s="3">
        <v>0</v>
      </c>
      <c r="AE69" s="3">
        <v>0</v>
      </c>
      <c r="AF69" s="3">
        <v>0</v>
      </c>
      <c r="AG69" s="3">
        <v>0</v>
      </c>
      <c r="AH69" s="3" t="s">
        <v>17</v>
      </c>
      <c r="AI69" s="3" t="s">
        <v>778</v>
      </c>
      <c r="AK69" s="3" t="s">
        <v>167</v>
      </c>
    </row>
    <row r="70" spans="1:39" x14ac:dyDescent="0.25">
      <c r="A70" t="s">
        <v>987</v>
      </c>
      <c r="B70" s="8">
        <v>43315</v>
      </c>
      <c r="C70" s="8" t="s">
        <v>844</v>
      </c>
      <c r="D70" s="3" t="s">
        <v>6</v>
      </c>
      <c r="E70" s="6" t="s">
        <v>97</v>
      </c>
      <c r="F70" s="6" t="s">
        <v>59</v>
      </c>
      <c r="G70" s="3" t="s">
        <v>20</v>
      </c>
      <c r="H70" s="9">
        <v>42.261947678876403</v>
      </c>
      <c r="I70" s="9">
        <v>3.1683496585406701</v>
      </c>
      <c r="J70" s="6">
        <v>1</v>
      </c>
      <c r="K70" s="3">
        <v>1</v>
      </c>
      <c r="L70" s="3">
        <v>0</v>
      </c>
      <c r="M70" s="3">
        <v>0</v>
      </c>
      <c r="N70" s="3" t="s">
        <v>6</v>
      </c>
      <c r="O70" s="3">
        <v>0</v>
      </c>
      <c r="P70" s="3">
        <v>0</v>
      </c>
      <c r="Q70" s="3">
        <v>1</v>
      </c>
      <c r="R70" s="3">
        <v>0</v>
      </c>
      <c r="S70" s="3">
        <v>0</v>
      </c>
      <c r="T70" s="3">
        <v>0</v>
      </c>
      <c r="U70" s="3">
        <v>0</v>
      </c>
      <c r="V70" s="3">
        <v>1</v>
      </c>
      <c r="W70" s="3" t="s">
        <v>6</v>
      </c>
      <c r="X70" s="3">
        <v>0</v>
      </c>
      <c r="Y70" s="3">
        <v>0</v>
      </c>
      <c r="Z70" s="3">
        <v>0</v>
      </c>
      <c r="AA70" s="3">
        <v>0</v>
      </c>
      <c r="AB70" s="3">
        <v>0</v>
      </c>
      <c r="AC70" s="3">
        <v>0</v>
      </c>
      <c r="AD70" s="3">
        <v>0</v>
      </c>
      <c r="AE70" s="3">
        <v>0</v>
      </c>
      <c r="AF70" s="3">
        <v>0</v>
      </c>
      <c r="AG70" s="3">
        <v>0</v>
      </c>
      <c r="AH70" s="3" t="s">
        <v>233</v>
      </c>
      <c r="AI70" s="3" t="s">
        <v>784</v>
      </c>
      <c r="AK70" s="3" t="s">
        <v>235</v>
      </c>
    </row>
    <row r="71" spans="1:39" x14ac:dyDescent="0.25">
      <c r="A71" t="s">
        <v>988</v>
      </c>
      <c r="B71" s="8">
        <v>43315</v>
      </c>
      <c r="C71" s="8" t="s">
        <v>844</v>
      </c>
      <c r="D71" s="3" t="s">
        <v>6</v>
      </c>
      <c r="E71" s="6" t="s">
        <v>40</v>
      </c>
      <c r="F71" s="6" t="s">
        <v>59</v>
      </c>
      <c r="G71" s="3" t="s">
        <v>20</v>
      </c>
      <c r="H71" s="9">
        <v>42.406129149971001</v>
      </c>
      <c r="I71" s="9">
        <v>3.1580511021195101</v>
      </c>
      <c r="J71" s="6">
        <v>1</v>
      </c>
      <c r="K71" s="3">
        <v>1</v>
      </c>
      <c r="L71" s="3">
        <v>0</v>
      </c>
      <c r="M71" s="3">
        <v>0</v>
      </c>
      <c r="N71" s="3" t="s">
        <v>6</v>
      </c>
      <c r="O71" s="3">
        <v>0</v>
      </c>
      <c r="P71" s="3">
        <v>0</v>
      </c>
      <c r="Q71" s="3">
        <v>1</v>
      </c>
      <c r="R71" s="3">
        <v>0</v>
      </c>
      <c r="S71" s="3">
        <v>0</v>
      </c>
      <c r="T71" s="3">
        <v>0</v>
      </c>
      <c r="U71" s="3">
        <v>0</v>
      </c>
      <c r="V71" s="3">
        <v>1</v>
      </c>
      <c r="W71" s="3" t="s">
        <v>6</v>
      </c>
      <c r="X71" s="3">
        <v>0</v>
      </c>
      <c r="Y71" s="3">
        <v>0</v>
      </c>
      <c r="Z71" s="3">
        <v>0</v>
      </c>
      <c r="AA71" s="3">
        <v>0</v>
      </c>
      <c r="AB71" s="3">
        <v>0</v>
      </c>
      <c r="AC71" s="3">
        <v>0</v>
      </c>
      <c r="AD71" s="3">
        <v>0</v>
      </c>
      <c r="AE71" s="3">
        <v>0</v>
      </c>
      <c r="AF71" s="3">
        <v>0</v>
      </c>
      <c r="AG71" s="3">
        <v>0</v>
      </c>
      <c r="AH71" s="3" t="s">
        <v>233</v>
      </c>
      <c r="AI71" s="3" t="s">
        <v>784</v>
      </c>
      <c r="AK71" s="3" t="s">
        <v>235</v>
      </c>
    </row>
    <row r="72" spans="1:39" x14ac:dyDescent="0.25">
      <c r="A72" t="s">
        <v>1286</v>
      </c>
      <c r="B72" s="7">
        <v>43315</v>
      </c>
      <c r="C72" s="7" t="s">
        <v>844</v>
      </c>
      <c r="D72" s="3" t="s">
        <v>6</v>
      </c>
      <c r="E72" s="3" t="s">
        <v>115</v>
      </c>
      <c r="F72" s="3" t="s">
        <v>59</v>
      </c>
      <c r="G72" s="3" t="s">
        <v>20</v>
      </c>
      <c r="H72" s="9">
        <v>42.393307365386697</v>
      </c>
      <c r="I72" s="9">
        <v>3.1533045324285398</v>
      </c>
      <c r="J72" s="3">
        <v>1</v>
      </c>
      <c r="K72" s="3">
        <v>1</v>
      </c>
      <c r="L72" s="3">
        <v>0</v>
      </c>
      <c r="M72" s="3">
        <v>0</v>
      </c>
      <c r="N72" s="3" t="s">
        <v>66</v>
      </c>
      <c r="O72" s="3">
        <v>0</v>
      </c>
      <c r="P72" s="3">
        <v>1</v>
      </c>
      <c r="Q72" s="3">
        <v>0</v>
      </c>
      <c r="R72" s="3">
        <v>1</v>
      </c>
      <c r="S72" s="3">
        <v>0</v>
      </c>
      <c r="T72" s="3">
        <v>0</v>
      </c>
      <c r="U72" s="3">
        <v>0</v>
      </c>
      <c r="V72" s="3">
        <v>0</v>
      </c>
      <c r="W72" s="3" t="s">
        <v>6</v>
      </c>
      <c r="X72" s="3">
        <v>1</v>
      </c>
      <c r="Y72" s="3">
        <v>0</v>
      </c>
      <c r="Z72" s="3">
        <v>0</v>
      </c>
      <c r="AA72" s="3">
        <v>1</v>
      </c>
      <c r="AB72" s="3">
        <v>0</v>
      </c>
      <c r="AC72" s="3">
        <v>0</v>
      </c>
      <c r="AD72" s="3">
        <v>0</v>
      </c>
      <c r="AE72" s="3">
        <v>0</v>
      </c>
      <c r="AF72" s="3">
        <v>0</v>
      </c>
      <c r="AG72" s="3">
        <v>0</v>
      </c>
      <c r="AH72" s="3" t="s">
        <v>17</v>
      </c>
      <c r="AI72" s="3" t="s">
        <v>776</v>
      </c>
      <c r="AK72" s="3" t="s">
        <v>861</v>
      </c>
      <c r="AL72" s="3" t="s">
        <v>862</v>
      </c>
    </row>
    <row r="73" spans="1:39" x14ac:dyDescent="0.25">
      <c r="A73" t="s">
        <v>1382</v>
      </c>
      <c r="B73" s="8">
        <v>43316</v>
      </c>
      <c r="C73" s="8" t="s">
        <v>844</v>
      </c>
      <c r="D73" s="3" t="s">
        <v>6</v>
      </c>
      <c r="E73" s="3" t="s">
        <v>102</v>
      </c>
      <c r="F73" s="3" t="s">
        <v>59</v>
      </c>
      <c r="G73" s="3" t="s">
        <v>20</v>
      </c>
      <c r="H73" s="9">
        <v>42.392961472906102</v>
      </c>
      <c r="I73" s="9">
        <v>3.15594262774701</v>
      </c>
      <c r="J73" s="3">
        <v>1</v>
      </c>
      <c r="K73" s="3">
        <v>1</v>
      </c>
      <c r="L73" s="3">
        <v>0</v>
      </c>
      <c r="M73" s="3">
        <v>0</v>
      </c>
      <c r="N73" s="3" t="s">
        <v>16</v>
      </c>
      <c r="O73" s="3">
        <v>0</v>
      </c>
      <c r="P73" s="3">
        <v>1</v>
      </c>
      <c r="Q73" s="3">
        <v>0</v>
      </c>
      <c r="R73" s="3">
        <v>1</v>
      </c>
      <c r="S73" s="3">
        <v>0</v>
      </c>
      <c r="T73" s="3">
        <v>0</v>
      </c>
      <c r="U73" s="3">
        <v>0</v>
      </c>
      <c r="V73" s="3">
        <v>0</v>
      </c>
      <c r="W73" s="3" t="s">
        <v>6</v>
      </c>
      <c r="X73" s="3">
        <v>0</v>
      </c>
      <c r="Y73" s="3">
        <v>0</v>
      </c>
      <c r="Z73" s="3">
        <v>0</v>
      </c>
      <c r="AA73" s="3">
        <v>0</v>
      </c>
      <c r="AB73" s="3">
        <v>0</v>
      </c>
      <c r="AC73" s="3">
        <v>0</v>
      </c>
      <c r="AD73" s="3">
        <v>0</v>
      </c>
      <c r="AE73" s="3">
        <v>0</v>
      </c>
      <c r="AF73" s="3">
        <v>0</v>
      </c>
      <c r="AG73" s="3">
        <v>0</v>
      </c>
      <c r="AH73" s="3" t="s">
        <v>17</v>
      </c>
      <c r="AI73" s="3" t="s">
        <v>776</v>
      </c>
      <c r="AK73" s="3" t="s">
        <v>168</v>
      </c>
      <c r="AL73" s="3" t="s">
        <v>249</v>
      </c>
    </row>
    <row r="74" spans="1:39" x14ac:dyDescent="0.25">
      <c r="A74" t="s">
        <v>1383</v>
      </c>
      <c r="B74" s="8">
        <v>43316</v>
      </c>
      <c r="C74" s="8" t="s">
        <v>844</v>
      </c>
      <c r="D74" s="3" t="s">
        <v>6</v>
      </c>
      <c r="E74" s="3" t="s">
        <v>67</v>
      </c>
      <c r="F74" s="3" t="s">
        <v>69</v>
      </c>
      <c r="G74" s="3" t="s">
        <v>20</v>
      </c>
      <c r="H74" s="9">
        <v>41.141815362546602</v>
      </c>
      <c r="I74" s="9">
        <v>1.4120186853093899</v>
      </c>
      <c r="J74" s="3">
        <v>1</v>
      </c>
      <c r="K74" s="3">
        <v>1</v>
      </c>
      <c r="L74" s="3">
        <v>0</v>
      </c>
      <c r="M74" s="3">
        <v>0</v>
      </c>
      <c r="N74" s="3" t="s">
        <v>66</v>
      </c>
      <c r="O74" s="3">
        <v>0</v>
      </c>
      <c r="P74" s="3">
        <v>0</v>
      </c>
      <c r="Q74" s="3">
        <v>1</v>
      </c>
      <c r="R74" s="3">
        <v>0</v>
      </c>
      <c r="S74" s="3">
        <v>0</v>
      </c>
      <c r="T74" s="3">
        <v>0</v>
      </c>
      <c r="U74" s="3">
        <v>0</v>
      </c>
      <c r="V74" s="3">
        <v>1</v>
      </c>
      <c r="W74" s="3" t="s">
        <v>6</v>
      </c>
      <c r="X74" s="3">
        <v>0</v>
      </c>
      <c r="Y74" s="3">
        <v>0</v>
      </c>
      <c r="Z74" s="3">
        <v>0</v>
      </c>
      <c r="AA74" s="3">
        <v>0</v>
      </c>
      <c r="AB74" s="3">
        <v>0</v>
      </c>
      <c r="AC74" s="3">
        <v>0</v>
      </c>
      <c r="AD74" s="3">
        <v>0</v>
      </c>
      <c r="AE74" s="3">
        <v>0</v>
      </c>
      <c r="AF74" s="3">
        <v>0</v>
      </c>
      <c r="AG74" s="3">
        <v>0</v>
      </c>
      <c r="AH74" s="3" t="s">
        <v>17</v>
      </c>
      <c r="AI74" s="3" t="s">
        <v>776</v>
      </c>
      <c r="AK74" s="3" t="s">
        <v>169</v>
      </c>
    </row>
    <row r="75" spans="1:39" x14ac:dyDescent="0.25">
      <c r="A75" t="s">
        <v>1384</v>
      </c>
      <c r="B75" s="8">
        <v>43316</v>
      </c>
      <c r="C75" s="8" t="s">
        <v>844</v>
      </c>
      <c r="D75" s="3" t="s">
        <v>6</v>
      </c>
      <c r="E75" s="3" t="s">
        <v>95</v>
      </c>
      <c r="F75" s="3" t="s">
        <v>59</v>
      </c>
      <c r="G75" s="3" t="s">
        <v>20</v>
      </c>
      <c r="H75" s="9">
        <v>42.428211944788302</v>
      </c>
      <c r="I75" s="9">
        <v>3.1651550374395998</v>
      </c>
      <c r="J75" s="3">
        <v>1</v>
      </c>
      <c r="K75" s="3">
        <v>1</v>
      </c>
      <c r="L75" s="3">
        <v>0</v>
      </c>
      <c r="M75" s="3">
        <v>0</v>
      </c>
      <c r="N75" s="3" t="s">
        <v>16</v>
      </c>
      <c r="O75" s="3">
        <v>0</v>
      </c>
      <c r="P75" s="3">
        <v>1</v>
      </c>
      <c r="Q75" s="3">
        <v>0</v>
      </c>
      <c r="R75" s="3">
        <v>1</v>
      </c>
      <c r="S75" s="3">
        <v>0</v>
      </c>
      <c r="T75" s="3">
        <v>0</v>
      </c>
      <c r="U75" s="3">
        <v>0</v>
      </c>
      <c r="V75" s="3">
        <v>0</v>
      </c>
      <c r="W75" s="3" t="s">
        <v>6</v>
      </c>
      <c r="X75" s="3">
        <v>0</v>
      </c>
      <c r="Y75" s="3">
        <v>0</v>
      </c>
      <c r="Z75" s="3">
        <v>0</v>
      </c>
      <c r="AA75" s="3">
        <v>0</v>
      </c>
      <c r="AB75" s="3">
        <v>0</v>
      </c>
      <c r="AC75" s="3">
        <v>0</v>
      </c>
      <c r="AD75" s="3">
        <v>0</v>
      </c>
      <c r="AE75" s="3">
        <v>0</v>
      </c>
      <c r="AF75" s="3">
        <v>0</v>
      </c>
      <c r="AG75" s="3">
        <v>0</v>
      </c>
      <c r="AH75" s="3" t="s">
        <v>17</v>
      </c>
      <c r="AI75" s="3" t="s">
        <v>776</v>
      </c>
      <c r="AK75" s="3" t="s">
        <v>170</v>
      </c>
    </row>
    <row r="76" spans="1:39" x14ac:dyDescent="0.25">
      <c r="A76" t="s">
        <v>1385</v>
      </c>
      <c r="B76" s="8">
        <v>43316</v>
      </c>
      <c r="C76" s="8" t="s">
        <v>844</v>
      </c>
      <c r="D76" s="3" t="s">
        <v>6</v>
      </c>
      <c r="E76" s="3" t="s">
        <v>103</v>
      </c>
      <c r="F76" s="3" t="s">
        <v>59</v>
      </c>
      <c r="G76" s="3" t="s">
        <v>20</v>
      </c>
      <c r="H76" s="9">
        <v>42.406284448718601</v>
      </c>
      <c r="I76" s="9">
        <v>3.1589480892134998</v>
      </c>
      <c r="J76" s="3">
        <v>1</v>
      </c>
      <c r="K76" s="3">
        <v>1</v>
      </c>
      <c r="L76" s="3">
        <v>0</v>
      </c>
      <c r="M76" s="3">
        <v>0</v>
      </c>
      <c r="N76" s="3" t="s">
        <v>66</v>
      </c>
      <c r="O76" s="3">
        <v>0</v>
      </c>
      <c r="P76" s="3">
        <v>1</v>
      </c>
      <c r="Q76" s="3">
        <v>0</v>
      </c>
      <c r="R76" s="3">
        <v>1</v>
      </c>
      <c r="S76" s="3">
        <v>0</v>
      </c>
      <c r="T76" s="3">
        <v>0</v>
      </c>
      <c r="U76" s="3">
        <v>0</v>
      </c>
      <c r="V76" s="3">
        <v>0</v>
      </c>
      <c r="W76" s="3" t="s">
        <v>6</v>
      </c>
      <c r="X76" s="3">
        <v>0</v>
      </c>
      <c r="Y76" s="3">
        <v>0</v>
      </c>
      <c r="Z76" s="3">
        <v>0</v>
      </c>
      <c r="AA76" s="3">
        <v>0</v>
      </c>
      <c r="AB76" s="3">
        <v>0</v>
      </c>
      <c r="AC76" s="3">
        <v>0</v>
      </c>
      <c r="AD76" s="3">
        <v>0</v>
      </c>
      <c r="AE76" s="3">
        <v>0</v>
      </c>
      <c r="AF76" s="3">
        <v>0</v>
      </c>
      <c r="AG76" s="3">
        <v>0</v>
      </c>
      <c r="AH76" s="3" t="s">
        <v>17</v>
      </c>
      <c r="AI76" s="3" t="s">
        <v>776</v>
      </c>
      <c r="AK76" s="3" t="s">
        <v>171</v>
      </c>
    </row>
    <row r="77" spans="1:39" x14ac:dyDescent="0.25">
      <c r="A77" t="s">
        <v>1386</v>
      </c>
      <c r="B77" s="8">
        <v>43316</v>
      </c>
      <c r="C77" s="8" t="s">
        <v>844</v>
      </c>
      <c r="D77" s="3" t="s">
        <v>6</v>
      </c>
      <c r="E77" s="3" t="s">
        <v>104</v>
      </c>
      <c r="F77" s="3" t="s">
        <v>24</v>
      </c>
      <c r="G77" s="3" t="s">
        <v>20</v>
      </c>
      <c r="H77" s="9">
        <v>41.577271718827497</v>
      </c>
      <c r="I77" s="9">
        <v>2.55280288315834</v>
      </c>
      <c r="J77" s="3">
        <v>1</v>
      </c>
      <c r="K77" s="3">
        <v>1</v>
      </c>
      <c r="L77" s="3">
        <v>0</v>
      </c>
      <c r="M77" s="3">
        <v>0</v>
      </c>
      <c r="N77" s="3" t="s">
        <v>16</v>
      </c>
      <c r="O77" s="3">
        <v>0</v>
      </c>
      <c r="P77" s="3">
        <v>0</v>
      </c>
      <c r="Q77" s="3">
        <v>1</v>
      </c>
      <c r="R77" s="3">
        <v>0</v>
      </c>
      <c r="S77" s="3">
        <v>0</v>
      </c>
      <c r="T77" s="3">
        <v>0</v>
      </c>
      <c r="U77" s="3">
        <v>0</v>
      </c>
      <c r="V77" s="3">
        <v>1</v>
      </c>
      <c r="W77" s="3" t="s">
        <v>6</v>
      </c>
      <c r="X77" s="3">
        <v>0</v>
      </c>
      <c r="Y77" s="3">
        <v>0</v>
      </c>
      <c r="Z77" s="3">
        <v>0</v>
      </c>
      <c r="AA77" s="3">
        <v>0</v>
      </c>
      <c r="AB77" s="3">
        <v>0</v>
      </c>
      <c r="AC77" s="3">
        <v>0</v>
      </c>
      <c r="AD77" s="3">
        <v>0</v>
      </c>
      <c r="AE77" s="3">
        <v>0</v>
      </c>
      <c r="AF77" s="3">
        <v>0</v>
      </c>
      <c r="AG77" s="3">
        <v>0</v>
      </c>
      <c r="AH77" s="3" t="s">
        <v>17</v>
      </c>
      <c r="AI77" s="3" t="s">
        <v>778</v>
      </c>
      <c r="AK77" s="3" t="s">
        <v>172</v>
      </c>
      <c r="AL77" s="3" t="s">
        <v>249</v>
      </c>
    </row>
    <row r="78" spans="1:39" x14ac:dyDescent="0.25">
      <c r="A78" t="s">
        <v>1387</v>
      </c>
      <c r="B78" s="8">
        <v>43316</v>
      </c>
      <c r="C78" s="8" t="s">
        <v>844</v>
      </c>
      <c r="D78" s="3" t="s">
        <v>6</v>
      </c>
      <c r="E78" s="3" t="s">
        <v>105</v>
      </c>
      <c r="F78" s="3" t="s">
        <v>24</v>
      </c>
      <c r="G78" s="3" t="s">
        <v>20</v>
      </c>
      <c r="H78" s="9">
        <v>41.610507305435299</v>
      </c>
      <c r="I78" s="9">
        <v>2.6580549270148799</v>
      </c>
      <c r="J78" s="3">
        <v>1</v>
      </c>
      <c r="K78" s="3">
        <v>1</v>
      </c>
      <c r="L78" s="3">
        <v>0</v>
      </c>
      <c r="M78" s="3">
        <v>0</v>
      </c>
      <c r="N78" s="3" t="s">
        <v>66</v>
      </c>
      <c r="O78" s="3">
        <v>0</v>
      </c>
      <c r="P78" s="3">
        <v>1</v>
      </c>
      <c r="Q78" s="3">
        <v>0</v>
      </c>
      <c r="R78" s="3">
        <v>0</v>
      </c>
      <c r="S78" s="3">
        <v>0</v>
      </c>
      <c r="T78" s="3">
        <v>0</v>
      </c>
      <c r="U78" s="3">
        <v>0</v>
      </c>
      <c r="V78" s="3">
        <v>1</v>
      </c>
      <c r="W78" s="3" t="s">
        <v>6</v>
      </c>
      <c r="X78" s="3">
        <v>0</v>
      </c>
      <c r="Y78" s="3">
        <v>0</v>
      </c>
      <c r="Z78" s="3">
        <v>0</v>
      </c>
      <c r="AA78" s="3">
        <v>0</v>
      </c>
      <c r="AB78" s="3">
        <v>0</v>
      </c>
      <c r="AC78" s="3">
        <v>0</v>
      </c>
      <c r="AD78" s="3">
        <v>0</v>
      </c>
      <c r="AE78" s="3">
        <v>0</v>
      </c>
      <c r="AF78" s="3">
        <v>0</v>
      </c>
      <c r="AG78" s="3">
        <v>0</v>
      </c>
      <c r="AH78" s="3" t="s">
        <v>17</v>
      </c>
      <c r="AI78" s="3" t="s">
        <v>778</v>
      </c>
      <c r="AK78" s="3" t="s">
        <v>173</v>
      </c>
      <c r="AL78" s="3" t="s">
        <v>249</v>
      </c>
    </row>
    <row r="79" spans="1:39" x14ac:dyDescent="0.25">
      <c r="A79" t="s">
        <v>1388</v>
      </c>
      <c r="B79" s="8">
        <v>43316</v>
      </c>
      <c r="C79" s="8" t="s">
        <v>844</v>
      </c>
      <c r="D79" s="3" t="s">
        <v>6</v>
      </c>
      <c r="E79" s="3" t="s">
        <v>67</v>
      </c>
      <c r="F79" s="3" t="s">
        <v>69</v>
      </c>
      <c r="G79" s="3" t="s">
        <v>20</v>
      </c>
      <c r="H79" s="9">
        <v>41.140443657688401</v>
      </c>
      <c r="I79" s="9">
        <v>1.4093565403352699</v>
      </c>
      <c r="J79" s="3">
        <v>1</v>
      </c>
      <c r="K79" s="3">
        <v>1</v>
      </c>
      <c r="L79" s="3">
        <v>0</v>
      </c>
      <c r="M79" s="3">
        <v>0</v>
      </c>
      <c r="N79" s="3" t="s">
        <v>66</v>
      </c>
      <c r="O79" s="3">
        <v>0</v>
      </c>
      <c r="P79" s="3">
        <v>1</v>
      </c>
      <c r="Q79" s="3">
        <v>0</v>
      </c>
      <c r="R79" s="3">
        <v>1</v>
      </c>
      <c r="S79" s="3">
        <v>0</v>
      </c>
      <c r="T79" s="3">
        <v>0</v>
      </c>
      <c r="U79" s="3">
        <v>0</v>
      </c>
      <c r="V79" s="3">
        <v>0</v>
      </c>
      <c r="W79" s="3" t="s">
        <v>6</v>
      </c>
      <c r="X79" s="3">
        <v>0</v>
      </c>
      <c r="Y79" s="3">
        <v>0</v>
      </c>
      <c r="Z79" s="3">
        <v>0</v>
      </c>
      <c r="AA79" s="3">
        <v>0</v>
      </c>
      <c r="AB79" s="3">
        <v>0</v>
      </c>
      <c r="AC79" s="3">
        <v>0</v>
      </c>
      <c r="AD79" s="3">
        <v>0</v>
      </c>
      <c r="AE79" s="3">
        <v>0</v>
      </c>
      <c r="AF79" s="3">
        <v>0</v>
      </c>
      <c r="AG79" s="3">
        <v>0</v>
      </c>
      <c r="AH79" s="3" t="s">
        <v>17</v>
      </c>
      <c r="AI79" s="3" t="s">
        <v>778</v>
      </c>
      <c r="AK79" s="3" t="s">
        <v>174</v>
      </c>
    </row>
    <row r="80" spans="1:39" x14ac:dyDescent="0.25">
      <c r="A80" t="s">
        <v>1389</v>
      </c>
      <c r="B80" s="8">
        <v>43316</v>
      </c>
      <c r="C80" s="8" t="s">
        <v>844</v>
      </c>
      <c r="D80" s="3" t="s">
        <v>6</v>
      </c>
      <c r="E80" s="3" t="s">
        <v>91</v>
      </c>
      <c r="F80" s="3" t="s">
        <v>59</v>
      </c>
      <c r="G80" s="3" t="s">
        <v>20</v>
      </c>
      <c r="H80" s="9">
        <v>42.364488742278802</v>
      </c>
      <c r="I80" s="9">
        <v>3.1642599010221399</v>
      </c>
      <c r="J80" s="3">
        <v>1</v>
      </c>
      <c r="K80" s="3">
        <v>1</v>
      </c>
      <c r="L80" s="3">
        <v>0</v>
      </c>
      <c r="M80" s="3">
        <v>0</v>
      </c>
      <c r="N80" s="3" t="s">
        <v>16</v>
      </c>
      <c r="O80" s="3">
        <v>0</v>
      </c>
      <c r="P80" s="3">
        <v>0</v>
      </c>
      <c r="Q80" s="3">
        <v>1</v>
      </c>
      <c r="R80" s="3">
        <v>0</v>
      </c>
      <c r="S80" s="3">
        <v>0</v>
      </c>
      <c r="T80" s="3">
        <v>0</v>
      </c>
      <c r="U80" s="3">
        <v>0</v>
      </c>
      <c r="V80" s="3">
        <v>1</v>
      </c>
      <c r="W80" s="3" t="s">
        <v>6</v>
      </c>
      <c r="X80" s="3">
        <v>0</v>
      </c>
      <c r="Y80" s="3">
        <v>0</v>
      </c>
      <c r="Z80" s="3">
        <v>0</v>
      </c>
      <c r="AA80" s="3">
        <v>0</v>
      </c>
      <c r="AB80" s="3">
        <v>0</v>
      </c>
      <c r="AC80" s="3">
        <v>0</v>
      </c>
      <c r="AD80" s="3">
        <v>0</v>
      </c>
      <c r="AE80" s="3">
        <v>0</v>
      </c>
      <c r="AF80" s="3">
        <v>0</v>
      </c>
      <c r="AG80" s="3">
        <v>0</v>
      </c>
      <c r="AH80" s="3" t="s">
        <v>17</v>
      </c>
      <c r="AI80" s="3" t="s">
        <v>776</v>
      </c>
      <c r="AK80" s="3" t="s">
        <v>175</v>
      </c>
    </row>
    <row r="81" spans="1:39" x14ac:dyDescent="0.25">
      <c r="A81" t="s">
        <v>1336</v>
      </c>
      <c r="B81" s="7">
        <v>43317</v>
      </c>
      <c r="C81" s="7" t="s">
        <v>844</v>
      </c>
      <c r="D81" s="68" t="s">
        <v>6</v>
      </c>
      <c r="E81" s="3" t="s">
        <v>62</v>
      </c>
      <c r="F81" s="3" t="s">
        <v>8</v>
      </c>
      <c r="G81" s="3" t="s">
        <v>8</v>
      </c>
      <c r="H81" s="9">
        <v>39.480400000000003</v>
      </c>
      <c r="I81" s="9">
        <v>2.7277</v>
      </c>
      <c r="J81" s="3">
        <v>1</v>
      </c>
      <c r="K81" s="3">
        <v>1</v>
      </c>
      <c r="L81" s="3">
        <v>0</v>
      </c>
      <c r="M81" s="3">
        <v>0</v>
      </c>
      <c r="N81" s="3" t="s">
        <v>66</v>
      </c>
      <c r="O81" s="3">
        <v>0</v>
      </c>
      <c r="P81" s="3">
        <v>1</v>
      </c>
      <c r="Q81" s="3">
        <v>0</v>
      </c>
      <c r="R81" s="3">
        <v>0</v>
      </c>
      <c r="S81" s="3">
        <v>0</v>
      </c>
      <c r="T81" s="3">
        <v>0</v>
      </c>
      <c r="U81" s="3">
        <v>0</v>
      </c>
      <c r="V81" s="3">
        <v>1</v>
      </c>
      <c r="W81" s="3" t="s">
        <v>6</v>
      </c>
      <c r="X81" s="3">
        <v>0</v>
      </c>
      <c r="Y81" s="3">
        <v>0</v>
      </c>
      <c r="Z81" s="3">
        <v>0</v>
      </c>
      <c r="AA81" s="3">
        <v>0</v>
      </c>
      <c r="AB81" s="3">
        <v>0</v>
      </c>
      <c r="AC81" s="3">
        <v>0</v>
      </c>
      <c r="AD81" s="3">
        <v>0</v>
      </c>
      <c r="AE81" s="3">
        <v>0</v>
      </c>
      <c r="AF81" s="3">
        <v>0</v>
      </c>
      <c r="AG81" s="3">
        <v>0</v>
      </c>
      <c r="AH81" s="3" t="s">
        <v>775</v>
      </c>
      <c r="AI81" s="3" t="s">
        <v>81</v>
      </c>
      <c r="AK81" t="s">
        <v>301</v>
      </c>
      <c r="AL81" s="3" t="s">
        <v>22</v>
      </c>
      <c r="AM81" t="s">
        <v>22</v>
      </c>
    </row>
    <row r="82" spans="1:39" x14ac:dyDescent="0.25">
      <c r="A82" t="s">
        <v>1351</v>
      </c>
      <c r="B82" s="7">
        <v>43317</v>
      </c>
      <c r="C82" s="7" t="s">
        <v>844</v>
      </c>
      <c r="D82" s="68">
        <v>0.90347222222222223</v>
      </c>
      <c r="E82" s="3" t="s">
        <v>77</v>
      </c>
      <c r="F82" s="3" t="s">
        <v>8</v>
      </c>
      <c r="G82" s="3" t="s">
        <v>8</v>
      </c>
      <c r="H82" s="9">
        <v>39.800228027583003</v>
      </c>
      <c r="I82" s="9">
        <v>2.68559145623207</v>
      </c>
      <c r="J82" s="3">
        <v>1</v>
      </c>
      <c r="K82" s="3">
        <v>1</v>
      </c>
      <c r="L82" s="3">
        <v>0</v>
      </c>
      <c r="M82" s="3">
        <v>0</v>
      </c>
      <c r="N82" s="3" t="s">
        <v>66</v>
      </c>
      <c r="O82" s="3">
        <v>0</v>
      </c>
      <c r="P82" s="3">
        <v>0</v>
      </c>
      <c r="Q82" s="3">
        <v>1</v>
      </c>
      <c r="R82" s="3">
        <v>1</v>
      </c>
      <c r="S82" s="3">
        <v>0</v>
      </c>
      <c r="T82" s="3">
        <v>0</v>
      </c>
      <c r="U82" s="3">
        <v>0</v>
      </c>
      <c r="V82" s="3">
        <v>0</v>
      </c>
      <c r="W82" s="3" t="s">
        <v>6</v>
      </c>
      <c r="X82" s="3">
        <v>0</v>
      </c>
      <c r="Y82" s="3">
        <v>0</v>
      </c>
      <c r="Z82" s="3">
        <v>0</v>
      </c>
      <c r="AA82" s="3">
        <v>0</v>
      </c>
      <c r="AB82" s="3">
        <v>0</v>
      </c>
      <c r="AC82" s="3">
        <v>0</v>
      </c>
      <c r="AD82" s="3">
        <v>0</v>
      </c>
      <c r="AE82" s="3">
        <v>0</v>
      </c>
      <c r="AF82" s="3">
        <v>0</v>
      </c>
      <c r="AG82" s="3">
        <v>0</v>
      </c>
      <c r="AH82" s="3" t="s">
        <v>775</v>
      </c>
      <c r="AI82" s="3" t="s">
        <v>80</v>
      </c>
      <c r="AK82" t="s">
        <v>278</v>
      </c>
      <c r="AM82" t="s">
        <v>22</v>
      </c>
    </row>
    <row r="83" spans="1:39" x14ac:dyDescent="0.25">
      <c r="A83" t="s">
        <v>1390</v>
      </c>
      <c r="B83" s="8">
        <v>43317</v>
      </c>
      <c r="C83" s="8" t="s">
        <v>844</v>
      </c>
      <c r="D83" s="3" t="s">
        <v>6</v>
      </c>
      <c r="E83" s="3" t="s">
        <v>106</v>
      </c>
      <c r="F83" s="3" t="s">
        <v>59</v>
      </c>
      <c r="G83" s="3" t="s">
        <v>20</v>
      </c>
      <c r="H83" s="9">
        <v>42.034797770504198</v>
      </c>
      <c r="I83" s="9">
        <v>3.1955642803253199</v>
      </c>
      <c r="J83" s="3">
        <v>1</v>
      </c>
      <c r="K83" s="3">
        <v>1</v>
      </c>
      <c r="L83" s="3">
        <v>0</v>
      </c>
      <c r="M83" s="3">
        <v>0</v>
      </c>
      <c r="N83" s="3" t="s">
        <v>6</v>
      </c>
      <c r="O83" s="3">
        <v>0</v>
      </c>
      <c r="P83" s="3">
        <v>0</v>
      </c>
      <c r="Q83" s="3">
        <v>1</v>
      </c>
      <c r="R83" s="3">
        <v>0</v>
      </c>
      <c r="S83" s="3">
        <v>0</v>
      </c>
      <c r="T83" s="3">
        <v>0</v>
      </c>
      <c r="U83" s="3">
        <v>0</v>
      </c>
      <c r="V83" s="3">
        <v>1</v>
      </c>
      <c r="W83" s="3" t="s">
        <v>6</v>
      </c>
      <c r="X83" s="3">
        <v>0</v>
      </c>
      <c r="Y83" s="3">
        <v>0</v>
      </c>
      <c r="Z83" s="3">
        <v>0</v>
      </c>
      <c r="AA83" s="3">
        <v>0</v>
      </c>
      <c r="AB83" s="3">
        <v>0</v>
      </c>
      <c r="AC83" s="3">
        <v>0</v>
      </c>
      <c r="AD83" s="3">
        <v>0</v>
      </c>
      <c r="AE83" s="3">
        <v>0</v>
      </c>
      <c r="AF83" s="3">
        <v>0</v>
      </c>
      <c r="AG83" s="3">
        <v>0</v>
      </c>
      <c r="AH83" s="3" t="s">
        <v>17</v>
      </c>
      <c r="AI83" s="3" t="s">
        <v>776</v>
      </c>
      <c r="AK83" s="3" t="s">
        <v>176</v>
      </c>
    </row>
    <row r="84" spans="1:39" x14ac:dyDescent="0.25">
      <c r="A84" t="s">
        <v>1391</v>
      </c>
      <c r="B84" s="8">
        <v>43317</v>
      </c>
      <c r="C84" s="8" t="s">
        <v>844</v>
      </c>
      <c r="D84" s="3" t="s">
        <v>6</v>
      </c>
      <c r="E84" s="3" t="s">
        <v>107</v>
      </c>
      <c r="F84" s="3" t="s">
        <v>59</v>
      </c>
      <c r="G84" s="3" t="s">
        <v>20</v>
      </c>
      <c r="H84" s="9">
        <v>42.1744079128434</v>
      </c>
      <c r="I84" s="9">
        <v>3.1159617092650098</v>
      </c>
      <c r="J84" s="3">
        <v>1</v>
      </c>
      <c r="K84" s="3">
        <v>1</v>
      </c>
      <c r="L84" s="3">
        <v>0</v>
      </c>
      <c r="M84" s="3">
        <v>0</v>
      </c>
      <c r="N84" s="3" t="s">
        <v>6</v>
      </c>
      <c r="O84" s="3">
        <v>0</v>
      </c>
      <c r="P84" s="3">
        <v>0</v>
      </c>
      <c r="Q84" s="3">
        <v>1</v>
      </c>
      <c r="R84" s="3">
        <v>0</v>
      </c>
      <c r="S84" s="3">
        <v>0</v>
      </c>
      <c r="T84" s="3">
        <v>0</v>
      </c>
      <c r="U84" s="3">
        <v>0</v>
      </c>
      <c r="V84" s="3">
        <v>1</v>
      </c>
      <c r="W84" s="3" t="s">
        <v>6</v>
      </c>
      <c r="X84" s="3">
        <v>0</v>
      </c>
      <c r="Y84" s="3">
        <v>0</v>
      </c>
      <c r="Z84" s="3">
        <v>0</v>
      </c>
      <c r="AA84" s="3">
        <v>0</v>
      </c>
      <c r="AB84" s="3">
        <v>0</v>
      </c>
      <c r="AC84" s="3">
        <v>0</v>
      </c>
      <c r="AD84" s="3">
        <v>0</v>
      </c>
      <c r="AE84" s="3">
        <v>0</v>
      </c>
      <c r="AF84" s="3">
        <v>0</v>
      </c>
      <c r="AG84" s="3">
        <v>0</v>
      </c>
      <c r="AH84" s="3" t="s">
        <v>17</v>
      </c>
      <c r="AI84" s="3" t="s">
        <v>778</v>
      </c>
      <c r="AK84" s="3" t="s">
        <v>177</v>
      </c>
    </row>
    <row r="85" spans="1:39" x14ac:dyDescent="0.25">
      <c r="A85" t="s">
        <v>1392</v>
      </c>
      <c r="B85" s="8">
        <v>43317</v>
      </c>
      <c r="C85" s="8" t="s">
        <v>844</v>
      </c>
      <c r="D85" s="3" t="s">
        <v>6</v>
      </c>
      <c r="E85" s="3" t="s">
        <v>108</v>
      </c>
      <c r="F85" s="3" t="s">
        <v>59</v>
      </c>
      <c r="G85" s="3" t="s">
        <v>20</v>
      </c>
      <c r="H85" s="9">
        <v>42.034840455501602</v>
      </c>
      <c r="I85" s="9">
        <v>3.1958525785678602</v>
      </c>
      <c r="J85" s="3">
        <v>1</v>
      </c>
      <c r="K85" s="3">
        <v>1</v>
      </c>
      <c r="L85" s="3">
        <v>0</v>
      </c>
      <c r="M85" s="3">
        <v>0</v>
      </c>
      <c r="N85" s="3" t="s">
        <v>6</v>
      </c>
      <c r="O85" s="3">
        <v>0</v>
      </c>
      <c r="P85" s="3">
        <v>1</v>
      </c>
      <c r="Q85" s="3">
        <v>0</v>
      </c>
      <c r="R85" s="3">
        <v>0</v>
      </c>
      <c r="S85" s="3">
        <v>0</v>
      </c>
      <c r="T85" s="3">
        <v>0</v>
      </c>
      <c r="U85" s="3">
        <v>0</v>
      </c>
      <c r="V85" s="3">
        <v>1</v>
      </c>
      <c r="W85" s="3" t="s">
        <v>6</v>
      </c>
      <c r="X85" s="3">
        <v>0</v>
      </c>
      <c r="Y85" s="3">
        <v>0</v>
      </c>
      <c r="Z85" s="3">
        <v>0</v>
      </c>
      <c r="AA85" s="3">
        <v>0</v>
      </c>
      <c r="AB85" s="3">
        <v>0</v>
      </c>
      <c r="AC85" s="3">
        <v>0</v>
      </c>
      <c r="AD85" s="3">
        <v>0</v>
      </c>
      <c r="AE85" s="3">
        <v>0</v>
      </c>
      <c r="AF85" s="3">
        <v>0</v>
      </c>
      <c r="AG85" s="3">
        <v>0</v>
      </c>
      <c r="AH85" s="3" t="s">
        <v>17</v>
      </c>
      <c r="AI85" s="3" t="s">
        <v>776</v>
      </c>
      <c r="AK85" s="3" t="s">
        <v>178</v>
      </c>
    </row>
    <row r="86" spans="1:39" x14ac:dyDescent="0.25">
      <c r="A86" t="s">
        <v>1393</v>
      </c>
      <c r="B86" s="8">
        <v>43318</v>
      </c>
      <c r="C86" s="8" t="s">
        <v>844</v>
      </c>
      <c r="D86" s="3" t="s">
        <v>6</v>
      </c>
      <c r="E86" s="3" t="s">
        <v>109</v>
      </c>
      <c r="F86" s="3" t="s">
        <v>57</v>
      </c>
      <c r="G86" s="3" t="s">
        <v>21</v>
      </c>
      <c r="H86" s="9">
        <v>36.7292908042458</v>
      </c>
      <c r="I86" s="9">
        <v>-3.7490559083629602</v>
      </c>
      <c r="J86" s="3">
        <v>1</v>
      </c>
      <c r="K86" s="3">
        <v>1</v>
      </c>
      <c r="L86" s="3">
        <v>0</v>
      </c>
      <c r="M86" s="3">
        <v>0</v>
      </c>
      <c r="N86" s="3" t="s">
        <v>6</v>
      </c>
      <c r="O86" s="3">
        <v>0</v>
      </c>
      <c r="P86" s="3">
        <v>1</v>
      </c>
      <c r="Q86" s="3">
        <v>0</v>
      </c>
      <c r="R86" s="3">
        <v>0</v>
      </c>
      <c r="S86" s="3">
        <v>0</v>
      </c>
      <c r="T86" s="3">
        <v>0</v>
      </c>
      <c r="U86" s="3">
        <v>0</v>
      </c>
      <c r="V86" s="3">
        <v>1</v>
      </c>
      <c r="W86" s="3" t="s">
        <v>6</v>
      </c>
      <c r="X86" s="3">
        <v>1</v>
      </c>
      <c r="Y86" s="3">
        <v>0</v>
      </c>
      <c r="Z86" s="3">
        <v>0</v>
      </c>
      <c r="AA86" s="3">
        <v>0</v>
      </c>
      <c r="AB86" s="3">
        <v>0</v>
      </c>
      <c r="AC86" s="3">
        <v>0</v>
      </c>
      <c r="AD86" s="3">
        <v>0</v>
      </c>
      <c r="AE86" s="3">
        <v>0</v>
      </c>
      <c r="AF86" s="3">
        <v>0</v>
      </c>
      <c r="AG86" s="3">
        <v>1</v>
      </c>
      <c r="AH86" s="3" t="s">
        <v>17</v>
      </c>
      <c r="AI86" s="3" t="s">
        <v>776</v>
      </c>
      <c r="AK86" s="3" t="s">
        <v>179</v>
      </c>
      <c r="AL86" s="3" t="s">
        <v>250</v>
      </c>
    </row>
    <row r="87" spans="1:39" x14ac:dyDescent="0.25">
      <c r="A87" t="s">
        <v>1394</v>
      </c>
      <c r="B87" s="8">
        <v>43318</v>
      </c>
      <c r="C87" s="8" t="s">
        <v>844</v>
      </c>
      <c r="D87" s="3" t="s">
        <v>6</v>
      </c>
      <c r="E87" s="3" t="s">
        <v>97</v>
      </c>
      <c r="F87" s="3" t="s">
        <v>59</v>
      </c>
      <c r="G87" s="3" t="s">
        <v>20</v>
      </c>
      <c r="H87" s="9">
        <v>42.262452179144901</v>
      </c>
      <c r="I87" s="9">
        <v>3.1720993617682698</v>
      </c>
      <c r="J87" s="3">
        <v>1</v>
      </c>
      <c r="K87" s="3">
        <v>1</v>
      </c>
      <c r="L87" s="3">
        <v>0</v>
      </c>
      <c r="M87" s="3">
        <v>0</v>
      </c>
      <c r="N87" s="3" t="s">
        <v>66</v>
      </c>
      <c r="O87" s="3">
        <v>0</v>
      </c>
      <c r="P87" s="3">
        <v>0</v>
      </c>
      <c r="Q87" s="3">
        <v>1</v>
      </c>
      <c r="R87" s="3">
        <v>0</v>
      </c>
      <c r="S87" s="3">
        <v>0</v>
      </c>
      <c r="T87" s="3">
        <v>0</v>
      </c>
      <c r="U87" s="3">
        <v>0</v>
      </c>
      <c r="V87" s="3">
        <v>1</v>
      </c>
      <c r="W87" s="3" t="s">
        <v>6</v>
      </c>
      <c r="X87" s="3">
        <v>0</v>
      </c>
      <c r="Y87" s="3">
        <v>0</v>
      </c>
      <c r="Z87" s="3">
        <v>0</v>
      </c>
      <c r="AA87" s="3">
        <v>0</v>
      </c>
      <c r="AB87" s="3">
        <v>0</v>
      </c>
      <c r="AC87" s="3">
        <v>0</v>
      </c>
      <c r="AD87" s="3">
        <v>0</v>
      </c>
      <c r="AE87" s="3">
        <v>0</v>
      </c>
      <c r="AF87" s="3">
        <v>0</v>
      </c>
      <c r="AG87" s="3">
        <v>0</v>
      </c>
      <c r="AH87" s="3" t="s">
        <v>17</v>
      </c>
      <c r="AI87" s="3" t="s">
        <v>778</v>
      </c>
      <c r="AK87" s="3" t="s">
        <v>180</v>
      </c>
    </row>
    <row r="88" spans="1:39" x14ac:dyDescent="0.25">
      <c r="A88" t="s">
        <v>1395</v>
      </c>
      <c r="B88" s="8">
        <v>43318</v>
      </c>
      <c r="C88" s="8" t="s">
        <v>844</v>
      </c>
      <c r="D88" s="3" t="s">
        <v>6</v>
      </c>
      <c r="E88" s="3" t="s">
        <v>110</v>
      </c>
      <c r="F88" s="3" t="s">
        <v>69</v>
      </c>
      <c r="G88" s="3" t="s">
        <v>20</v>
      </c>
      <c r="H88" s="9">
        <v>41.186017928280201</v>
      </c>
      <c r="I88" s="9">
        <v>1.58123586161407</v>
      </c>
      <c r="J88" s="3">
        <v>1</v>
      </c>
      <c r="K88" s="3">
        <v>1</v>
      </c>
      <c r="L88" s="3">
        <v>0</v>
      </c>
      <c r="M88" s="3">
        <v>0</v>
      </c>
      <c r="N88" s="3" t="s">
        <v>66</v>
      </c>
      <c r="O88" s="3">
        <v>0</v>
      </c>
      <c r="P88" s="3">
        <v>1</v>
      </c>
      <c r="Q88" s="3">
        <v>0</v>
      </c>
      <c r="R88" s="3">
        <v>0</v>
      </c>
      <c r="S88" s="3">
        <v>0</v>
      </c>
      <c r="T88" s="3">
        <v>0</v>
      </c>
      <c r="U88" s="3">
        <v>0</v>
      </c>
      <c r="V88" s="3">
        <v>1</v>
      </c>
      <c r="W88" s="3" t="s">
        <v>6</v>
      </c>
      <c r="X88" s="3">
        <v>0</v>
      </c>
      <c r="Y88" s="3">
        <v>0</v>
      </c>
      <c r="Z88" s="3">
        <v>0</v>
      </c>
      <c r="AA88" s="3">
        <v>0</v>
      </c>
      <c r="AB88" s="3">
        <v>0</v>
      </c>
      <c r="AC88" s="3">
        <v>0</v>
      </c>
      <c r="AD88" s="3">
        <v>0</v>
      </c>
      <c r="AE88" s="3">
        <v>0</v>
      </c>
      <c r="AF88" s="3">
        <v>0</v>
      </c>
      <c r="AG88" s="3">
        <v>0</v>
      </c>
      <c r="AH88" s="3" t="s">
        <v>17</v>
      </c>
      <c r="AI88" s="3" t="s">
        <v>778</v>
      </c>
      <c r="AK88" s="3" t="s">
        <v>181</v>
      </c>
      <c r="AL88" s="3" t="s">
        <v>251</v>
      </c>
    </row>
    <row r="89" spans="1:39" x14ac:dyDescent="0.25">
      <c r="A89" t="s">
        <v>1396</v>
      </c>
      <c r="B89" s="8">
        <v>43318</v>
      </c>
      <c r="C89" s="8" t="s">
        <v>844</v>
      </c>
      <c r="D89" s="3" t="s">
        <v>6</v>
      </c>
      <c r="E89" s="3" t="s">
        <v>111</v>
      </c>
      <c r="F89" s="3" t="s">
        <v>24</v>
      </c>
      <c r="G89" s="3" t="s">
        <v>20</v>
      </c>
      <c r="H89" s="9">
        <v>41.579640202628198</v>
      </c>
      <c r="I89" s="9">
        <v>2.5688108972829702</v>
      </c>
      <c r="J89" s="3">
        <v>1</v>
      </c>
      <c r="K89" s="3">
        <v>1</v>
      </c>
      <c r="L89" s="3">
        <v>0</v>
      </c>
      <c r="M89" s="3">
        <v>0</v>
      </c>
      <c r="N89" s="3" t="s">
        <v>16</v>
      </c>
      <c r="O89" s="3">
        <v>0</v>
      </c>
      <c r="P89" s="3">
        <v>0</v>
      </c>
      <c r="Q89" s="3">
        <v>1</v>
      </c>
      <c r="R89" s="3">
        <v>0</v>
      </c>
      <c r="S89" s="3">
        <v>0</v>
      </c>
      <c r="T89" s="3">
        <v>0</v>
      </c>
      <c r="U89" s="3">
        <v>0</v>
      </c>
      <c r="V89" s="3">
        <v>1</v>
      </c>
      <c r="W89" s="3" t="s">
        <v>6</v>
      </c>
      <c r="X89" s="3">
        <v>0</v>
      </c>
      <c r="Y89" s="3">
        <v>0</v>
      </c>
      <c r="Z89" s="3">
        <v>0</v>
      </c>
      <c r="AA89" s="3">
        <v>0</v>
      </c>
      <c r="AB89" s="3">
        <v>0</v>
      </c>
      <c r="AC89" s="3">
        <v>0</v>
      </c>
      <c r="AD89" s="3">
        <v>0</v>
      </c>
      <c r="AE89" s="3">
        <v>0</v>
      </c>
      <c r="AF89" s="3">
        <v>0</v>
      </c>
      <c r="AG89" s="3">
        <v>0</v>
      </c>
      <c r="AH89" s="3" t="s">
        <v>17</v>
      </c>
      <c r="AI89" s="3" t="s">
        <v>778</v>
      </c>
      <c r="AK89" s="3" t="s">
        <v>182</v>
      </c>
    </row>
    <row r="90" spans="1:39" x14ac:dyDescent="0.25">
      <c r="A90" t="s">
        <v>1046</v>
      </c>
      <c r="B90" s="7">
        <v>43318</v>
      </c>
      <c r="C90" s="7" t="s">
        <v>844</v>
      </c>
      <c r="D90" s="3" t="s">
        <v>6</v>
      </c>
      <c r="E90" s="3" t="s">
        <v>93</v>
      </c>
      <c r="F90" s="3" t="s">
        <v>24</v>
      </c>
      <c r="G90" s="3" t="s">
        <v>20</v>
      </c>
      <c r="H90" s="9">
        <v>41.377865066902501</v>
      </c>
      <c r="I90" s="9">
        <v>2.1934281081398801</v>
      </c>
      <c r="J90" s="3">
        <v>1</v>
      </c>
      <c r="K90" s="3">
        <v>1</v>
      </c>
      <c r="L90" s="3">
        <v>0</v>
      </c>
      <c r="M90" s="3">
        <v>0</v>
      </c>
      <c r="N90" s="3" t="s">
        <v>16</v>
      </c>
      <c r="O90" s="3">
        <v>0</v>
      </c>
      <c r="P90" s="3">
        <v>1</v>
      </c>
      <c r="Q90" s="3">
        <v>0</v>
      </c>
      <c r="R90" s="3">
        <v>0</v>
      </c>
      <c r="S90" s="3">
        <v>0</v>
      </c>
      <c r="T90" s="3">
        <v>0</v>
      </c>
      <c r="U90" s="3">
        <v>0</v>
      </c>
      <c r="V90" s="3">
        <v>1</v>
      </c>
      <c r="W90" s="3" t="s">
        <v>6</v>
      </c>
      <c r="X90" s="3">
        <v>0</v>
      </c>
      <c r="Y90" s="3">
        <v>0</v>
      </c>
      <c r="Z90" s="3">
        <v>0</v>
      </c>
      <c r="AA90" s="3">
        <v>0</v>
      </c>
      <c r="AB90" s="3">
        <v>0</v>
      </c>
      <c r="AC90" s="3">
        <v>0</v>
      </c>
      <c r="AD90" s="3">
        <v>0</v>
      </c>
      <c r="AE90" s="3">
        <v>0</v>
      </c>
      <c r="AF90" s="3">
        <v>0</v>
      </c>
      <c r="AG90" s="3">
        <v>0</v>
      </c>
      <c r="AH90" s="3" t="s">
        <v>17</v>
      </c>
      <c r="AI90" s="3" t="s">
        <v>777</v>
      </c>
      <c r="AK90" s="3" t="s">
        <v>400</v>
      </c>
    </row>
    <row r="91" spans="1:39" x14ac:dyDescent="0.25">
      <c r="A91" t="s">
        <v>1397</v>
      </c>
      <c r="B91" s="8">
        <v>43319</v>
      </c>
      <c r="C91" s="8" t="s">
        <v>844</v>
      </c>
      <c r="D91" s="3" t="s">
        <v>6</v>
      </c>
      <c r="E91" s="3" t="s">
        <v>112</v>
      </c>
      <c r="F91" s="3" t="s">
        <v>8</v>
      </c>
      <c r="G91" s="3" t="s">
        <v>8</v>
      </c>
      <c r="H91" s="9">
        <v>39.936086880221602</v>
      </c>
      <c r="I91" s="9">
        <v>3.9363255985537</v>
      </c>
      <c r="J91" s="3">
        <v>1</v>
      </c>
      <c r="K91" s="3">
        <v>0</v>
      </c>
      <c r="L91" s="3">
        <v>0</v>
      </c>
      <c r="M91" s="3">
        <v>1</v>
      </c>
      <c r="N91" s="3" t="s">
        <v>6</v>
      </c>
      <c r="O91" s="3">
        <v>0</v>
      </c>
      <c r="P91" s="3">
        <v>0</v>
      </c>
      <c r="Q91" s="3">
        <v>1</v>
      </c>
      <c r="R91" s="3">
        <v>0</v>
      </c>
      <c r="S91" s="3">
        <v>0</v>
      </c>
      <c r="T91" s="3">
        <v>0</v>
      </c>
      <c r="U91" s="3">
        <v>0</v>
      </c>
      <c r="V91" s="3">
        <v>1</v>
      </c>
      <c r="W91" s="3" t="s">
        <v>6</v>
      </c>
      <c r="X91" s="3">
        <v>0</v>
      </c>
      <c r="Y91" s="3">
        <v>0</v>
      </c>
      <c r="Z91" s="3">
        <v>0</v>
      </c>
      <c r="AA91" s="3">
        <v>0</v>
      </c>
      <c r="AB91" s="3">
        <v>0</v>
      </c>
      <c r="AC91" s="3">
        <v>0</v>
      </c>
      <c r="AD91" s="3">
        <v>0</v>
      </c>
      <c r="AE91" s="3">
        <v>0</v>
      </c>
      <c r="AF91" s="3">
        <v>0</v>
      </c>
      <c r="AG91" s="3">
        <v>0</v>
      </c>
      <c r="AH91" s="3" t="s">
        <v>17</v>
      </c>
      <c r="AI91" s="3" t="s">
        <v>776</v>
      </c>
      <c r="AK91" s="3" t="s">
        <v>183</v>
      </c>
      <c r="AL91" s="3" t="s">
        <v>243</v>
      </c>
    </row>
    <row r="92" spans="1:39" x14ac:dyDescent="0.25">
      <c r="A92" t="s">
        <v>1398</v>
      </c>
      <c r="B92" s="8">
        <v>43319</v>
      </c>
      <c r="C92" s="8" t="s">
        <v>844</v>
      </c>
      <c r="D92" s="3" t="s">
        <v>6</v>
      </c>
      <c r="E92" s="3" t="s">
        <v>94</v>
      </c>
      <c r="F92" s="3" t="s">
        <v>59</v>
      </c>
      <c r="G92" s="3" t="s">
        <v>20</v>
      </c>
      <c r="H92" s="9">
        <v>42.407330511389198</v>
      </c>
      <c r="I92" s="9">
        <v>3.1562551225019302</v>
      </c>
      <c r="J92" s="3">
        <v>1</v>
      </c>
      <c r="K92" s="3">
        <v>1</v>
      </c>
      <c r="L92" s="3">
        <v>0</v>
      </c>
      <c r="M92" s="3">
        <v>0</v>
      </c>
      <c r="N92" s="3" t="s">
        <v>6</v>
      </c>
      <c r="O92" s="3">
        <v>0</v>
      </c>
      <c r="P92" s="3">
        <v>0</v>
      </c>
      <c r="Q92" s="3">
        <v>1</v>
      </c>
      <c r="R92" s="3">
        <v>0</v>
      </c>
      <c r="S92" s="3">
        <v>0</v>
      </c>
      <c r="T92" s="3">
        <v>0</v>
      </c>
      <c r="U92" s="3">
        <v>0</v>
      </c>
      <c r="V92" s="3">
        <v>1</v>
      </c>
      <c r="W92" s="3" t="s">
        <v>6</v>
      </c>
      <c r="X92" s="3">
        <v>0</v>
      </c>
      <c r="Y92" s="3">
        <v>0</v>
      </c>
      <c r="Z92" s="3">
        <v>0</v>
      </c>
      <c r="AA92" s="3">
        <v>0</v>
      </c>
      <c r="AB92" s="3">
        <v>0</v>
      </c>
      <c r="AC92" s="3">
        <v>0</v>
      </c>
      <c r="AD92" s="3">
        <v>0</v>
      </c>
      <c r="AE92" s="3">
        <v>0</v>
      </c>
      <c r="AF92" s="3">
        <v>0</v>
      </c>
      <c r="AG92" s="3">
        <v>0</v>
      </c>
      <c r="AH92" s="3" t="s">
        <v>17</v>
      </c>
      <c r="AI92" s="3" t="s">
        <v>778</v>
      </c>
      <c r="AK92" s="3" t="s">
        <v>184</v>
      </c>
      <c r="AL92" s="3" t="s">
        <v>249</v>
      </c>
    </row>
    <row r="93" spans="1:39" x14ac:dyDescent="0.25">
      <c r="A93" t="s">
        <v>989</v>
      </c>
      <c r="B93" s="8">
        <v>43319</v>
      </c>
      <c r="C93" s="8" t="s">
        <v>844</v>
      </c>
      <c r="D93" s="3" t="s">
        <v>6</v>
      </c>
      <c r="E93" s="6" t="s">
        <v>230</v>
      </c>
      <c r="F93" s="6" t="s">
        <v>69</v>
      </c>
      <c r="G93" s="3" t="s">
        <v>20</v>
      </c>
      <c r="H93" s="9">
        <v>40.750049125331003</v>
      </c>
      <c r="I93" s="9">
        <v>0.81156639193914304</v>
      </c>
      <c r="J93" s="6">
        <v>1</v>
      </c>
      <c r="K93" s="3">
        <v>1</v>
      </c>
      <c r="L93" s="3">
        <v>0</v>
      </c>
      <c r="M93" s="3">
        <v>0</v>
      </c>
      <c r="N93" s="3" t="s">
        <v>6</v>
      </c>
      <c r="O93" s="3">
        <v>0</v>
      </c>
      <c r="P93" s="3">
        <v>0</v>
      </c>
      <c r="Q93" s="3">
        <v>1</v>
      </c>
      <c r="R93" s="3">
        <v>0</v>
      </c>
      <c r="S93" s="3">
        <v>0</v>
      </c>
      <c r="T93" s="3">
        <v>0</v>
      </c>
      <c r="U93" s="3">
        <v>0</v>
      </c>
      <c r="V93" s="3">
        <v>1</v>
      </c>
      <c r="W93" s="3" t="s">
        <v>6</v>
      </c>
      <c r="X93" s="3">
        <v>0</v>
      </c>
      <c r="Y93" s="3">
        <v>0</v>
      </c>
      <c r="Z93" s="3">
        <v>0</v>
      </c>
      <c r="AA93" s="3">
        <v>0</v>
      </c>
      <c r="AB93" s="3">
        <v>0</v>
      </c>
      <c r="AC93" s="3">
        <v>0</v>
      </c>
      <c r="AD93" s="3">
        <v>0</v>
      </c>
      <c r="AE93" s="3">
        <v>0</v>
      </c>
      <c r="AF93" s="3">
        <v>0</v>
      </c>
      <c r="AG93" s="3">
        <v>0</v>
      </c>
      <c r="AH93" s="3" t="s">
        <v>233</v>
      </c>
      <c r="AI93" s="3" t="s">
        <v>785</v>
      </c>
      <c r="AK93" s="3" t="s">
        <v>236</v>
      </c>
    </row>
    <row r="94" spans="1:39" x14ac:dyDescent="0.25">
      <c r="A94" t="s">
        <v>1399</v>
      </c>
      <c r="B94" s="8">
        <v>43320</v>
      </c>
      <c r="C94" s="8" t="s">
        <v>844</v>
      </c>
      <c r="D94" s="3" t="s">
        <v>6</v>
      </c>
      <c r="E94" s="3" t="s">
        <v>113</v>
      </c>
      <c r="F94" s="3" t="s">
        <v>24</v>
      </c>
      <c r="G94" s="3" t="s">
        <v>20</v>
      </c>
      <c r="H94" s="9">
        <v>41.407150314679399</v>
      </c>
      <c r="I94" s="9">
        <v>2.2290744515752001</v>
      </c>
      <c r="J94" s="3">
        <v>1</v>
      </c>
      <c r="K94" s="3">
        <v>1</v>
      </c>
      <c r="L94" s="3">
        <v>0</v>
      </c>
      <c r="M94" s="3">
        <v>0</v>
      </c>
      <c r="N94" s="3" t="s">
        <v>66</v>
      </c>
      <c r="O94" s="3">
        <v>0</v>
      </c>
      <c r="P94" s="3">
        <v>0</v>
      </c>
      <c r="Q94" s="3">
        <v>1</v>
      </c>
      <c r="R94" s="3">
        <v>0</v>
      </c>
      <c r="S94" s="3">
        <v>0</v>
      </c>
      <c r="T94" s="3">
        <v>0</v>
      </c>
      <c r="U94" s="3">
        <v>0</v>
      </c>
      <c r="V94" s="3">
        <v>1</v>
      </c>
      <c r="W94" s="3" t="s">
        <v>6</v>
      </c>
      <c r="X94" s="3">
        <v>0</v>
      </c>
      <c r="Y94" s="3">
        <v>0</v>
      </c>
      <c r="Z94" s="3">
        <v>0</v>
      </c>
      <c r="AA94" s="3">
        <v>0</v>
      </c>
      <c r="AB94" s="3">
        <v>0</v>
      </c>
      <c r="AC94" s="3">
        <v>0</v>
      </c>
      <c r="AD94" s="3">
        <v>0</v>
      </c>
      <c r="AE94" s="3">
        <v>0</v>
      </c>
      <c r="AF94" s="3">
        <v>0</v>
      </c>
      <c r="AG94" s="3">
        <v>0</v>
      </c>
      <c r="AH94" s="3" t="s">
        <v>17</v>
      </c>
      <c r="AI94" s="3" t="s">
        <v>776</v>
      </c>
      <c r="AK94" s="3" t="s">
        <v>185</v>
      </c>
    </row>
    <row r="95" spans="1:39" x14ac:dyDescent="0.25">
      <c r="A95" t="s">
        <v>1400</v>
      </c>
      <c r="B95" s="8">
        <v>43320</v>
      </c>
      <c r="C95" s="8" t="s">
        <v>844</v>
      </c>
      <c r="D95" s="3" t="s">
        <v>6</v>
      </c>
      <c r="E95" s="3" t="s">
        <v>91</v>
      </c>
      <c r="F95" s="3" t="s">
        <v>59</v>
      </c>
      <c r="G95" s="3" t="s">
        <v>20</v>
      </c>
      <c r="H95" s="9">
        <v>42.374083920523098</v>
      </c>
      <c r="I95" s="9">
        <v>3.1610113386980401</v>
      </c>
      <c r="J95" s="3">
        <v>1</v>
      </c>
      <c r="K95" s="3">
        <v>1</v>
      </c>
      <c r="L95" s="3">
        <v>0</v>
      </c>
      <c r="M95" s="3">
        <v>0</v>
      </c>
      <c r="N95" s="3" t="s">
        <v>16</v>
      </c>
      <c r="O95" s="3">
        <v>0</v>
      </c>
      <c r="P95" s="3">
        <v>0</v>
      </c>
      <c r="Q95" s="3">
        <v>1</v>
      </c>
      <c r="R95" s="3">
        <v>0</v>
      </c>
      <c r="S95" s="3">
        <v>0</v>
      </c>
      <c r="T95" s="3">
        <v>0</v>
      </c>
      <c r="U95" s="3">
        <v>0</v>
      </c>
      <c r="V95" s="3">
        <v>1</v>
      </c>
      <c r="W95" s="3" t="s">
        <v>6</v>
      </c>
      <c r="X95" s="3">
        <v>0</v>
      </c>
      <c r="Y95" s="3">
        <v>0</v>
      </c>
      <c r="Z95" s="3">
        <v>0</v>
      </c>
      <c r="AA95" s="3">
        <v>0</v>
      </c>
      <c r="AB95" s="3">
        <v>0</v>
      </c>
      <c r="AC95" s="3">
        <v>0</v>
      </c>
      <c r="AD95" s="3">
        <v>0</v>
      </c>
      <c r="AE95" s="3">
        <v>0</v>
      </c>
      <c r="AF95" s="3">
        <v>0</v>
      </c>
      <c r="AG95" s="3">
        <v>0</v>
      </c>
      <c r="AH95" s="3" t="s">
        <v>17</v>
      </c>
      <c r="AI95" s="3" t="s">
        <v>776</v>
      </c>
      <c r="AK95" s="3" t="s">
        <v>186</v>
      </c>
    </row>
    <row r="96" spans="1:39" x14ac:dyDescent="0.25">
      <c r="A96" t="s">
        <v>1401</v>
      </c>
      <c r="B96" s="8">
        <v>43320</v>
      </c>
      <c r="C96" s="8" t="s">
        <v>844</v>
      </c>
      <c r="D96" s="3" t="s">
        <v>6</v>
      </c>
      <c r="E96" s="3" t="s">
        <v>114</v>
      </c>
      <c r="F96" s="3" t="s">
        <v>59</v>
      </c>
      <c r="G96" s="3" t="s">
        <v>20</v>
      </c>
      <c r="H96" s="9">
        <v>42.392961238727402</v>
      </c>
      <c r="I96" s="9">
        <v>3.15431055637923</v>
      </c>
      <c r="J96" s="3">
        <v>1</v>
      </c>
      <c r="K96" s="3">
        <v>1</v>
      </c>
      <c r="L96" s="3">
        <v>0</v>
      </c>
      <c r="M96" s="3">
        <v>0</v>
      </c>
      <c r="N96" s="3" t="s">
        <v>6</v>
      </c>
      <c r="O96" s="3">
        <v>0</v>
      </c>
      <c r="P96" s="3">
        <v>0</v>
      </c>
      <c r="Q96" s="3">
        <v>1</v>
      </c>
      <c r="R96" s="3">
        <v>0</v>
      </c>
      <c r="S96" s="3">
        <v>0</v>
      </c>
      <c r="T96" s="3">
        <v>0</v>
      </c>
      <c r="U96" s="3">
        <v>0</v>
      </c>
      <c r="V96" s="3">
        <v>1</v>
      </c>
      <c r="W96" s="3" t="s">
        <v>6</v>
      </c>
      <c r="X96" s="3">
        <v>0</v>
      </c>
      <c r="Y96" s="3">
        <v>0</v>
      </c>
      <c r="Z96" s="3">
        <v>0</v>
      </c>
      <c r="AA96" s="3">
        <v>0</v>
      </c>
      <c r="AB96" s="3">
        <v>0</v>
      </c>
      <c r="AC96" s="3">
        <v>0</v>
      </c>
      <c r="AD96" s="3">
        <v>0</v>
      </c>
      <c r="AE96" s="3">
        <v>0</v>
      </c>
      <c r="AF96" s="3">
        <v>0</v>
      </c>
      <c r="AG96" s="3">
        <v>0</v>
      </c>
      <c r="AH96" s="3" t="s">
        <v>17</v>
      </c>
      <c r="AI96" s="3" t="s">
        <v>776</v>
      </c>
      <c r="AK96" s="3" t="s">
        <v>187</v>
      </c>
    </row>
    <row r="97" spans="1:39" x14ac:dyDescent="0.25">
      <c r="A97" t="s">
        <v>990</v>
      </c>
      <c r="B97" s="8">
        <v>43320</v>
      </c>
      <c r="C97" s="8" t="s">
        <v>844</v>
      </c>
      <c r="D97" s="3" t="s">
        <v>6</v>
      </c>
      <c r="E97" s="6" t="s">
        <v>231</v>
      </c>
      <c r="F97" s="6" t="s">
        <v>69</v>
      </c>
      <c r="G97" s="3" t="s">
        <v>20</v>
      </c>
      <c r="H97" s="9">
        <v>40.731212553384097</v>
      </c>
      <c r="I97" s="9">
        <v>0.83664779682392898</v>
      </c>
      <c r="J97" s="6">
        <v>1</v>
      </c>
      <c r="K97" s="3">
        <v>1</v>
      </c>
      <c r="L97" s="3">
        <v>0</v>
      </c>
      <c r="M97" s="3">
        <v>0</v>
      </c>
      <c r="N97" s="3" t="s">
        <v>6</v>
      </c>
      <c r="O97" s="3">
        <v>0</v>
      </c>
      <c r="P97" s="3">
        <v>0</v>
      </c>
      <c r="Q97" s="3">
        <v>1</v>
      </c>
      <c r="R97" s="3">
        <v>0</v>
      </c>
      <c r="S97" s="3">
        <v>0</v>
      </c>
      <c r="T97" s="3">
        <v>0</v>
      </c>
      <c r="U97" s="3">
        <v>0</v>
      </c>
      <c r="V97" s="3">
        <v>1</v>
      </c>
      <c r="W97" s="3" t="s">
        <v>6</v>
      </c>
      <c r="X97" s="3">
        <v>0</v>
      </c>
      <c r="Y97" s="3">
        <v>0</v>
      </c>
      <c r="Z97" s="3">
        <v>0</v>
      </c>
      <c r="AA97" s="3">
        <v>0</v>
      </c>
      <c r="AB97" s="3">
        <v>0</v>
      </c>
      <c r="AC97" s="3">
        <v>0</v>
      </c>
      <c r="AD97" s="3">
        <v>0</v>
      </c>
      <c r="AE97" s="3">
        <v>0</v>
      </c>
      <c r="AF97" s="3">
        <v>0</v>
      </c>
      <c r="AG97" s="3">
        <v>0</v>
      </c>
      <c r="AH97" s="3" t="s">
        <v>233</v>
      </c>
      <c r="AI97" s="3" t="s">
        <v>786</v>
      </c>
      <c r="AK97" s="3" t="s">
        <v>237</v>
      </c>
    </row>
    <row r="98" spans="1:39" x14ac:dyDescent="0.25">
      <c r="A98" t="s">
        <v>1302</v>
      </c>
      <c r="B98" s="7">
        <v>43320</v>
      </c>
      <c r="C98" s="7" t="s">
        <v>844</v>
      </c>
      <c r="D98" s="3" t="s">
        <v>6</v>
      </c>
      <c r="E98" s="3" t="s">
        <v>745</v>
      </c>
      <c r="F98" s="3" t="s">
        <v>59</v>
      </c>
      <c r="G98" s="3" t="s">
        <v>20</v>
      </c>
      <c r="H98" s="9">
        <v>42.0853028417282</v>
      </c>
      <c r="I98" s="9">
        <v>3.1957409639391101</v>
      </c>
      <c r="J98" s="3">
        <v>1</v>
      </c>
      <c r="K98" s="3">
        <v>1</v>
      </c>
      <c r="L98" s="3">
        <v>0</v>
      </c>
      <c r="M98" s="3">
        <v>0</v>
      </c>
      <c r="N98" s="3" t="s">
        <v>66</v>
      </c>
      <c r="O98" s="3">
        <v>0</v>
      </c>
      <c r="P98" s="3">
        <v>1</v>
      </c>
      <c r="Q98" s="3">
        <v>0</v>
      </c>
      <c r="R98" s="3">
        <v>1</v>
      </c>
      <c r="S98" s="3">
        <v>0</v>
      </c>
      <c r="T98" s="3">
        <v>0</v>
      </c>
      <c r="U98" s="3">
        <v>0</v>
      </c>
      <c r="V98" s="3">
        <v>0</v>
      </c>
      <c r="W98" s="3" t="s">
        <v>6</v>
      </c>
      <c r="X98" s="3">
        <v>1</v>
      </c>
      <c r="Y98" s="3">
        <v>0</v>
      </c>
      <c r="Z98" s="3">
        <v>0</v>
      </c>
      <c r="AA98" s="3">
        <v>0</v>
      </c>
      <c r="AB98" s="3">
        <v>0</v>
      </c>
      <c r="AC98" s="3">
        <v>0</v>
      </c>
      <c r="AD98" s="3">
        <v>0</v>
      </c>
      <c r="AE98" s="3">
        <v>0</v>
      </c>
      <c r="AF98" s="3">
        <v>0</v>
      </c>
      <c r="AG98" s="3">
        <v>1</v>
      </c>
      <c r="AH98" s="3" t="s">
        <v>17</v>
      </c>
      <c r="AI98" s="3" t="s">
        <v>776</v>
      </c>
      <c r="AK98" s="3" t="s">
        <v>893</v>
      </c>
      <c r="AL98" s="3" t="s">
        <v>894</v>
      </c>
    </row>
    <row r="99" spans="1:39" x14ac:dyDescent="0.25">
      <c r="A99" t="s">
        <v>1402</v>
      </c>
      <c r="B99" s="8">
        <v>43322</v>
      </c>
      <c r="C99" s="8" t="s">
        <v>844</v>
      </c>
      <c r="D99" s="3" t="s">
        <v>6</v>
      </c>
      <c r="E99" s="3" t="s">
        <v>102</v>
      </c>
      <c r="F99" s="3" t="s">
        <v>59</v>
      </c>
      <c r="G99" s="3" t="s">
        <v>20</v>
      </c>
      <c r="H99" s="9">
        <v>42.392961472906102</v>
      </c>
      <c r="I99" s="9">
        <v>3.15594262774701</v>
      </c>
      <c r="J99" s="3">
        <v>1</v>
      </c>
      <c r="K99" s="3">
        <v>1</v>
      </c>
      <c r="L99" s="3">
        <v>0</v>
      </c>
      <c r="M99" s="3">
        <v>0</v>
      </c>
      <c r="N99" s="3" t="s">
        <v>6</v>
      </c>
      <c r="O99" s="3">
        <v>0</v>
      </c>
      <c r="P99" s="3">
        <v>0</v>
      </c>
      <c r="Q99" s="3">
        <v>1</v>
      </c>
      <c r="R99" s="3">
        <v>0</v>
      </c>
      <c r="S99" s="3">
        <v>0</v>
      </c>
      <c r="T99" s="3">
        <v>0</v>
      </c>
      <c r="U99" s="3">
        <v>0</v>
      </c>
      <c r="V99" s="3">
        <v>1</v>
      </c>
      <c r="W99" s="3" t="s">
        <v>6</v>
      </c>
      <c r="X99" s="3">
        <v>0</v>
      </c>
      <c r="Y99" s="3">
        <v>0</v>
      </c>
      <c r="Z99" s="3">
        <v>0</v>
      </c>
      <c r="AA99" s="3">
        <v>0</v>
      </c>
      <c r="AB99" s="3">
        <v>0</v>
      </c>
      <c r="AC99" s="3">
        <v>0</v>
      </c>
      <c r="AD99" s="3">
        <v>0</v>
      </c>
      <c r="AE99" s="3">
        <v>0</v>
      </c>
      <c r="AF99" s="3">
        <v>0</v>
      </c>
      <c r="AG99" s="3">
        <v>0</v>
      </c>
      <c r="AH99" s="3" t="s">
        <v>17</v>
      </c>
      <c r="AI99" s="3" t="s">
        <v>776</v>
      </c>
      <c r="AK99" s="3" t="s">
        <v>188</v>
      </c>
    </row>
    <row r="100" spans="1:39" x14ac:dyDescent="0.25">
      <c r="A100" t="s">
        <v>1403</v>
      </c>
      <c r="B100" s="8">
        <v>43322</v>
      </c>
      <c r="C100" s="8" t="s">
        <v>844</v>
      </c>
      <c r="D100" s="3" t="s">
        <v>6</v>
      </c>
      <c r="E100" s="3" t="s">
        <v>115</v>
      </c>
      <c r="F100" s="3" t="s">
        <v>59</v>
      </c>
      <c r="G100" s="3" t="s">
        <v>20</v>
      </c>
      <c r="H100" s="9">
        <v>42.392886559913897</v>
      </c>
      <c r="I100" s="9">
        <v>3.1549891860682</v>
      </c>
      <c r="J100" s="3">
        <v>1</v>
      </c>
      <c r="K100" s="3">
        <v>1</v>
      </c>
      <c r="L100" s="3">
        <v>0</v>
      </c>
      <c r="M100" s="3">
        <v>0</v>
      </c>
      <c r="N100" s="3" t="s">
        <v>6</v>
      </c>
      <c r="O100" s="3">
        <v>0</v>
      </c>
      <c r="P100" s="3">
        <v>0</v>
      </c>
      <c r="Q100" s="3">
        <v>1</v>
      </c>
      <c r="R100" s="3">
        <v>0</v>
      </c>
      <c r="S100" s="3">
        <v>0</v>
      </c>
      <c r="T100" s="3">
        <v>0</v>
      </c>
      <c r="U100" s="3">
        <v>0</v>
      </c>
      <c r="V100" s="3">
        <v>1</v>
      </c>
      <c r="W100" s="3" t="s">
        <v>6</v>
      </c>
      <c r="X100" s="3">
        <v>0</v>
      </c>
      <c r="Y100" s="3">
        <v>0</v>
      </c>
      <c r="Z100" s="3">
        <v>0</v>
      </c>
      <c r="AA100" s="3">
        <v>0</v>
      </c>
      <c r="AB100" s="3">
        <v>0</v>
      </c>
      <c r="AC100" s="3">
        <v>0</v>
      </c>
      <c r="AD100" s="3">
        <v>0</v>
      </c>
      <c r="AE100" s="3">
        <v>0</v>
      </c>
      <c r="AF100" s="3">
        <v>0</v>
      </c>
      <c r="AG100" s="3">
        <v>0</v>
      </c>
      <c r="AH100" s="3" t="s">
        <v>17</v>
      </c>
      <c r="AI100" s="3" t="s">
        <v>776</v>
      </c>
      <c r="AK100" s="3" t="s">
        <v>189</v>
      </c>
    </row>
    <row r="101" spans="1:39" x14ac:dyDescent="0.25">
      <c r="A101" t="s">
        <v>1242</v>
      </c>
      <c r="B101" s="7">
        <v>43322</v>
      </c>
      <c r="C101" s="7" t="s">
        <v>844</v>
      </c>
      <c r="D101" s="3" t="s">
        <v>6</v>
      </c>
      <c r="E101" s="3" t="s">
        <v>745</v>
      </c>
      <c r="F101" s="3" t="s">
        <v>59</v>
      </c>
      <c r="G101" s="3" t="s">
        <v>20</v>
      </c>
      <c r="H101" s="9">
        <v>42.083817957924602</v>
      </c>
      <c r="I101" s="9">
        <v>3.1959773159649099</v>
      </c>
      <c r="J101" s="3">
        <v>1</v>
      </c>
      <c r="K101" s="3">
        <v>1</v>
      </c>
      <c r="L101" s="3">
        <v>0</v>
      </c>
      <c r="M101" s="3">
        <v>0</v>
      </c>
      <c r="N101" s="3" t="s">
        <v>66</v>
      </c>
      <c r="O101" s="3">
        <v>0</v>
      </c>
      <c r="P101" s="3">
        <v>1</v>
      </c>
      <c r="Q101" s="3">
        <v>0</v>
      </c>
      <c r="R101" s="3">
        <v>1</v>
      </c>
      <c r="S101" s="3">
        <v>0</v>
      </c>
      <c r="T101" s="3">
        <v>0</v>
      </c>
      <c r="U101" s="3">
        <v>0</v>
      </c>
      <c r="V101" s="3">
        <v>0</v>
      </c>
      <c r="W101" s="3" t="s">
        <v>6</v>
      </c>
      <c r="X101" s="3">
        <v>0</v>
      </c>
      <c r="Y101" s="3">
        <v>0</v>
      </c>
      <c r="Z101" s="3">
        <v>0</v>
      </c>
      <c r="AA101" s="3">
        <v>0</v>
      </c>
      <c r="AB101" s="3">
        <v>0</v>
      </c>
      <c r="AC101" s="3">
        <v>0</v>
      </c>
      <c r="AD101" s="3">
        <v>0</v>
      </c>
      <c r="AE101" s="3">
        <v>0</v>
      </c>
      <c r="AF101" s="3">
        <v>0</v>
      </c>
      <c r="AG101" s="3">
        <v>0</v>
      </c>
      <c r="AH101" s="3" t="s">
        <v>17</v>
      </c>
      <c r="AI101" s="3" t="s">
        <v>776</v>
      </c>
      <c r="AK101" s="3" t="s">
        <v>744</v>
      </c>
    </row>
    <row r="102" spans="1:39" x14ac:dyDescent="0.25">
      <c r="A102" t="s">
        <v>1404</v>
      </c>
      <c r="B102" s="8">
        <v>43325</v>
      </c>
      <c r="C102" s="8" t="s">
        <v>844</v>
      </c>
      <c r="D102" s="3" t="s">
        <v>6</v>
      </c>
      <c r="E102" s="3" t="s">
        <v>116</v>
      </c>
      <c r="F102" s="3" t="s">
        <v>59</v>
      </c>
      <c r="G102" s="3" t="s">
        <v>20</v>
      </c>
      <c r="H102" s="9">
        <v>41.675133140984101</v>
      </c>
      <c r="I102" s="9">
        <v>2.8047218201159798</v>
      </c>
      <c r="J102" s="3">
        <v>1</v>
      </c>
      <c r="K102" s="3">
        <v>1</v>
      </c>
      <c r="L102" s="3">
        <v>0</v>
      </c>
      <c r="M102" s="3">
        <v>0</v>
      </c>
      <c r="N102" s="3" t="s">
        <v>66</v>
      </c>
      <c r="O102" s="3">
        <v>0</v>
      </c>
      <c r="P102" s="3">
        <v>1</v>
      </c>
      <c r="Q102" s="3">
        <v>0</v>
      </c>
      <c r="R102" s="3">
        <v>1</v>
      </c>
      <c r="S102" s="3">
        <v>0</v>
      </c>
      <c r="T102" s="3">
        <v>0</v>
      </c>
      <c r="U102" s="3">
        <v>0</v>
      </c>
      <c r="V102" s="3">
        <v>0</v>
      </c>
      <c r="W102" s="3" t="s">
        <v>6</v>
      </c>
      <c r="X102" s="3">
        <v>0</v>
      </c>
      <c r="Y102" s="3">
        <v>0</v>
      </c>
      <c r="Z102" s="3">
        <v>0</v>
      </c>
      <c r="AA102" s="3">
        <v>0</v>
      </c>
      <c r="AB102" s="3">
        <v>0</v>
      </c>
      <c r="AC102" s="3">
        <v>0</v>
      </c>
      <c r="AD102" s="3">
        <v>0</v>
      </c>
      <c r="AE102" s="3">
        <v>0</v>
      </c>
      <c r="AF102" s="3">
        <v>0</v>
      </c>
      <c r="AG102" s="3">
        <v>0</v>
      </c>
      <c r="AH102" s="3" t="s">
        <v>17</v>
      </c>
      <c r="AI102" s="3" t="s">
        <v>777</v>
      </c>
      <c r="AK102" s="3" t="s">
        <v>190</v>
      </c>
      <c r="AL102" s="3" t="s">
        <v>252</v>
      </c>
    </row>
    <row r="103" spans="1:39" x14ac:dyDescent="0.25">
      <c r="A103" t="s">
        <v>1264</v>
      </c>
      <c r="B103" s="7">
        <v>43325</v>
      </c>
      <c r="C103" s="7" t="s">
        <v>844</v>
      </c>
      <c r="D103" s="3" t="s">
        <v>6</v>
      </c>
      <c r="E103" s="3" t="s">
        <v>807</v>
      </c>
      <c r="F103" s="3" t="s">
        <v>69</v>
      </c>
      <c r="G103" s="3" t="s">
        <v>20</v>
      </c>
      <c r="H103" s="9">
        <v>41.177685271604403</v>
      </c>
      <c r="I103" s="9">
        <v>1.52622836835362</v>
      </c>
      <c r="J103" s="3">
        <v>3</v>
      </c>
      <c r="K103" s="3">
        <v>3</v>
      </c>
      <c r="L103" s="3">
        <v>0</v>
      </c>
      <c r="M103" s="3">
        <v>0</v>
      </c>
      <c r="N103" s="3" t="s">
        <v>6</v>
      </c>
      <c r="O103" s="3">
        <v>0</v>
      </c>
      <c r="P103" s="3">
        <v>0</v>
      </c>
      <c r="Q103" s="3">
        <v>3</v>
      </c>
      <c r="R103" s="3">
        <v>3</v>
      </c>
      <c r="S103" s="3">
        <v>0</v>
      </c>
      <c r="T103" s="3">
        <v>0</v>
      </c>
      <c r="U103" s="3">
        <v>0</v>
      </c>
      <c r="V103" s="3">
        <v>0</v>
      </c>
      <c r="W103" s="3" t="s">
        <v>6</v>
      </c>
      <c r="X103" s="3">
        <v>1</v>
      </c>
      <c r="Y103" s="3">
        <v>0</v>
      </c>
      <c r="Z103" s="3">
        <v>0</v>
      </c>
      <c r="AA103" s="3">
        <v>0</v>
      </c>
      <c r="AB103" s="3">
        <v>0</v>
      </c>
      <c r="AC103" s="3">
        <v>1</v>
      </c>
      <c r="AD103" s="3">
        <v>0</v>
      </c>
      <c r="AE103" s="3">
        <v>0</v>
      </c>
      <c r="AF103" s="3">
        <v>0</v>
      </c>
      <c r="AG103" s="3">
        <v>0</v>
      </c>
      <c r="AH103" s="3" t="s">
        <v>233</v>
      </c>
      <c r="AI103" s="3" t="s">
        <v>785</v>
      </c>
      <c r="AK103" s="3" t="s">
        <v>808</v>
      </c>
      <c r="AL103" s="3" t="s">
        <v>809</v>
      </c>
    </row>
    <row r="104" spans="1:39" x14ac:dyDescent="0.25">
      <c r="A104" t="s">
        <v>1405</v>
      </c>
      <c r="B104" s="8">
        <v>43326</v>
      </c>
      <c r="C104" s="8" t="s">
        <v>844</v>
      </c>
      <c r="D104" s="3" t="s">
        <v>6</v>
      </c>
      <c r="E104" s="3" t="s">
        <v>117</v>
      </c>
      <c r="F104" s="3" t="s">
        <v>69</v>
      </c>
      <c r="G104" s="3" t="s">
        <v>20</v>
      </c>
      <c r="H104" s="9">
        <v>40.877212784910299</v>
      </c>
      <c r="I104" s="9">
        <v>0.79915285185260498</v>
      </c>
      <c r="J104" s="3">
        <v>1</v>
      </c>
      <c r="K104" s="3">
        <v>1</v>
      </c>
      <c r="L104" s="3">
        <v>0</v>
      </c>
      <c r="M104" s="3">
        <v>0</v>
      </c>
      <c r="N104" s="3" t="s">
        <v>66</v>
      </c>
      <c r="O104" s="3">
        <v>0</v>
      </c>
      <c r="P104" s="3">
        <v>0</v>
      </c>
      <c r="Q104" s="3">
        <v>1</v>
      </c>
      <c r="R104" s="3">
        <v>0</v>
      </c>
      <c r="S104" s="3">
        <v>0</v>
      </c>
      <c r="T104" s="3">
        <v>0</v>
      </c>
      <c r="U104" s="3">
        <v>0</v>
      </c>
      <c r="V104" s="3">
        <v>1</v>
      </c>
      <c r="W104" s="3" t="s">
        <v>6</v>
      </c>
      <c r="X104" s="3">
        <v>1</v>
      </c>
      <c r="Y104" s="3">
        <v>0</v>
      </c>
      <c r="Z104" s="3">
        <v>0</v>
      </c>
      <c r="AA104" s="3">
        <v>0</v>
      </c>
      <c r="AB104" s="3">
        <v>0</v>
      </c>
      <c r="AC104" s="3">
        <v>0</v>
      </c>
      <c r="AD104" s="3">
        <v>1</v>
      </c>
      <c r="AE104" s="3">
        <v>0</v>
      </c>
      <c r="AF104" s="3">
        <v>0</v>
      </c>
      <c r="AG104" s="3">
        <v>0</v>
      </c>
      <c r="AH104" s="3" t="s">
        <v>17</v>
      </c>
      <c r="AI104" s="3" t="s">
        <v>780</v>
      </c>
      <c r="AK104" s="3" t="s">
        <v>191</v>
      </c>
      <c r="AL104" s="3" t="s">
        <v>253</v>
      </c>
    </row>
    <row r="105" spans="1:39" x14ac:dyDescent="0.25">
      <c r="A105" t="s">
        <v>1406</v>
      </c>
      <c r="B105" s="8">
        <v>43327</v>
      </c>
      <c r="C105" s="8" t="s">
        <v>844</v>
      </c>
      <c r="D105" s="3" t="s">
        <v>6</v>
      </c>
      <c r="E105" s="3" t="s">
        <v>118</v>
      </c>
      <c r="F105" s="3" t="s">
        <v>59</v>
      </c>
      <c r="G105" s="3" t="s">
        <v>20</v>
      </c>
      <c r="H105" s="9">
        <v>42.066712176560998</v>
      </c>
      <c r="I105" s="9">
        <v>3.21236740605169</v>
      </c>
      <c r="J105" s="3">
        <v>1</v>
      </c>
      <c r="K105" s="3">
        <v>1</v>
      </c>
      <c r="L105" s="3">
        <v>0</v>
      </c>
      <c r="M105" s="3">
        <v>0</v>
      </c>
      <c r="N105" s="3" t="s">
        <v>16</v>
      </c>
      <c r="O105" s="3">
        <v>0</v>
      </c>
      <c r="P105" s="3">
        <v>1</v>
      </c>
      <c r="Q105" s="3">
        <v>0</v>
      </c>
      <c r="R105" s="3">
        <v>0</v>
      </c>
      <c r="S105" s="3">
        <v>0</v>
      </c>
      <c r="T105" s="3">
        <v>0</v>
      </c>
      <c r="U105" s="3">
        <v>0</v>
      </c>
      <c r="V105" s="3">
        <v>1</v>
      </c>
      <c r="W105" s="3" t="s">
        <v>6</v>
      </c>
      <c r="X105" s="3">
        <v>0</v>
      </c>
      <c r="Y105" s="3">
        <v>0</v>
      </c>
      <c r="Z105" s="3">
        <v>0</v>
      </c>
      <c r="AA105" s="3">
        <v>0</v>
      </c>
      <c r="AB105" s="3">
        <v>0</v>
      </c>
      <c r="AC105" s="3">
        <v>0</v>
      </c>
      <c r="AD105" s="3">
        <v>0</v>
      </c>
      <c r="AE105" s="3">
        <v>0</v>
      </c>
      <c r="AF105" s="3">
        <v>0</v>
      </c>
      <c r="AG105" s="3">
        <v>0</v>
      </c>
      <c r="AH105" s="3" t="s">
        <v>17</v>
      </c>
      <c r="AI105" s="3" t="s">
        <v>777</v>
      </c>
      <c r="AK105" s="3" t="s">
        <v>192</v>
      </c>
    </row>
    <row r="106" spans="1:39" x14ac:dyDescent="0.25">
      <c r="A106" t="s">
        <v>1340</v>
      </c>
      <c r="B106" s="7">
        <v>43328</v>
      </c>
      <c r="C106" s="7" t="s">
        <v>844</v>
      </c>
      <c r="D106" s="68" t="s">
        <v>6</v>
      </c>
      <c r="E106" s="3" t="s">
        <v>68</v>
      </c>
      <c r="F106" s="3" t="s">
        <v>69</v>
      </c>
      <c r="G106" s="3" t="s">
        <v>20</v>
      </c>
      <c r="H106" s="9">
        <v>41.143599999999999</v>
      </c>
      <c r="I106" s="9">
        <v>1.4147000000000001</v>
      </c>
      <c r="J106" s="3">
        <v>1</v>
      </c>
      <c r="K106" s="3">
        <v>1</v>
      </c>
      <c r="L106" s="3">
        <v>0</v>
      </c>
      <c r="M106" s="3">
        <v>0</v>
      </c>
      <c r="N106" s="3" t="s">
        <v>16</v>
      </c>
      <c r="O106" s="3">
        <v>1</v>
      </c>
      <c r="P106" s="3">
        <v>0</v>
      </c>
      <c r="Q106" s="3">
        <v>0</v>
      </c>
      <c r="R106" s="3">
        <v>1</v>
      </c>
      <c r="S106" s="3">
        <v>0</v>
      </c>
      <c r="T106" s="3">
        <v>0</v>
      </c>
      <c r="U106" s="3">
        <v>0</v>
      </c>
      <c r="V106" s="3">
        <v>0</v>
      </c>
      <c r="W106" s="3" t="s">
        <v>6</v>
      </c>
      <c r="X106" s="3">
        <v>0</v>
      </c>
      <c r="Y106" s="3">
        <v>0</v>
      </c>
      <c r="Z106" s="3">
        <v>0</v>
      </c>
      <c r="AA106" s="3">
        <v>0</v>
      </c>
      <c r="AB106" s="3">
        <v>0</v>
      </c>
      <c r="AC106" s="3">
        <v>0</v>
      </c>
      <c r="AD106" s="3">
        <v>0</v>
      </c>
      <c r="AE106" s="3">
        <v>0</v>
      </c>
      <c r="AF106" s="3">
        <v>0</v>
      </c>
      <c r="AG106" s="3">
        <v>0</v>
      </c>
      <c r="AH106" s="3" t="s">
        <v>775</v>
      </c>
      <c r="AI106" s="3" t="s">
        <v>81</v>
      </c>
      <c r="AK106" t="s">
        <v>310</v>
      </c>
      <c r="AL106" s="3" t="s">
        <v>34</v>
      </c>
      <c r="AM106" t="s">
        <v>22</v>
      </c>
    </row>
    <row r="107" spans="1:39" x14ac:dyDescent="0.25">
      <c r="A107" t="s">
        <v>1342</v>
      </c>
      <c r="B107" s="7">
        <v>43328</v>
      </c>
      <c r="C107" s="7" t="s">
        <v>844</v>
      </c>
      <c r="D107" s="68" t="s">
        <v>6</v>
      </c>
      <c r="E107" s="3" t="s">
        <v>71</v>
      </c>
      <c r="F107" s="3" t="s">
        <v>23</v>
      </c>
      <c r="G107" s="3" t="s">
        <v>23</v>
      </c>
      <c r="H107" s="9">
        <v>37.552599999999998</v>
      </c>
      <c r="I107" s="9">
        <v>-1.1783999999999999</v>
      </c>
      <c r="J107" s="3">
        <v>2</v>
      </c>
      <c r="K107" s="3">
        <v>2</v>
      </c>
      <c r="L107" s="3">
        <v>0</v>
      </c>
      <c r="M107" s="3">
        <v>0</v>
      </c>
      <c r="N107" s="3" t="s">
        <v>16</v>
      </c>
      <c r="O107" s="3">
        <v>1</v>
      </c>
      <c r="P107" s="3">
        <v>1</v>
      </c>
      <c r="Q107" s="3">
        <v>0</v>
      </c>
      <c r="R107" s="3">
        <v>2</v>
      </c>
      <c r="S107" s="3">
        <v>0</v>
      </c>
      <c r="T107" s="3">
        <v>0</v>
      </c>
      <c r="U107" s="3">
        <v>0</v>
      </c>
      <c r="V107" s="3">
        <v>0</v>
      </c>
      <c r="W107" s="3" t="s">
        <v>6</v>
      </c>
      <c r="X107" s="3">
        <v>1</v>
      </c>
      <c r="Y107" s="3">
        <v>1</v>
      </c>
      <c r="Z107" s="3">
        <v>0</v>
      </c>
      <c r="AA107" s="3">
        <v>0</v>
      </c>
      <c r="AB107" s="3">
        <v>0</v>
      </c>
      <c r="AC107" s="3">
        <v>0</v>
      </c>
      <c r="AD107" s="3">
        <v>0</v>
      </c>
      <c r="AE107" s="3">
        <v>0</v>
      </c>
      <c r="AF107" s="3">
        <v>0</v>
      </c>
      <c r="AG107" s="3">
        <v>0</v>
      </c>
      <c r="AH107" s="3" t="s">
        <v>775</v>
      </c>
      <c r="AI107" s="3" t="s">
        <v>81</v>
      </c>
      <c r="AK107" t="s">
        <v>291</v>
      </c>
      <c r="AL107" s="3" t="s">
        <v>234</v>
      </c>
      <c r="AM107" t="s">
        <v>22</v>
      </c>
    </row>
    <row r="108" spans="1:39" x14ac:dyDescent="0.25">
      <c r="A108" t="s">
        <v>991</v>
      </c>
      <c r="B108" s="8">
        <v>43328</v>
      </c>
      <c r="C108" s="8" t="s">
        <v>844</v>
      </c>
      <c r="D108" s="3" t="s">
        <v>6</v>
      </c>
      <c r="E108" s="6" t="s">
        <v>232</v>
      </c>
      <c r="F108" s="6" t="s">
        <v>69</v>
      </c>
      <c r="G108" s="3" t="s">
        <v>20</v>
      </c>
      <c r="H108" s="9">
        <v>41.174009219279498</v>
      </c>
      <c r="I108" s="9">
        <v>1.5018385169164701</v>
      </c>
      <c r="J108" s="6">
        <v>1</v>
      </c>
      <c r="K108" s="3">
        <v>1</v>
      </c>
      <c r="L108" s="3">
        <v>0</v>
      </c>
      <c r="M108" s="3">
        <v>0</v>
      </c>
      <c r="N108" s="3" t="s">
        <v>66</v>
      </c>
      <c r="O108" s="3">
        <v>0</v>
      </c>
      <c r="P108" s="3">
        <v>1</v>
      </c>
      <c r="Q108" s="3">
        <v>0</v>
      </c>
      <c r="R108" s="3">
        <v>0</v>
      </c>
      <c r="S108" s="3">
        <v>0</v>
      </c>
      <c r="T108" s="3">
        <v>0</v>
      </c>
      <c r="U108" s="3">
        <v>0</v>
      </c>
      <c r="V108" s="3">
        <v>1</v>
      </c>
      <c r="W108" s="3" t="s">
        <v>6</v>
      </c>
      <c r="X108" s="3">
        <v>0</v>
      </c>
      <c r="Y108" s="3">
        <v>0</v>
      </c>
      <c r="Z108" s="3">
        <v>0</v>
      </c>
      <c r="AA108" s="3">
        <v>0</v>
      </c>
      <c r="AB108" s="3">
        <v>0</v>
      </c>
      <c r="AC108" s="3">
        <v>0</v>
      </c>
      <c r="AD108" s="3">
        <v>0</v>
      </c>
      <c r="AE108" s="3">
        <v>0</v>
      </c>
      <c r="AF108" s="3">
        <v>0</v>
      </c>
      <c r="AG108" s="3">
        <v>0</v>
      </c>
      <c r="AH108" s="3" t="s">
        <v>233</v>
      </c>
      <c r="AI108" s="3" t="s">
        <v>787</v>
      </c>
      <c r="AK108" s="3" t="s">
        <v>238</v>
      </c>
    </row>
    <row r="109" spans="1:39" x14ac:dyDescent="0.25">
      <c r="A109" t="s">
        <v>1407</v>
      </c>
      <c r="B109" s="8">
        <v>43329</v>
      </c>
      <c r="C109" s="8" t="s">
        <v>844</v>
      </c>
      <c r="D109" s="3" t="s">
        <v>6</v>
      </c>
      <c r="E109" s="3" t="s">
        <v>67</v>
      </c>
      <c r="F109" s="3" t="s">
        <v>69</v>
      </c>
      <c r="G109" s="3" t="s">
        <v>20</v>
      </c>
      <c r="H109" s="9">
        <v>41.132139701411802</v>
      </c>
      <c r="I109" s="9">
        <v>1.38968173711117</v>
      </c>
      <c r="J109" s="3">
        <v>1</v>
      </c>
      <c r="K109" s="3">
        <v>1</v>
      </c>
      <c r="L109" s="3">
        <v>0</v>
      </c>
      <c r="M109" s="3">
        <v>0</v>
      </c>
      <c r="N109" s="3" t="s">
        <v>16</v>
      </c>
      <c r="O109" s="3">
        <v>0</v>
      </c>
      <c r="P109" s="3">
        <v>0</v>
      </c>
      <c r="Q109" s="3">
        <v>1</v>
      </c>
      <c r="R109" s="3">
        <v>0</v>
      </c>
      <c r="S109" s="3">
        <v>0</v>
      </c>
      <c r="T109" s="3">
        <v>0</v>
      </c>
      <c r="U109" s="3">
        <v>0</v>
      </c>
      <c r="V109" s="3">
        <v>1</v>
      </c>
      <c r="W109" s="3" t="s">
        <v>6</v>
      </c>
      <c r="X109" s="3">
        <v>0</v>
      </c>
      <c r="Y109" s="3">
        <v>0</v>
      </c>
      <c r="Z109" s="3">
        <v>0</v>
      </c>
      <c r="AA109" s="3">
        <v>0</v>
      </c>
      <c r="AB109" s="3">
        <v>0</v>
      </c>
      <c r="AC109" s="3">
        <v>0</v>
      </c>
      <c r="AD109" s="3">
        <v>0</v>
      </c>
      <c r="AE109" s="3">
        <v>0</v>
      </c>
      <c r="AF109" s="3">
        <v>0</v>
      </c>
      <c r="AG109" s="3">
        <v>0</v>
      </c>
      <c r="AH109" s="3" t="s">
        <v>17</v>
      </c>
      <c r="AI109" s="3" t="s">
        <v>778</v>
      </c>
      <c r="AK109" s="3" t="s">
        <v>193</v>
      </c>
    </row>
    <row r="110" spans="1:39" x14ac:dyDescent="0.25">
      <c r="A110" t="s">
        <v>1408</v>
      </c>
      <c r="B110" s="8">
        <v>43329</v>
      </c>
      <c r="C110" s="8" t="s">
        <v>844</v>
      </c>
      <c r="D110" s="3" t="s">
        <v>6</v>
      </c>
      <c r="E110" s="3" t="s">
        <v>119</v>
      </c>
      <c r="F110" s="3" t="s">
        <v>69</v>
      </c>
      <c r="G110" s="3" t="s">
        <v>20</v>
      </c>
      <c r="H110" s="9">
        <v>41.127953717568097</v>
      </c>
      <c r="I110" s="9">
        <v>1.3357569236095801</v>
      </c>
      <c r="J110" s="3">
        <v>1</v>
      </c>
      <c r="K110" s="3">
        <v>1</v>
      </c>
      <c r="L110" s="3">
        <v>0</v>
      </c>
      <c r="M110" s="3">
        <v>0</v>
      </c>
      <c r="N110" s="3" t="s">
        <v>16</v>
      </c>
      <c r="O110" s="3">
        <v>0</v>
      </c>
      <c r="P110" s="3">
        <v>0</v>
      </c>
      <c r="Q110" s="3">
        <v>1</v>
      </c>
      <c r="R110" s="3">
        <v>0</v>
      </c>
      <c r="S110" s="3">
        <v>0</v>
      </c>
      <c r="T110" s="3">
        <v>0</v>
      </c>
      <c r="U110" s="3">
        <v>0</v>
      </c>
      <c r="V110" s="3">
        <v>1</v>
      </c>
      <c r="W110" s="3" t="s">
        <v>6</v>
      </c>
      <c r="X110" s="3">
        <v>0</v>
      </c>
      <c r="Y110" s="3">
        <v>0</v>
      </c>
      <c r="Z110" s="3">
        <v>0</v>
      </c>
      <c r="AA110" s="3">
        <v>0</v>
      </c>
      <c r="AB110" s="3">
        <v>0</v>
      </c>
      <c r="AC110" s="3">
        <v>0</v>
      </c>
      <c r="AD110" s="3">
        <v>0</v>
      </c>
      <c r="AE110" s="3">
        <v>0</v>
      </c>
      <c r="AF110" s="3">
        <v>0</v>
      </c>
      <c r="AG110" s="3">
        <v>0</v>
      </c>
      <c r="AH110" s="3" t="s">
        <v>17</v>
      </c>
      <c r="AI110" s="3" t="s">
        <v>778</v>
      </c>
      <c r="AK110" s="3" t="s">
        <v>194</v>
      </c>
    </row>
    <row r="111" spans="1:39" x14ac:dyDescent="0.25">
      <c r="A111" t="s">
        <v>1339</v>
      </c>
      <c r="B111" s="7">
        <v>43330</v>
      </c>
      <c r="C111" s="7" t="s">
        <v>844</v>
      </c>
      <c r="D111" s="68" t="s">
        <v>6</v>
      </c>
      <c r="E111" s="3" t="s">
        <v>65</v>
      </c>
      <c r="F111" s="3" t="s">
        <v>8</v>
      </c>
      <c r="G111" s="3" t="s">
        <v>8</v>
      </c>
      <c r="H111" s="9">
        <v>38.832999999999998</v>
      </c>
      <c r="I111" s="9">
        <v>1.3903000000000001</v>
      </c>
      <c r="J111" s="3">
        <v>1</v>
      </c>
      <c r="K111" s="3">
        <v>1</v>
      </c>
      <c r="L111" s="3">
        <v>0</v>
      </c>
      <c r="M111" s="3">
        <v>0</v>
      </c>
      <c r="N111" s="3" t="s">
        <v>66</v>
      </c>
      <c r="O111" s="3">
        <v>0</v>
      </c>
      <c r="P111" s="3">
        <v>1</v>
      </c>
      <c r="Q111" s="3">
        <v>0</v>
      </c>
      <c r="R111" s="3">
        <v>1</v>
      </c>
      <c r="S111" s="3">
        <v>0</v>
      </c>
      <c r="T111" s="3">
        <v>0</v>
      </c>
      <c r="U111" s="3">
        <v>0</v>
      </c>
      <c r="V111" s="3">
        <v>0</v>
      </c>
      <c r="W111" s="3" t="s">
        <v>6</v>
      </c>
      <c r="X111" s="3">
        <v>0</v>
      </c>
      <c r="Y111" s="3">
        <v>0</v>
      </c>
      <c r="Z111" s="3">
        <v>0</v>
      </c>
      <c r="AA111" s="3">
        <v>0</v>
      </c>
      <c r="AB111" s="3">
        <v>0</v>
      </c>
      <c r="AC111" s="3">
        <v>0</v>
      </c>
      <c r="AD111" s="3">
        <v>0</v>
      </c>
      <c r="AE111" s="3">
        <v>0</v>
      </c>
      <c r="AF111" s="3">
        <v>0</v>
      </c>
      <c r="AG111" s="3">
        <v>0</v>
      </c>
      <c r="AH111" s="3" t="s">
        <v>775</v>
      </c>
      <c r="AI111" s="3" t="s">
        <v>81</v>
      </c>
      <c r="AK111" t="s">
        <v>298</v>
      </c>
      <c r="AL111" s="3" t="s">
        <v>33</v>
      </c>
      <c r="AM111" t="s">
        <v>22</v>
      </c>
    </row>
    <row r="112" spans="1:39" x14ac:dyDescent="0.25">
      <c r="A112" t="s">
        <v>1023</v>
      </c>
      <c r="B112" s="7">
        <v>43331</v>
      </c>
      <c r="C112" s="7" t="s">
        <v>844</v>
      </c>
      <c r="D112" s="3" t="s">
        <v>6</v>
      </c>
      <c r="E112" s="3" t="s">
        <v>357</v>
      </c>
      <c r="F112" s="3" t="s">
        <v>23</v>
      </c>
      <c r="G112" s="3" t="s">
        <v>23</v>
      </c>
      <c r="H112" s="9">
        <v>37.728474304583798</v>
      </c>
      <c r="I112" s="9">
        <v>-0.78185611703749802</v>
      </c>
      <c r="J112" s="3">
        <v>1</v>
      </c>
      <c r="K112" s="3">
        <v>1</v>
      </c>
      <c r="L112" s="3">
        <v>0</v>
      </c>
      <c r="M112" s="3">
        <v>0</v>
      </c>
      <c r="N112" s="3" t="s">
        <v>6</v>
      </c>
      <c r="O112" s="3">
        <v>0</v>
      </c>
      <c r="P112" s="3">
        <v>1</v>
      </c>
      <c r="Q112" s="3">
        <v>0</v>
      </c>
      <c r="R112" s="3">
        <v>1</v>
      </c>
      <c r="S112" s="3">
        <v>0</v>
      </c>
      <c r="T112" s="3">
        <v>0</v>
      </c>
      <c r="U112" s="3">
        <v>0</v>
      </c>
      <c r="V112" s="3">
        <v>0</v>
      </c>
      <c r="W112" s="3" t="s">
        <v>6</v>
      </c>
      <c r="X112" s="3">
        <v>1</v>
      </c>
      <c r="Y112" s="3">
        <v>0</v>
      </c>
      <c r="Z112" s="3">
        <v>0</v>
      </c>
      <c r="AA112" s="3">
        <v>1</v>
      </c>
      <c r="AB112" s="3">
        <v>0</v>
      </c>
      <c r="AC112" s="3">
        <v>0</v>
      </c>
      <c r="AD112" s="3">
        <v>0</v>
      </c>
      <c r="AE112" s="3">
        <v>0</v>
      </c>
      <c r="AF112" s="3">
        <v>0</v>
      </c>
      <c r="AG112" s="3">
        <v>0</v>
      </c>
      <c r="AH112" s="3" t="s">
        <v>17</v>
      </c>
      <c r="AI112" s="3" t="s">
        <v>780</v>
      </c>
      <c r="AK112" s="3" t="s">
        <v>358</v>
      </c>
      <c r="AL112" s="3" t="s">
        <v>240</v>
      </c>
    </row>
    <row r="113" spans="1:39" x14ac:dyDescent="0.25">
      <c r="A113" t="s">
        <v>1335</v>
      </c>
      <c r="B113" s="7">
        <v>43333</v>
      </c>
      <c r="C113" s="7" t="s">
        <v>844</v>
      </c>
      <c r="D113" s="68" t="s">
        <v>6</v>
      </c>
      <c r="E113" s="3" t="s">
        <v>41</v>
      </c>
      <c r="F113" s="3" t="s">
        <v>25</v>
      </c>
      <c r="G113" s="3" t="s">
        <v>19</v>
      </c>
      <c r="H113" s="9">
        <v>38.258699999999997</v>
      </c>
      <c r="I113" s="9">
        <v>-0.51539999999999997</v>
      </c>
      <c r="J113" s="3">
        <v>1</v>
      </c>
      <c r="K113" s="3">
        <v>1</v>
      </c>
      <c r="L113" s="3">
        <v>0</v>
      </c>
      <c r="M113" s="3">
        <v>0</v>
      </c>
      <c r="N113" s="3" t="s">
        <v>16</v>
      </c>
      <c r="O113" s="3">
        <v>0</v>
      </c>
      <c r="P113" s="3">
        <v>0</v>
      </c>
      <c r="Q113" s="3">
        <v>1</v>
      </c>
      <c r="R113" s="3">
        <v>0</v>
      </c>
      <c r="S113" s="3">
        <v>0</v>
      </c>
      <c r="T113" s="3">
        <v>0</v>
      </c>
      <c r="U113" s="3">
        <v>0</v>
      </c>
      <c r="V113" s="3">
        <v>1</v>
      </c>
      <c r="W113" s="3" t="s">
        <v>6</v>
      </c>
      <c r="X113" s="3">
        <v>0</v>
      </c>
      <c r="Y113" s="3">
        <v>0</v>
      </c>
      <c r="Z113" s="3">
        <v>0</v>
      </c>
      <c r="AA113" s="3">
        <v>0</v>
      </c>
      <c r="AB113" s="3">
        <v>0</v>
      </c>
      <c r="AC113" s="3">
        <v>0</v>
      </c>
      <c r="AD113" s="3">
        <v>0</v>
      </c>
      <c r="AE113" s="3">
        <v>0</v>
      </c>
      <c r="AF113" s="3">
        <v>0</v>
      </c>
      <c r="AG113" s="3">
        <v>0</v>
      </c>
      <c r="AH113" s="3" t="s">
        <v>775</v>
      </c>
      <c r="AI113" s="3" t="s">
        <v>81</v>
      </c>
      <c r="AK113" t="s">
        <v>297</v>
      </c>
      <c r="AL113" s="3" t="s">
        <v>22</v>
      </c>
      <c r="AM113" t="s">
        <v>22</v>
      </c>
    </row>
    <row r="114" spans="1:39" x14ac:dyDescent="0.25">
      <c r="A114" t="s">
        <v>1100</v>
      </c>
      <c r="B114" s="7">
        <v>43333</v>
      </c>
      <c r="C114" s="7" t="s">
        <v>844</v>
      </c>
      <c r="D114" s="3" t="s">
        <v>6</v>
      </c>
      <c r="E114" s="3" t="s">
        <v>83</v>
      </c>
      <c r="F114" s="3" t="s">
        <v>25</v>
      </c>
      <c r="G114" s="3" t="s">
        <v>19</v>
      </c>
      <c r="H114" s="9">
        <v>38.678375804546299</v>
      </c>
      <c r="I114" s="9">
        <v>0.138785592515654</v>
      </c>
      <c r="J114" s="3">
        <v>1</v>
      </c>
      <c r="K114" s="3">
        <v>1</v>
      </c>
      <c r="L114" s="3">
        <v>0</v>
      </c>
      <c r="M114" s="3">
        <v>0</v>
      </c>
      <c r="N114" s="3" t="s">
        <v>66</v>
      </c>
      <c r="O114" s="3">
        <v>0</v>
      </c>
      <c r="P114" s="3">
        <v>1</v>
      </c>
      <c r="Q114" s="3">
        <v>0</v>
      </c>
      <c r="R114" s="3">
        <v>1</v>
      </c>
      <c r="S114" s="3">
        <v>0</v>
      </c>
      <c r="T114" s="3">
        <v>0</v>
      </c>
      <c r="U114" s="3">
        <v>0</v>
      </c>
      <c r="V114" s="3">
        <v>0</v>
      </c>
      <c r="W114" s="3" t="s">
        <v>6</v>
      </c>
      <c r="X114" s="3">
        <v>1</v>
      </c>
      <c r="Y114" s="3">
        <v>0</v>
      </c>
      <c r="Z114" s="3">
        <v>0</v>
      </c>
      <c r="AA114" s="3">
        <v>1</v>
      </c>
      <c r="AB114" s="3">
        <v>0</v>
      </c>
      <c r="AC114" s="3">
        <v>0</v>
      </c>
      <c r="AD114" s="3">
        <v>0</v>
      </c>
      <c r="AE114" s="3">
        <v>0</v>
      </c>
      <c r="AF114" s="3">
        <v>0</v>
      </c>
      <c r="AG114" s="3">
        <v>0</v>
      </c>
      <c r="AH114" s="3" t="s">
        <v>17</v>
      </c>
      <c r="AI114" s="3" t="s">
        <v>776</v>
      </c>
      <c r="AK114" s="3" t="s">
        <v>494</v>
      </c>
      <c r="AL114" s="3" t="s">
        <v>463</v>
      </c>
    </row>
    <row r="115" spans="1:39" x14ac:dyDescent="0.25">
      <c r="A115" t="s">
        <v>1052</v>
      </c>
      <c r="B115" s="7">
        <v>43334</v>
      </c>
      <c r="C115" s="7" t="s">
        <v>844</v>
      </c>
      <c r="D115" s="3" t="s">
        <v>6</v>
      </c>
      <c r="E115" s="3" t="s">
        <v>410</v>
      </c>
      <c r="F115" s="3" t="s">
        <v>69</v>
      </c>
      <c r="G115" s="3" t="s">
        <v>20</v>
      </c>
      <c r="H115" s="9">
        <v>40.884476962236199</v>
      </c>
      <c r="I115" s="9">
        <v>0.80712431861006795</v>
      </c>
      <c r="J115" s="3">
        <v>1</v>
      </c>
      <c r="K115" s="3">
        <v>1</v>
      </c>
      <c r="L115" s="3">
        <v>0</v>
      </c>
      <c r="M115" s="3">
        <v>0</v>
      </c>
      <c r="N115" s="3" t="s">
        <v>16</v>
      </c>
      <c r="O115" s="3">
        <v>0</v>
      </c>
      <c r="P115" s="3">
        <v>0</v>
      </c>
      <c r="Q115" s="3">
        <v>1</v>
      </c>
      <c r="R115" s="3">
        <v>0</v>
      </c>
      <c r="S115" s="3">
        <v>0</v>
      </c>
      <c r="T115" s="3">
        <v>0</v>
      </c>
      <c r="U115" s="3">
        <v>0</v>
      </c>
      <c r="V115" s="3">
        <v>1</v>
      </c>
      <c r="W115" s="3" t="s">
        <v>6</v>
      </c>
      <c r="X115" s="3">
        <v>0</v>
      </c>
      <c r="Y115" s="3">
        <v>0</v>
      </c>
      <c r="Z115" s="3">
        <v>0</v>
      </c>
      <c r="AA115" s="3">
        <v>0</v>
      </c>
      <c r="AB115" s="3">
        <v>0</v>
      </c>
      <c r="AC115" s="3">
        <v>0</v>
      </c>
      <c r="AD115" s="3">
        <v>0</v>
      </c>
      <c r="AE115" s="3">
        <v>0</v>
      </c>
      <c r="AF115" s="3">
        <v>0</v>
      </c>
      <c r="AG115" s="3">
        <v>0</v>
      </c>
      <c r="AH115" s="3" t="s">
        <v>17</v>
      </c>
      <c r="AI115" s="3" t="s">
        <v>778</v>
      </c>
      <c r="AK115" s="3" t="s">
        <v>411</v>
      </c>
    </row>
    <row r="116" spans="1:39" x14ac:dyDescent="0.25">
      <c r="A116" t="s">
        <v>1297</v>
      </c>
      <c r="B116" s="7">
        <v>43334</v>
      </c>
      <c r="C116" s="7" t="s">
        <v>844</v>
      </c>
      <c r="D116" s="3" t="s">
        <v>6</v>
      </c>
      <c r="E116" s="3" t="s">
        <v>881</v>
      </c>
      <c r="F116" s="3" t="s">
        <v>59</v>
      </c>
      <c r="G116" s="3" t="s">
        <v>20</v>
      </c>
      <c r="H116" s="9">
        <v>42.283846069486003</v>
      </c>
      <c r="I116" s="9">
        <v>3.3042911433782298</v>
      </c>
      <c r="J116" s="3">
        <v>1</v>
      </c>
      <c r="K116" s="3">
        <v>1</v>
      </c>
      <c r="L116" s="3">
        <v>0</v>
      </c>
      <c r="M116" s="3">
        <v>0</v>
      </c>
      <c r="N116" s="3" t="s">
        <v>16</v>
      </c>
      <c r="O116" s="3">
        <v>0</v>
      </c>
      <c r="P116" s="3">
        <v>1</v>
      </c>
      <c r="Q116" s="3">
        <v>0</v>
      </c>
      <c r="R116" s="3">
        <v>1</v>
      </c>
      <c r="S116" s="3">
        <v>0</v>
      </c>
      <c r="T116" s="3">
        <v>0</v>
      </c>
      <c r="U116" s="3">
        <v>0</v>
      </c>
      <c r="V116" s="3">
        <v>0</v>
      </c>
      <c r="W116" s="3" t="s">
        <v>6</v>
      </c>
      <c r="X116" s="3">
        <v>1</v>
      </c>
      <c r="Y116" s="3">
        <v>0</v>
      </c>
      <c r="Z116" s="3">
        <v>0</v>
      </c>
      <c r="AA116" s="3">
        <v>1</v>
      </c>
      <c r="AB116" s="3">
        <v>0</v>
      </c>
      <c r="AC116" s="3">
        <v>0</v>
      </c>
      <c r="AD116" s="3">
        <v>0</v>
      </c>
      <c r="AE116" s="3">
        <v>0</v>
      </c>
      <c r="AF116" s="3">
        <v>0</v>
      </c>
      <c r="AG116" s="3">
        <v>0</v>
      </c>
      <c r="AH116" s="3" t="s">
        <v>775</v>
      </c>
      <c r="AI116" s="3" t="s">
        <v>759</v>
      </c>
      <c r="AK116" s="3" t="s">
        <v>882</v>
      </c>
      <c r="AL116" s="3" t="s">
        <v>883</v>
      </c>
    </row>
    <row r="117" spans="1:39" x14ac:dyDescent="0.25">
      <c r="A117" t="s">
        <v>1409</v>
      </c>
      <c r="B117" s="8">
        <v>43335</v>
      </c>
      <c r="C117" s="8" t="s">
        <v>844</v>
      </c>
      <c r="D117" s="3" t="s">
        <v>6</v>
      </c>
      <c r="E117" s="3" t="s">
        <v>92</v>
      </c>
      <c r="F117" s="3" t="s">
        <v>24</v>
      </c>
      <c r="G117" s="3" t="s">
        <v>20</v>
      </c>
      <c r="H117" s="9">
        <v>41.448106757462398</v>
      </c>
      <c r="I117" s="9">
        <v>2.2537084796833202</v>
      </c>
      <c r="J117" s="3">
        <v>1</v>
      </c>
      <c r="K117" s="3">
        <v>0</v>
      </c>
      <c r="L117" s="3">
        <v>0</v>
      </c>
      <c r="M117" s="3">
        <v>1</v>
      </c>
      <c r="N117" s="3" t="s">
        <v>6</v>
      </c>
      <c r="O117" s="3">
        <v>0</v>
      </c>
      <c r="P117" s="3">
        <v>0</v>
      </c>
      <c r="Q117" s="3">
        <v>1</v>
      </c>
      <c r="R117" s="3">
        <v>0</v>
      </c>
      <c r="S117" s="3">
        <v>0</v>
      </c>
      <c r="T117" s="3">
        <v>0</v>
      </c>
      <c r="U117" s="3">
        <v>0</v>
      </c>
      <c r="V117" s="3">
        <v>1</v>
      </c>
      <c r="W117" s="3" t="s">
        <v>6</v>
      </c>
      <c r="X117" s="3">
        <v>0</v>
      </c>
      <c r="Y117" s="3">
        <v>0</v>
      </c>
      <c r="Z117" s="3">
        <v>0</v>
      </c>
      <c r="AA117" s="3">
        <v>0</v>
      </c>
      <c r="AB117" s="3">
        <v>0</v>
      </c>
      <c r="AC117" s="3">
        <v>0</v>
      </c>
      <c r="AD117" s="3">
        <v>0</v>
      </c>
      <c r="AE117" s="3">
        <v>0</v>
      </c>
      <c r="AF117" s="3">
        <v>0</v>
      </c>
      <c r="AG117" s="3">
        <v>0</v>
      </c>
      <c r="AH117" s="3" t="s">
        <v>17</v>
      </c>
      <c r="AI117" s="3" t="s">
        <v>778</v>
      </c>
      <c r="AK117" s="3" t="s">
        <v>195</v>
      </c>
      <c r="AL117" s="3" t="s">
        <v>243</v>
      </c>
    </row>
    <row r="118" spans="1:39" x14ac:dyDescent="0.25">
      <c r="A118" t="s">
        <v>1337</v>
      </c>
      <c r="B118" s="7">
        <v>43336</v>
      </c>
      <c r="C118" s="7" t="s">
        <v>844</v>
      </c>
      <c r="D118" s="68" t="s">
        <v>6</v>
      </c>
      <c r="E118" s="3" t="s">
        <v>63</v>
      </c>
      <c r="F118" s="3" t="s">
        <v>24</v>
      </c>
      <c r="G118" s="3" t="s">
        <v>20</v>
      </c>
      <c r="H118" s="9">
        <v>41.467998653522201</v>
      </c>
      <c r="I118" s="9">
        <v>2.2866362424903399</v>
      </c>
      <c r="J118" s="3">
        <v>1</v>
      </c>
      <c r="K118" s="3">
        <v>1</v>
      </c>
      <c r="L118" s="3">
        <v>0</v>
      </c>
      <c r="M118" s="3">
        <v>0</v>
      </c>
      <c r="N118" s="3" t="s">
        <v>6</v>
      </c>
      <c r="O118" s="3">
        <v>0</v>
      </c>
      <c r="P118" s="3">
        <v>0</v>
      </c>
      <c r="Q118" s="3">
        <v>1</v>
      </c>
      <c r="R118" s="3">
        <v>0</v>
      </c>
      <c r="S118" s="3">
        <v>0</v>
      </c>
      <c r="T118" s="3">
        <v>0</v>
      </c>
      <c r="U118" s="3">
        <v>0</v>
      </c>
      <c r="V118" s="3">
        <v>1</v>
      </c>
      <c r="W118" s="3" t="s">
        <v>6</v>
      </c>
      <c r="X118" s="3">
        <v>0</v>
      </c>
      <c r="Y118" s="3">
        <v>0</v>
      </c>
      <c r="Z118" s="3">
        <v>0</v>
      </c>
      <c r="AA118" s="3">
        <v>0</v>
      </c>
      <c r="AB118" s="3">
        <v>0</v>
      </c>
      <c r="AC118" s="3">
        <v>0</v>
      </c>
      <c r="AD118" s="3">
        <v>0</v>
      </c>
      <c r="AE118" s="3">
        <v>0</v>
      </c>
      <c r="AF118" s="3">
        <v>0</v>
      </c>
      <c r="AG118" s="3">
        <v>0</v>
      </c>
      <c r="AH118" s="3" t="s">
        <v>775</v>
      </c>
      <c r="AI118" s="3" t="s">
        <v>81</v>
      </c>
      <c r="AK118" t="s">
        <v>312</v>
      </c>
      <c r="AL118" s="3" t="s">
        <v>32</v>
      </c>
      <c r="AM118" t="s">
        <v>22</v>
      </c>
    </row>
    <row r="119" spans="1:39" x14ac:dyDescent="0.25">
      <c r="A119" t="s">
        <v>1135</v>
      </c>
      <c r="B119" s="7">
        <v>43336</v>
      </c>
      <c r="C119" s="7" t="s">
        <v>844</v>
      </c>
      <c r="D119" s="3" t="s">
        <v>6</v>
      </c>
      <c r="E119" s="3" t="s">
        <v>618</v>
      </c>
      <c r="F119" s="3" t="s">
        <v>78</v>
      </c>
      <c r="G119" s="3" t="s">
        <v>19</v>
      </c>
      <c r="H119" s="9">
        <v>39.939288024468603</v>
      </c>
      <c r="I119" s="9">
        <v>1.7203203248403701E-3</v>
      </c>
      <c r="J119" s="3">
        <v>1</v>
      </c>
      <c r="K119" s="3">
        <v>1</v>
      </c>
      <c r="L119" s="3">
        <v>0</v>
      </c>
      <c r="M119" s="3">
        <v>0</v>
      </c>
      <c r="N119" s="3" t="s">
        <v>66</v>
      </c>
      <c r="O119" s="3">
        <v>0</v>
      </c>
      <c r="P119" s="3">
        <v>0</v>
      </c>
      <c r="Q119" s="3">
        <v>1</v>
      </c>
      <c r="R119" s="3">
        <v>0</v>
      </c>
      <c r="S119" s="3">
        <v>0</v>
      </c>
      <c r="T119" s="3">
        <v>0</v>
      </c>
      <c r="U119" s="3">
        <v>0</v>
      </c>
      <c r="V119" s="3">
        <v>1</v>
      </c>
      <c r="W119" s="3" t="s">
        <v>6</v>
      </c>
      <c r="X119" s="3">
        <v>0</v>
      </c>
      <c r="Y119" s="3">
        <v>0</v>
      </c>
      <c r="Z119" s="3">
        <v>0</v>
      </c>
      <c r="AA119" s="3">
        <v>0</v>
      </c>
      <c r="AB119" s="3">
        <v>0</v>
      </c>
      <c r="AC119" s="3">
        <v>0</v>
      </c>
      <c r="AD119" s="3">
        <v>0</v>
      </c>
      <c r="AE119" s="3">
        <v>0</v>
      </c>
      <c r="AF119" s="3">
        <v>0</v>
      </c>
      <c r="AG119" s="3">
        <v>0</v>
      </c>
      <c r="AH119" s="3" t="s">
        <v>17</v>
      </c>
      <c r="AI119" s="3" t="s">
        <v>776</v>
      </c>
      <c r="AK119" s="3" t="s">
        <v>619</v>
      </c>
      <c r="AL119" s="3" t="s">
        <v>249</v>
      </c>
    </row>
    <row r="120" spans="1:39" x14ac:dyDescent="0.25">
      <c r="A120" t="s">
        <v>1410</v>
      </c>
      <c r="B120" s="8">
        <v>43337</v>
      </c>
      <c r="C120" s="8" t="s">
        <v>844</v>
      </c>
      <c r="D120" s="3" t="s">
        <v>6</v>
      </c>
      <c r="E120" s="3" t="s">
        <v>120</v>
      </c>
      <c r="F120" s="3" t="s">
        <v>24</v>
      </c>
      <c r="G120" s="3" t="s">
        <v>20</v>
      </c>
      <c r="H120" s="9">
        <v>41.566685095404701</v>
      </c>
      <c r="I120" s="9">
        <v>2.52544230649724</v>
      </c>
      <c r="J120" s="3">
        <v>1</v>
      </c>
      <c r="K120" s="3">
        <v>1</v>
      </c>
      <c r="L120" s="3">
        <v>0</v>
      </c>
      <c r="M120" s="3">
        <v>0</v>
      </c>
      <c r="N120" s="3" t="s">
        <v>16</v>
      </c>
      <c r="O120" s="3">
        <v>0</v>
      </c>
      <c r="P120" s="3">
        <v>0</v>
      </c>
      <c r="Q120" s="3">
        <v>1</v>
      </c>
      <c r="R120" s="3">
        <v>0</v>
      </c>
      <c r="S120" s="3">
        <v>0</v>
      </c>
      <c r="T120" s="3">
        <v>0</v>
      </c>
      <c r="U120" s="3">
        <v>0</v>
      </c>
      <c r="V120" s="3">
        <v>1</v>
      </c>
      <c r="W120" s="3" t="s">
        <v>6</v>
      </c>
      <c r="X120" s="3">
        <v>0</v>
      </c>
      <c r="Y120" s="3">
        <v>0</v>
      </c>
      <c r="Z120" s="3">
        <v>0</v>
      </c>
      <c r="AA120" s="3">
        <v>0</v>
      </c>
      <c r="AB120" s="3">
        <v>0</v>
      </c>
      <c r="AC120" s="3">
        <v>0</v>
      </c>
      <c r="AD120" s="3">
        <v>0</v>
      </c>
      <c r="AE120" s="3">
        <v>0</v>
      </c>
      <c r="AF120" s="3">
        <v>0</v>
      </c>
      <c r="AG120" s="3">
        <v>0</v>
      </c>
      <c r="AH120" s="3" t="s">
        <v>17</v>
      </c>
      <c r="AI120" s="3" t="s">
        <v>778</v>
      </c>
      <c r="AK120" s="3" t="s">
        <v>196</v>
      </c>
    </row>
    <row r="121" spans="1:39" x14ac:dyDescent="0.25">
      <c r="A121" t="s">
        <v>1022</v>
      </c>
      <c r="B121" s="7">
        <v>43338</v>
      </c>
      <c r="C121" s="7" t="s">
        <v>844</v>
      </c>
      <c r="D121" s="4">
        <v>0.43541666666666662</v>
      </c>
      <c r="E121" s="3" t="s">
        <v>355</v>
      </c>
      <c r="F121" s="3" t="s">
        <v>24</v>
      </c>
      <c r="G121" s="3" t="s">
        <v>20</v>
      </c>
      <c r="H121" s="9">
        <v>41.502216284088398</v>
      </c>
      <c r="I121" s="9">
        <v>2.3953131868315301</v>
      </c>
      <c r="J121" s="3">
        <v>1</v>
      </c>
      <c r="K121" s="3">
        <v>1</v>
      </c>
      <c r="L121" s="3">
        <v>0</v>
      </c>
      <c r="M121" s="3">
        <v>0</v>
      </c>
      <c r="N121" s="3" t="s">
        <v>16</v>
      </c>
      <c r="O121" s="3">
        <v>0</v>
      </c>
      <c r="P121" s="3">
        <v>0</v>
      </c>
      <c r="Q121" s="3">
        <v>1</v>
      </c>
      <c r="R121" s="3">
        <v>1</v>
      </c>
      <c r="S121" s="3">
        <v>0</v>
      </c>
      <c r="T121" s="3">
        <v>0</v>
      </c>
      <c r="U121" s="3">
        <v>0</v>
      </c>
      <c r="V121" s="3">
        <v>0</v>
      </c>
      <c r="W121" s="3" t="s">
        <v>6</v>
      </c>
      <c r="X121" s="3">
        <v>0</v>
      </c>
      <c r="Y121" s="3">
        <v>0</v>
      </c>
      <c r="Z121" s="3">
        <v>0</v>
      </c>
      <c r="AA121" s="3">
        <v>0</v>
      </c>
      <c r="AB121" s="3">
        <v>0</v>
      </c>
      <c r="AC121" s="3">
        <v>0</v>
      </c>
      <c r="AD121" s="3">
        <v>0</v>
      </c>
      <c r="AE121" s="3">
        <v>0</v>
      </c>
      <c r="AF121" s="3">
        <v>0</v>
      </c>
      <c r="AG121" s="3">
        <v>0</v>
      </c>
      <c r="AH121" s="3" t="s">
        <v>17</v>
      </c>
      <c r="AI121" s="3" t="s">
        <v>780</v>
      </c>
      <c r="AK121" s="3" t="s">
        <v>356</v>
      </c>
      <c r="AL121" s="3" t="s">
        <v>249</v>
      </c>
    </row>
    <row r="122" spans="1:39" x14ac:dyDescent="0.25">
      <c r="A122" t="s">
        <v>1306</v>
      </c>
      <c r="B122" s="7">
        <v>43339</v>
      </c>
      <c r="C122" s="7" t="s">
        <v>844</v>
      </c>
      <c r="D122" s="3" t="s">
        <v>6</v>
      </c>
      <c r="E122" s="3" t="s">
        <v>902</v>
      </c>
      <c r="F122" s="3" t="s">
        <v>24</v>
      </c>
      <c r="G122" s="3" t="s">
        <v>20</v>
      </c>
      <c r="H122" s="9">
        <v>41.2307871715388</v>
      </c>
      <c r="I122" s="9">
        <v>1.8011953605748301</v>
      </c>
      <c r="J122" s="3">
        <v>1</v>
      </c>
      <c r="K122" s="3">
        <v>1</v>
      </c>
      <c r="L122" s="3">
        <v>0</v>
      </c>
      <c r="M122" s="3">
        <v>0</v>
      </c>
      <c r="N122" s="3" t="s">
        <v>16</v>
      </c>
      <c r="O122" s="3">
        <v>0</v>
      </c>
      <c r="P122" s="3">
        <v>1</v>
      </c>
      <c r="Q122" s="3">
        <v>0</v>
      </c>
      <c r="R122" s="3">
        <v>1</v>
      </c>
      <c r="S122" s="3">
        <v>0</v>
      </c>
      <c r="T122" s="3">
        <v>0</v>
      </c>
      <c r="U122" s="3">
        <v>0</v>
      </c>
      <c r="V122" s="3">
        <v>0</v>
      </c>
      <c r="W122" s="3" t="s">
        <v>6</v>
      </c>
      <c r="X122" s="3">
        <v>0</v>
      </c>
      <c r="Y122" s="3">
        <v>0</v>
      </c>
      <c r="Z122" s="3">
        <v>0</v>
      </c>
      <c r="AA122" s="3">
        <v>0</v>
      </c>
      <c r="AB122" s="3">
        <v>0</v>
      </c>
      <c r="AC122" s="3">
        <v>0</v>
      </c>
      <c r="AD122" s="3">
        <v>0</v>
      </c>
      <c r="AE122" s="3">
        <v>0</v>
      </c>
      <c r="AF122" s="3">
        <v>0</v>
      </c>
      <c r="AG122" s="3">
        <v>0</v>
      </c>
      <c r="AH122" s="3" t="s">
        <v>17</v>
      </c>
      <c r="AI122" s="3" t="s">
        <v>776</v>
      </c>
      <c r="AK122" s="3" t="s">
        <v>903</v>
      </c>
      <c r="AL122" s="3" t="s">
        <v>316</v>
      </c>
    </row>
    <row r="123" spans="1:39" x14ac:dyDescent="0.25">
      <c r="A123" t="s">
        <v>992</v>
      </c>
      <c r="B123" s="8">
        <v>43341</v>
      </c>
      <c r="C123" s="8" t="s">
        <v>844</v>
      </c>
      <c r="D123" s="3" t="s">
        <v>6</v>
      </c>
      <c r="E123" s="6" t="s">
        <v>130</v>
      </c>
      <c r="F123" s="6" t="s">
        <v>59</v>
      </c>
      <c r="G123" s="3" t="s">
        <v>20</v>
      </c>
      <c r="H123" s="9">
        <v>42.339481971596598</v>
      </c>
      <c r="I123" s="9">
        <v>3.2496963483839898</v>
      </c>
      <c r="J123" s="6">
        <v>2</v>
      </c>
      <c r="K123" s="3">
        <v>2</v>
      </c>
      <c r="L123" s="3">
        <v>0</v>
      </c>
      <c r="M123" s="3">
        <v>0</v>
      </c>
      <c r="N123" s="3" t="s">
        <v>66</v>
      </c>
      <c r="O123" s="3">
        <v>1</v>
      </c>
      <c r="P123" s="3">
        <v>1</v>
      </c>
      <c r="Q123" s="3">
        <v>0</v>
      </c>
      <c r="R123" s="3">
        <v>2</v>
      </c>
      <c r="S123" s="3">
        <v>0</v>
      </c>
      <c r="T123" s="3">
        <v>0</v>
      </c>
      <c r="U123" s="3">
        <v>0</v>
      </c>
      <c r="V123" s="3">
        <v>0</v>
      </c>
      <c r="W123" s="3" t="s">
        <v>6</v>
      </c>
      <c r="X123" s="3">
        <v>1</v>
      </c>
      <c r="Y123" s="3">
        <v>1</v>
      </c>
      <c r="Z123" s="3">
        <v>0</v>
      </c>
      <c r="AA123" s="3">
        <v>0</v>
      </c>
      <c r="AB123" s="3">
        <v>0</v>
      </c>
      <c r="AC123" s="3">
        <v>0</v>
      </c>
      <c r="AD123" s="3">
        <v>0</v>
      </c>
      <c r="AE123" s="3">
        <v>0</v>
      </c>
      <c r="AF123" s="3">
        <v>0</v>
      </c>
      <c r="AG123" s="3">
        <v>0</v>
      </c>
      <c r="AH123" s="3" t="s">
        <v>233</v>
      </c>
      <c r="AI123" s="3" t="s">
        <v>788</v>
      </c>
      <c r="AK123" s="3" t="s">
        <v>239</v>
      </c>
      <c r="AL123" s="3" t="s">
        <v>234</v>
      </c>
    </row>
    <row r="124" spans="1:39" x14ac:dyDescent="0.25">
      <c r="A124" t="s">
        <v>983</v>
      </c>
      <c r="B124" s="8">
        <v>43342</v>
      </c>
      <c r="C124" s="8" t="s">
        <v>844</v>
      </c>
      <c r="D124" s="3" t="s">
        <v>6</v>
      </c>
      <c r="E124" s="3" t="s">
        <v>116</v>
      </c>
      <c r="F124" s="3" t="s">
        <v>59</v>
      </c>
      <c r="G124" s="3" t="s">
        <v>20</v>
      </c>
      <c r="H124" s="9">
        <v>41.681280586909601</v>
      </c>
      <c r="I124" s="9">
        <v>2.8148396981514301</v>
      </c>
      <c r="J124" s="3">
        <v>1</v>
      </c>
      <c r="K124" s="6">
        <v>1</v>
      </c>
      <c r="L124" s="3">
        <v>0</v>
      </c>
      <c r="M124" s="3">
        <v>0</v>
      </c>
      <c r="N124" s="3" t="s">
        <v>66</v>
      </c>
      <c r="O124" s="3">
        <v>0</v>
      </c>
      <c r="P124" s="3">
        <v>0</v>
      </c>
      <c r="Q124" s="3">
        <v>1</v>
      </c>
      <c r="R124" s="3">
        <v>0</v>
      </c>
      <c r="S124" s="3">
        <v>0</v>
      </c>
      <c r="T124" s="3">
        <v>0</v>
      </c>
      <c r="U124" s="3">
        <v>0</v>
      </c>
      <c r="V124" s="3">
        <v>1</v>
      </c>
      <c r="W124" s="3" t="s">
        <v>6</v>
      </c>
      <c r="X124" s="3">
        <v>0</v>
      </c>
      <c r="Y124" s="3">
        <v>0</v>
      </c>
      <c r="Z124" s="3">
        <v>0</v>
      </c>
      <c r="AA124" s="3">
        <v>0</v>
      </c>
      <c r="AB124" s="3">
        <v>0</v>
      </c>
      <c r="AC124" s="3">
        <v>0</v>
      </c>
      <c r="AD124" s="3">
        <v>0</v>
      </c>
      <c r="AE124" s="3">
        <v>0</v>
      </c>
      <c r="AF124" s="3">
        <v>0</v>
      </c>
      <c r="AG124" s="3">
        <v>0</v>
      </c>
      <c r="AH124" s="3" t="s">
        <v>17</v>
      </c>
      <c r="AI124" s="3" t="s">
        <v>776</v>
      </c>
      <c r="AK124" s="3" t="s">
        <v>226</v>
      </c>
    </row>
    <row r="125" spans="1:39" x14ac:dyDescent="0.25">
      <c r="A125" t="s">
        <v>1285</v>
      </c>
      <c r="B125" s="7">
        <v>43342</v>
      </c>
      <c r="C125" s="7" t="s">
        <v>844</v>
      </c>
      <c r="D125" s="3" t="s">
        <v>6</v>
      </c>
      <c r="F125" s="3" t="s">
        <v>6</v>
      </c>
      <c r="G125" s="3" t="s">
        <v>6</v>
      </c>
      <c r="J125" s="3">
        <v>1</v>
      </c>
      <c r="K125" s="3">
        <v>1</v>
      </c>
      <c r="L125" s="3">
        <v>0</v>
      </c>
      <c r="M125" s="3">
        <v>0</v>
      </c>
      <c r="N125" s="3" t="s">
        <v>16</v>
      </c>
      <c r="O125" s="3">
        <v>0</v>
      </c>
      <c r="P125" s="3">
        <v>1</v>
      </c>
      <c r="Q125" s="3">
        <v>0</v>
      </c>
      <c r="R125" s="3">
        <v>1</v>
      </c>
      <c r="S125" s="3">
        <v>0</v>
      </c>
      <c r="T125" s="3">
        <v>0</v>
      </c>
      <c r="U125" s="3">
        <v>0</v>
      </c>
      <c r="V125" s="3">
        <v>0</v>
      </c>
      <c r="W125" s="3" t="s">
        <v>6</v>
      </c>
      <c r="X125" s="3">
        <v>0</v>
      </c>
      <c r="Y125" s="3">
        <v>0</v>
      </c>
      <c r="Z125" s="3">
        <v>0</v>
      </c>
      <c r="AA125" s="3">
        <v>0</v>
      </c>
      <c r="AB125" s="3">
        <v>0</v>
      </c>
      <c r="AC125" s="3">
        <v>0</v>
      </c>
      <c r="AD125" s="3">
        <v>0</v>
      </c>
      <c r="AE125" s="3">
        <v>0</v>
      </c>
      <c r="AF125" s="3">
        <v>0</v>
      </c>
      <c r="AG125" s="3">
        <v>0</v>
      </c>
      <c r="AH125" s="3" t="s">
        <v>17</v>
      </c>
      <c r="AI125" s="3" t="s">
        <v>776</v>
      </c>
      <c r="AK125" s="3" t="s">
        <v>859</v>
      </c>
      <c r="AL125" s="3" t="s">
        <v>860</v>
      </c>
    </row>
    <row r="126" spans="1:39" x14ac:dyDescent="0.25">
      <c r="A126" t="s">
        <v>1411</v>
      </c>
      <c r="B126" s="8">
        <v>43345</v>
      </c>
      <c r="C126" s="8" t="s">
        <v>844</v>
      </c>
      <c r="D126" s="3" t="s">
        <v>6</v>
      </c>
      <c r="E126" s="3" t="s">
        <v>121</v>
      </c>
      <c r="F126" s="3" t="s">
        <v>59</v>
      </c>
      <c r="G126" s="3" t="s">
        <v>20</v>
      </c>
      <c r="H126" s="9">
        <v>41.6984667252881</v>
      </c>
      <c r="I126" s="9">
        <v>2.85111550131086</v>
      </c>
      <c r="J126" s="3">
        <v>1</v>
      </c>
      <c r="K126" s="3">
        <v>1</v>
      </c>
      <c r="L126" s="3">
        <v>0</v>
      </c>
      <c r="M126" s="3">
        <v>0</v>
      </c>
      <c r="N126" s="3" t="s">
        <v>66</v>
      </c>
      <c r="O126" s="3">
        <v>0</v>
      </c>
      <c r="P126" s="3">
        <v>0</v>
      </c>
      <c r="Q126" s="3">
        <v>1</v>
      </c>
      <c r="R126" s="3">
        <v>0</v>
      </c>
      <c r="S126" s="3">
        <v>0</v>
      </c>
      <c r="T126" s="3">
        <v>0</v>
      </c>
      <c r="U126" s="3">
        <v>0</v>
      </c>
      <c r="V126" s="3">
        <v>1</v>
      </c>
      <c r="W126" s="3" t="s">
        <v>6</v>
      </c>
      <c r="X126" s="3">
        <v>1</v>
      </c>
      <c r="Y126" s="3">
        <v>0</v>
      </c>
      <c r="Z126" s="3">
        <v>0</v>
      </c>
      <c r="AA126" s="3">
        <v>0</v>
      </c>
      <c r="AB126" s="3">
        <v>0</v>
      </c>
      <c r="AC126" s="3">
        <v>0</v>
      </c>
      <c r="AD126" s="3">
        <v>1</v>
      </c>
      <c r="AE126" s="3">
        <v>0</v>
      </c>
      <c r="AF126" s="3">
        <v>0</v>
      </c>
      <c r="AG126" s="3">
        <v>0</v>
      </c>
      <c r="AH126" s="3" t="s">
        <v>17</v>
      </c>
      <c r="AI126" s="3" t="s">
        <v>776</v>
      </c>
      <c r="AK126" s="3" t="s">
        <v>197</v>
      </c>
      <c r="AL126" s="3" t="s">
        <v>254</v>
      </c>
    </row>
    <row r="127" spans="1:39" x14ac:dyDescent="0.25">
      <c r="A127" t="s">
        <v>1347</v>
      </c>
      <c r="B127" s="7">
        <v>43347</v>
      </c>
      <c r="C127" s="7" t="s">
        <v>844</v>
      </c>
      <c r="D127" s="68" t="s">
        <v>6</v>
      </c>
      <c r="E127" s="3" t="s">
        <v>75</v>
      </c>
      <c r="F127" s="3" t="s">
        <v>8</v>
      </c>
      <c r="G127" s="3" t="s">
        <v>8</v>
      </c>
      <c r="H127" s="9">
        <v>39.693899999999999</v>
      </c>
      <c r="I127" s="9">
        <v>2.52</v>
      </c>
      <c r="J127" s="3">
        <v>1</v>
      </c>
      <c r="K127" s="3">
        <v>1</v>
      </c>
      <c r="L127" s="3">
        <v>0</v>
      </c>
      <c r="M127" s="3">
        <v>0</v>
      </c>
      <c r="N127" s="3" t="s">
        <v>6</v>
      </c>
      <c r="O127" s="3">
        <v>0</v>
      </c>
      <c r="P127" s="3">
        <v>0</v>
      </c>
      <c r="Q127" s="3">
        <v>1</v>
      </c>
      <c r="R127" s="3">
        <v>0</v>
      </c>
      <c r="S127" s="3">
        <v>0</v>
      </c>
      <c r="T127" s="3">
        <v>0</v>
      </c>
      <c r="U127" s="3">
        <v>0</v>
      </c>
      <c r="V127" s="3">
        <v>1</v>
      </c>
      <c r="W127" s="3" t="s">
        <v>6</v>
      </c>
      <c r="X127" s="3">
        <v>0</v>
      </c>
      <c r="Y127" s="3">
        <v>0</v>
      </c>
      <c r="Z127" s="3">
        <v>0</v>
      </c>
      <c r="AA127" s="3">
        <v>0</v>
      </c>
      <c r="AB127" s="3">
        <v>0</v>
      </c>
      <c r="AC127" s="3">
        <v>0</v>
      </c>
      <c r="AD127" s="3">
        <v>0</v>
      </c>
      <c r="AE127" s="3">
        <v>0</v>
      </c>
      <c r="AF127" s="3">
        <v>0</v>
      </c>
      <c r="AG127" s="3">
        <v>0</v>
      </c>
      <c r="AH127" s="3" t="s">
        <v>775</v>
      </c>
      <c r="AI127" s="3" t="s">
        <v>81</v>
      </c>
      <c r="AK127" t="s">
        <v>305</v>
      </c>
      <c r="AL127" s="3" t="s">
        <v>39</v>
      </c>
      <c r="AM127" t="s">
        <v>22</v>
      </c>
    </row>
    <row r="128" spans="1:39" x14ac:dyDescent="0.25">
      <c r="A128" t="s">
        <v>1412</v>
      </c>
      <c r="B128" s="8">
        <v>43347</v>
      </c>
      <c r="C128" s="8" t="s">
        <v>844</v>
      </c>
      <c r="D128" s="3" t="s">
        <v>6</v>
      </c>
      <c r="E128" s="3" t="s">
        <v>122</v>
      </c>
      <c r="F128" s="3" t="s">
        <v>59</v>
      </c>
      <c r="G128" s="3" t="s">
        <v>20</v>
      </c>
      <c r="H128" s="9">
        <v>41.570238063253399</v>
      </c>
      <c r="I128" s="9">
        <v>2.5340904360988001</v>
      </c>
      <c r="J128" s="3">
        <v>1</v>
      </c>
      <c r="K128" s="3">
        <v>1</v>
      </c>
      <c r="L128" s="3">
        <v>0</v>
      </c>
      <c r="M128" s="3">
        <v>0</v>
      </c>
      <c r="N128" s="3" t="s">
        <v>6</v>
      </c>
      <c r="O128" s="3">
        <v>0</v>
      </c>
      <c r="P128" s="3">
        <v>0</v>
      </c>
      <c r="Q128" s="3">
        <v>1</v>
      </c>
      <c r="R128" s="3">
        <v>0</v>
      </c>
      <c r="S128" s="3">
        <v>0</v>
      </c>
      <c r="T128" s="3">
        <v>0</v>
      </c>
      <c r="U128" s="3">
        <v>0</v>
      </c>
      <c r="V128" s="3">
        <v>1</v>
      </c>
      <c r="W128" s="3" t="s">
        <v>6</v>
      </c>
      <c r="X128" s="3">
        <v>0</v>
      </c>
      <c r="Y128" s="3">
        <v>0</v>
      </c>
      <c r="Z128" s="3">
        <v>0</v>
      </c>
      <c r="AA128" s="3">
        <v>0</v>
      </c>
      <c r="AB128" s="3">
        <v>0</v>
      </c>
      <c r="AC128" s="3">
        <v>0</v>
      </c>
      <c r="AD128" s="3">
        <v>0</v>
      </c>
      <c r="AE128" s="3">
        <v>0</v>
      </c>
      <c r="AF128" s="3">
        <v>0</v>
      </c>
      <c r="AG128" s="3">
        <v>0</v>
      </c>
      <c r="AH128" s="3" t="s">
        <v>17</v>
      </c>
      <c r="AI128" s="3" t="s">
        <v>778</v>
      </c>
      <c r="AK128" s="3" t="s">
        <v>198</v>
      </c>
    </row>
    <row r="129" spans="1:39" x14ac:dyDescent="0.25">
      <c r="A129" t="s">
        <v>1092</v>
      </c>
      <c r="B129" s="7">
        <v>43353</v>
      </c>
      <c r="C129" s="7" t="s">
        <v>844</v>
      </c>
      <c r="D129" s="3" t="s">
        <v>6</v>
      </c>
      <c r="E129" s="3" t="s">
        <v>109</v>
      </c>
      <c r="F129" s="3" t="s">
        <v>57</v>
      </c>
      <c r="G129" s="3" t="s">
        <v>21</v>
      </c>
      <c r="H129" s="9">
        <v>36.722615388279799</v>
      </c>
      <c r="I129" s="9">
        <v>-3.7475008963898002</v>
      </c>
      <c r="J129" s="3">
        <v>1</v>
      </c>
      <c r="K129" s="3">
        <v>1</v>
      </c>
      <c r="L129" s="3">
        <v>0</v>
      </c>
      <c r="M129" s="3">
        <v>0</v>
      </c>
      <c r="N129" s="3" t="s">
        <v>16</v>
      </c>
      <c r="O129" s="3">
        <v>0</v>
      </c>
      <c r="P129" s="3">
        <v>1</v>
      </c>
      <c r="Q129" s="3">
        <v>0</v>
      </c>
      <c r="R129" s="3">
        <v>1</v>
      </c>
      <c r="S129" s="3">
        <v>0</v>
      </c>
      <c r="T129" s="3">
        <v>0</v>
      </c>
      <c r="U129" s="3">
        <v>0</v>
      </c>
      <c r="V129" s="3">
        <v>0</v>
      </c>
      <c r="W129" s="3" t="s">
        <v>6</v>
      </c>
      <c r="X129" s="3">
        <v>1</v>
      </c>
      <c r="Y129" s="3">
        <v>0</v>
      </c>
      <c r="Z129" s="3">
        <v>0</v>
      </c>
      <c r="AA129" s="3">
        <v>1</v>
      </c>
      <c r="AB129" s="3">
        <v>0</v>
      </c>
      <c r="AC129" s="3">
        <v>0</v>
      </c>
      <c r="AD129" s="3">
        <v>0</v>
      </c>
      <c r="AE129" s="3">
        <v>0</v>
      </c>
      <c r="AF129" s="3">
        <v>0</v>
      </c>
      <c r="AG129" s="3">
        <v>0</v>
      </c>
      <c r="AH129" s="3" t="s">
        <v>17</v>
      </c>
      <c r="AI129" s="3" t="s">
        <v>776</v>
      </c>
      <c r="AK129" s="3" t="s">
        <v>484</v>
      </c>
      <c r="AL129" s="3" t="s">
        <v>463</v>
      </c>
    </row>
    <row r="130" spans="1:39" x14ac:dyDescent="0.25">
      <c r="A130" t="s">
        <v>956</v>
      </c>
      <c r="B130" s="8">
        <v>43354</v>
      </c>
      <c r="C130" s="8" t="s">
        <v>844</v>
      </c>
      <c r="D130" s="3" t="s">
        <v>6</v>
      </c>
      <c r="E130" s="3" t="s">
        <v>122</v>
      </c>
      <c r="F130" s="3" t="s">
        <v>59</v>
      </c>
      <c r="G130" s="3" t="s">
        <v>20</v>
      </c>
      <c r="H130" s="9">
        <v>42.141203746387497</v>
      </c>
      <c r="I130" s="9">
        <v>3.1191321541039301</v>
      </c>
      <c r="J130" s="3">
        <v>1</v>
      </c>
      <c r="K130" s="3">
        <v>1</v>
      </c>
      <c r="L130" s="3">
        <v>0</v>
      </c>
      <c r="M130" s="3">
        <v>0</v>
      </c>
      <c r="N130" s="3" t="s">
        <v>16</v>
      </c>
      <c r="O130" s="3">
        <v>0</v>
      </c>
      <c r="P130" s="3">
        <v>0</v>
      </c>
      <c r="Q130" s="3">
        <v>1</v>
      </c>
      <c r="R130" s="3">
        <v>0</v>
      </c>
      <c r="S130" s="3">
        <v>0</v>
      </c>
      <c r="T130" s="3">
        <v>0</v>
      </c>
      <c r="U130" s="3">
        <v>0</v>
      </c>
      <c r="V130" s="3">
        <v>1</v>
      </c>
      <c r="W130" s="3" t="s">
        <v>6</v>
      </c>
      <c r="X130" s="3">
        <v>0</v>
      </c>
      <c r="Y130" s="3">
        <v>0</v>
      </c>
      <c r="Z130" s="3">
        <v>0</v>
      </c>
      <c r="AA130" s="3">
        <v>0</v>
      </c>
      <c r="AB130" s="3">
        <v>0</v>
      </c>
      <c r="AC130" s="3">
        <v>0</v>
      </c>
      <c r="AD130" s="3">
        <v>0</v>
      </c>
      <c r="AE130" s="3">
        <v>0</v>
      </c>
      <c r="AF130" s="3">
        <v>0</v>
      </c>
      <c r="AG130" s="3">
        <v>0</v>
      </c>
      <c r="AH130" s="3" t="s">
        <v>17</v>
      </c>
      <c r="AI130" s="3" t="s">
        <v>778</v>
      </c>
      <c r="AK130" s="3" t="s">
        <v>199</v>
      </c>
    </row>
    <row r="131" spans="1:39" x14ac:dyDescent="0.25">
      <c r="A131" t="s">
        <v>957</v>
      </c>
      <c r="B131" s="8">
        <v>43408</v>
      </c>
      <c r="C131" s="8" t="s">
        <v>844</v>
      </c>
      <c r="D131" s="3" t="s">
        <v>6</v>
      </c>
      <c r="E131" s="3" t="s">
        <v>67</v>
      </c>
      <c r="F131" s="3" t="s">
        <v>69</v>
      </c>
      <c r="G131" s="3" t="s">
        <v>20</v>
      </c>
      <c r="H131" s="9">
        <v>41.140504471331901</v>
      </c>
      <c r="I131" s="9">
        <v>1.40892143222323</v>
      </c>
      <c r="J131" s="3">
        <v>1</v>
      </c>
      <c r="K131" s="3">
        <v>1</v>
      </c>
      <c r="L131" s="3">
        <v>0</v>
      </c>
      <c r="M131" s="3">
        <v>0</v>
      </c>
      <c r="N131" s="3" t="s">
        <v>66</v>
      </c>
      <c r="O131" s="3">
        <v>0</v>
      </c>
      <c r="P131" s="3">
        <v>0</v>
      </c>
      <c r="Q131" s="3">
        <v>1</v>
      </c>
      <c r="R131" s="3">
        <v>0</v>
      </c>
      <c r="S131" s="3">
        <v>0</v>
      </c>
      <c r="T131" s="3">
        <v>0</v>
      </c>
      <c r="U131" s="3">
        <v>0</v>
      </c>
      <c r="V131" s="3">
        <v>1</v>
      </c>
      <c r="W131" s="3" t="s">
        <v>6</v>
      </c>
      <c r="X131" s="3">
        <v>0</v>
      </c>
      <c r="Y131" s="3">
        <v>0</v>
      </c>
      <c r="Z131" s="3">
        <v>0</v>
      </c>
      <c r="AA131" s="3">
        <v>0</v>
      </c>
      <c r="AB131" s="3">
        <v>0</v>
      </c>
      <c r="AC131" s="3">
        <v>0</v>
      </c>
      <c r="AD131" s="3">
        <v>0</v>
      </c>
      <c r="AE131" s="3">
        <v>0</v>
      </c>
      <c r="AF131" s="3">
        <v>0</v>
      </c>
      <c r="AG131" s="3">
        <v>0</v>
      </c>
      <c r="AH131" s="3" t="s">
        <v>17</v>
      </c>
      <c r="AI131" s="3" t="s">
        <v>777</v>
      </c>
      <c r="AK131" s="3" t="s">
        <v>200</v>
      </c>
    </row>
    <row r="132" spans="1:39" x14ac:dyDescent="0.25">
      <c r="A132" t="s">
        <v>958</v>
      </c>
      <c r="B132" s="8">
        <v>43411</v>
      </c>
      <c r="C132" s="8" t="s">
        <v>843</v>
      </c>
      <c r="D132" s="3" t="s">
        <v>6</v>
      </c>
      <c r="E132" s="3" t="s">
        <v>123</v>
      </c>
      <c r="F132" s="3" t="s">
        <v>23</v>
      </c>
      <c r="G132" s="3" t="s">
        <v>23</v>
      </c>
      <c r="H132" s="9">
        <v>37.537703269641199</v>
      </c>
      <c r="I132" s="9">
        <v>-1.1415961744989001</v>
      </c>
      <c r="J132" s="3">
        <v>1</v>
      </c>
      <c r="K132" s="3">
        <v>1</v>
      </c>
      <c r="L132" s="3">
        <v>0</v>
      </c>
      <c r="M132" s="3">
        <v>0</v>
      </c>
      <c r="N132" s="3" t="s">
        <v>66</v>
      </c>
      <c r="O132" s="3">
        <v>0</v>
      </c>
      <c r="P132" s="3">
        <v>1</v>
      </c>
      <c r="Q132" s="3">
        <v>0</v>
      </c>
      <c r="R132" s="3">
        <v>1</v>
      </c>
      <c r="S132" s="3">
        <v>0</v>
      </c>
      <c r="T132" s="3">
        <v>0</v>
      </c>
      <c r="U132" s="3">
        <v>0</v>
      </c>
      <c r="V132" s="3">
        <v>0</v>
      </c>
      <c r="W132" s="3" t="s">
        <v>6</v>
      </c>
      <c r="X132" s="3">
        <v>1</v>
      </c>
      <c r="Y132" s="3">
        <v>0</v>
      </c>
      <c r="Z132" s="3">
        <v>0</v>
      </c>
      <c r="AA132" s="3">
        <v>1</v>
      </c>
      <c r="AB132" s="3">
        <v>0</v>
      </c>
      <c r="AC132" s="3">
        <v>0</v>
      </c>
      <c r="AD132" s="3">
        <v>0</v>
      </c>
      <c r="AE132" s="3">
        <v>0</v>
      </c>
      <c r="AF132" s="3">
        <v>0</v>
      </c>
      <c r="AG132" s="3">
        <v>0</v>
      </c>
      <c r="AH132" s="3" t="s">
        <v>17</v>
      </c>
      <c r="AI132" s="3" t="s">
        <v>777</v>
      </c>
      <c r="AK132" s="3" t="s">
        <v>201</v>
      </c>
      <c r="AL132" s="3" t="s">
        <v>566</v>
      </c>
    </row>
    <row r="133" spans="1:39" x14ac:dyDescent="0.25">
      <c r="A133" t="s">
        <v>1150</v>
      </c>
      <c r="B133" s="7">
        <v>43428</v>
      </c>
      <c r="C133" s="7" t="s">
        <v>843</v>
      </c>
      <c r="D133" s="3" t="s">
        <v>6</v>
      </c>
      <c r="F133" s="3" t="s">
        <v>69</v>
      </c>
      <c r="G133" s="3" t="s">
        <v>20</v>
      </c>
      <c r="H133" s="9">
        <v>40.6</v>
      </c>
      <c r="I133" s="9">
        <v>1.35</v>
      </c>
      <c r="J133" s="3">
        <v>2</v>
      </c>
      <c r="K133" s="3">
        <v>0</v>
      </c>
      <c r="L133" s="3">
        <v>2</v>
      </c>
      <c r="M133" s="3">
        <v>0</v>
      </c>
      <c r="N133" s="3" t="s">
        <v>6</v>
      </c>
      <c r="O133" s="3">
        <v>0</v>
      </c>
      <c r="P133" s="3">
        <v>0</v>
      </c>
      <c r="Q133" s="3">
        <v>2</v>
      </c>
      <c r="R133" s="3">
        <v>2</v>
      </c>
      <c r="S133" s="3">
        <v>0</v>
      </c>
      <c r="T133" s="3">
        <v>0</v>
      </c>
      <c r="U133" s="3">
        <v>0</v>
      </c>
      <c r="V133" s="3">
        <v>0</v>
      </c>
      <c r="W133" s="3" t="s">
        <v>6</v>
      </c>
      <c r="X133" s="3">
        <v>0</v>
      </c>
      <c r="Y133" s="3">
        <v>0</v>
      </c>
      <c r="Z133" s="3">
        <v>0</v>
      </c>
      <c r="AA133" s="3">
        <v>0</v>
      </c>
      <c r="AB133" s="3">
        <v>0</v>
      </c>
      <c r="AC133" s="3">
        <v>0</v>
      </c>
      <c r="AD133" s="3">
        <v>0</v>
      </c>
      <c r="AE133" s="3">
        <v>0</v>
      </c>
      <c r="AF133" s="3">
        <v>0</v>
      </c>
      <c r="AG133" s="3">
        <v>0</v>
      </c>
      <c r="AH133" s="3" t="s">
        <v>633</v>
      </c>
      <c r="AI133" s="3" t="s">
        <v>683</v>
      </c>
      <c r="AK133" s="3" t="s">
        <v>783</v>
      </c>
      <c r="AL133" s="3" t="s">
        <v>682</v>
      </c>
    </row>
    <row r="134" spans="1:39" x14ac:dyDescent="0.25">
      <c r="A134" t="s">
        <v>1151</v>
      </c>
      <c r="B134" s="7">
        <v>43429</v>
      </c>
      <c r="C134" s="7" t="s">
        <v>843</v>
      </c>
      <c r="D134" s="3" t="s">
        <v>6</v>
      </c>
      <c r="F134" s="3" t="s">
        <v>78</v>
      </c>
      <c r="G134" s="3" t="s">
        <v>19</v>
      </c>
      <c r="H134" s="9">
        <v>40.140500000000003</v>
      </c>
      <c r="I134" s="9">
        <v>0.94481666666666597</v>
      </c>
      <c r="J134" s="3">
        <v>10</v>
      </c>
      <c r="K134" s="3">
        <v>0</v>
      </c>
      <c r="L134" s="3">
        <v>10</v>
      </c>
      <c r="M134" s="3">
        <v>0</v>
      </c>
      <c r="N134" s="3" t="s">
        <v>6</v>
      </c>
      <c r="O134" s="3">
        <v>0</v>
      </c>
      <c r="P134" s="3">
        <v>0</v>
      </c>
      <c r="Q134" s="3">
        <v>10</v>
      </c>
      <c r="R134" s="3">
        <v>10</v>
      </c>
      <c r="S134" s="3">
        <v>0</v>
      </c>
      <c r="T134" s="3">
        <v>0</v>
      </c>
      <c r="U134" s="3">
        <v>0</v>
      </c>
      <c r="V134" s="3">
        <v>0</v>
      </c>
      <c r="W134" s="3" t="s">
        <v>6</v>
      </c>
      <c r="X134" s="3">
        <v>0</v>
      </c>
      <c r="Y134" s="3">
        <v>0</v>
      </c>
      <c r="Z134" s="3">
        <v>0</v>
      </c>
      <c r="AA134" s="3">
        <v>0</v>
      </c>
      <c r="AB134" s="3">
        <v>0</v>
      </c>
      <c r="AC134" s="3">
        <v>0</v>
      </c>
      <c r="AD134" s="3">
        <v>0</v>
      </c>
      <c r="AE134" s="3">
        <v>0</v>
      </c>
      <c r="AF134" s="3">
        <v>0</v>
      </c>
      <c r="AG134" s="3">
        <v>0</v>
      </c>
      <c r="AH134" s="3" t="s">
        <v>633</v>
      </c>
      <c r="AI134" s="3" t="s">
        <v>683</v>
      </c>
      <c r="AK134" s="3" t="s">
        <v>783</v>
      </c>
      <c r="AL134" s="3" t="s">
        <v>682</v>
      </c>
    </row>
    <row r="135" spans="1:39" x14ac:dyDescent="0.25">
      <c r="A135" t="s">
        <v>1144</v>
      </c>
      <c r="B135" s="7">
        <v>43432</v>
      </c>
      <c r="C135" s="7" t="s">
        <v>843</v>
      </c>
      <c r="D135" s="3" t="s">
        <v>6</v>
      </c>
      <c r="F135" s="3" t="s">
        <v>69</v>
      </c>
      <c r="G135" s="3" t="s">
        <v>20</v>
      </c>
      <c r="H135" s="9">
        <v>41.0388333</v>
      </c>
      <c r="I135" s="9">
        <v>1.54833333333333</v>
      </c>
      <c r="J135" s="3">
        <v>1</v>
      </c>
      <c r="K135" s="3">
        <v>0</v>
      </c>
      <c r="L135" s="3">
        <v>1</v>
      </c>
      <c r="M135" s="3">
        <v>0</v>
      </c>
      <c r="N135" s="3" t="s">
        <v>6</v>
      </c>
      <c r="O135" s="3">
        <v>0</v>
      </c>
      <c r="P135" s="3">
        <v>0</v>
      </c>
      <c r="Q135" s="3">
        <v>1</v>
      </c>
      <c r="R135" s="3">
        <v>1</v>
      </c>
      <c r="S135" s="3">
        <v>0</v>
      </c>
      <c r="T135" s="3">
        <v>0</v>
      </c>
      <c r="U135" s="3">
        <v>0</v>
      </c>
      <c r="V135" s="3">
        <v>0</v>
      </c>
      <c r="W135" s="3" t="s">
        <v>6</v>
      </c>
      <c r="X135" s="3">
        <v>0</v>
      </c>
      <c r="Y135" s="3">
        <v>0</v>
      </c>
      <c r="Z135" s="3">
        <v>0</v>
      </c>
      <c r="AA135" s="3">
        <v>0</v>
      </c>
      <c r="AB135" s="3">
        <v>0</v>
      </c>
      <c r="AC135" s="3">
        <v>0</v>
      </c>
      <c r="AD135" s="3">
        <v>0</v>
      </c>
      <c r="AE135" s="3">
        <v>0</v>
      </c>
      <c r="AF135" s="3">
        <v>0</v>
      </c>
      <c r="AG135" s="3">
        <v>0</v>
      </c>
      <c r="AH135" s="3" t="s">
        <v>633</v>
      </c>
      <c r="AI135" s="3" t="s">
        <v>683</v>
      </c>
      <c r="AK135" s="3" t="s">
        <v>783</v>
      </c>
      <c r="AL135" s="3" t="s">
        <v>682</v>
      </c>
    </row>
    <row r="136" spans="1:39" x14ac:dyDescent="0.25">
      <c r="A136" t="s">
        <v>1145</v>
      </c>
      <c r="B136" s="7">
        <v>43433</v>
      </c>
      <c r="C136" s="7" t="s">
        <v>843</v>
      </c>
      <c r="D136" s="3" t="s">
        <v>6</v>
      </c>
      <c r="F136" s="3" t="s">
        <v>69</v>
      </c>
      <c r="G136" s="3" t="s">
        <v>20</v>
      </c>
      <c r="H136" s="9">
        <v>40.883333299999997</v>
      </c>
      <c r="I136" s="9">
        <v>0.99666666666666603</v>
      </c>
      <c r="J136" s="3">
        <v>4</v>
      </c>
      <c r="K136" s="3">
        <v>0</v>
      </c>
      <c r="L136" s="3">
        <v>4</v>
      </c>
      <c r="M136" s="3">
        <v>0</v>
      </c>
      <c r="N136" s="3" t="s">
        <v>6</v>
      </c>
      <c r="O136" s="3">
        <v>0</v>
      </c>
      <c r="P136" s="3">
        <v>0</v>
      </c>
      <c r="Q136" s="3">
        <v>4</v>
      </c>
      <c r="R136" s="3">
        <v>4</v>
      </c>
      <c r="S136" s="3">
        <v>0</v>
      </c>
      <c r="T136" s="3">
        <v>0</v>
      </c>
      <c r="U136" s="3">
        <v>0</v>
      </c>
      <c r="V136" s="3">
        <v>0</v>
      </c>
      <c r="W136" s="3" t="s">
        <v>6</v>
      </c>
      <c r="X136" s="3">
        <v>0</v>
      </c>
      <c r="Y136" s="3">
        <v>0</v>
      </c>
      <c r="Z136" s="3">
        <v>0</v>
      </c>
      <c r="AA136" s="3">
        <v>0</v>
      </c>
      <c r="AB136" s="3">
        <v>0</v>
      </c>
      <c r="AC136" s="3">
        <v>0</v>
      </c>
      <c r="AD136" s="3">
        <v>0</v>
      </c>
      <c r="AE136" s="3">
        <v>0</v>
      </c>
      <c r="AF136" s="3">
        <v>0</v>
      </c>
      <c r="AG136" s="3">
        <v>0</v>
      </c>
      <c r="AH136" s="3" t="s">
        <v>633</v>
      </c>
      <c r="AI136" s="3" t="s">
        <v>683</v>
      </c>
      <c r="AK136" s="3" t="s">
        <v>783</v>
      </c>
      <c r="AL136" s="3" t="s">
        <v>682</v>
      </c>
    </row>
    <row r="137" spans="1:39" x14ac:dyDescent="0.25">
      <c r="A137" t="s">
        <v>1029</v>
      </c>
      <c r="B137" s="7">
        <v>43492</v>
      </c>
      <c r="C137" s="7" t="s">
        <v>841</v>
      </c>
      <c r="D137" s="3" t="s">
        <v>6</v>
      </c>
      <c r="E137" s="3" t="s">
        <v>368</v>
      </c>
      <c r="F137" s="3" t="s">
        <v>87</v>
      </c>
      <c r="G137" s="3" t="s">
        <v>19</v>
      </c>
      <c r="H137" s="9">
        <v>39.677764284059798</v>
      </c>
      <c r="I137" s="9">
        <v>-0.201786165347179</v>
      </c>
      <c r="J137" s="3">
        <v>1</v>
      </c>
      <c r="K137" s="3">
        <v>1</v>
      </c>
      <c r="L137" s="3">
        <v>0</v>
      </c>
      <c r="M137" s="3">
        <v>0</v>
      </c>
      <c r="N137" s="3" t="s">
        <v>66</v>
      </c>
      <c r="O137" s="3">
        <v>0</v>
      </c>
      <c r="P137" s="3">
        <v>0</v>
      </c>
      <c r="Q137" s="3">
        <v>1</v>
      </c>
      <c r="R137" s="3">
        <v>0</v>
      </c>
      <c r="S137" s="3">
        <v>0</v>
      </c>
      <c r="T137" s="3">
        <v>0</v>
      </c>
      <c r="U137" s="3">
        <v>0</v>
      </c>
      <c r="V137" s="3">
        <v>1</v>
      </c>
      <c r="W137" s="3" t="s">
        <v>6</v>
      </c>
      <c r="X137" s="3">
        <v>1</v>
      </c>
      <c r="Y137" s="3">
        <v>0</v>
      </c>
      <c r="Z137" s="3">
        <v>0</v>
      </c>
      <c r="AA137" s="3">
        <v>0</v>
      </c>
      <c r="AB137" s="3">
        <v>0</v>
      </c>
      <c r="AC137" s="3">
        <v>0</v>
      </c>
      <c r="AD137" s="3">
        <v>0</v>
      </c>
      <c r="AE137" s="3">
        <v>0</v>
      </c>
      <c r="AF137" s="3">
        <v>0</v>
      </c>
      <c r="AG137" s="3">
        <v>0</v>
      </c>
      <c r="AH137" s="3" t="s">
        <v>17</v>
      </c>
      <c r="AI137" s="3" t="s">
        <v>780</v>
      </c>
      <c r="AK137" s="3" t="s">
        <v>367</v>
      </c>
      <c r="AL137" s="3" t="s">
        <v>369</v>
      </c>
    </row>
    <row r="138" spans="1:39" x14ac:dyDescent="0.25">
      <c r="A138" t="s">
        <v>977</v>
      </c>
      <c r="B138" s="8">
        <v>43641</v>
      </c>
      <c r="C138" s="8" t="s">
        <v>844</v>
      </c>
      <c r="D138" s="3" t="s">
        <v>6</v>
      </c>
      <c r="E138" s="3" t="s">
        <v>136</v>
      </c>
      <c r="F138" s="3" t="s">
        <v>25</v>
      </c>
      <c r="G138" s="3" t="s">
        <v>19</v>
      </c>
      <c r="H138" s="9">
        <v>38.799420065428798</v>
      </c>
      <c r="I138" s="9">
        <v>0.195238488444619</v>
      </c>
      <c r="J138" s="3">
        <v>1</v>
      </c>
      <c r="K138" s="6">
        <v>1</v>
      </c>
      <c r="L138" s="3">
        <v>0</v>
      </c>
      <c r="M138" s="3">
        <v>0</v>
      </c>
      <c r="N138" s="3" t="s">
        <v>66</v>
      </c>
      <c r="O138" s="3">
        <v>0</v>
      </c>
      <c r="P138" s="3">
        <v>1</v>
      </c>
      <c r="Q138" s="3">
        <v>0</v>
      </c>
      <c r="R138" s="3">
        <v>1</v>
      </c>
      <c r="S138" s="3">
        <v>0</v>
      </c>
      <c r="T138" s="3">
        <v>0</v>
      </c>
      <c r="U138" s="3">
        <v>0</v>
      </c>
      <c r="V138" s="3">
        <v>0</v>
      </c>
      <c r="W138" s="3" t="s">
        <v>6</v>
      </c>
      <c r="X138" s="3">
        <v>0</v>
      </c>
      <c r="Y138" s="3">
        <v>0</v>
      </c>
      <c r="Z138" s="3">
        <v>0</v>
      </c>
      <c r="AA138" s="3">
        <v>0</v>
      </c>
      <c r="AB138" s="3">
        <v>0</v>
      </c>
      <c r="AC138" s="3">
        <v>0</v>
      </c>
      <c r="AD138" s="3">
        <v>0</v>
      </c>
      <c r="AE138" s="3">
        <v>0</v>
      </c>
      <c r="AF138" s="3">
        <v>0</v>
      </c>
      <c r="AG138" s="3">
        <v>0</v>
      </c>
      <c r="AH138" s="3" t="s">
        <v>17</v>
      </c>
      <c r="AI138" s="3" t="s">
        <v>777</v>
      </c>
      <c r="AK138" s="3" t="s">
        <v>220</v>
      </c>
    </row>
    <row r="139" spans="1:39" x14ac:dyDescent="0.25">
      <c r="A139" t="s">
        <v>1082</v>
      </c>
      <c r="B139" s="7">
        <v>43659</v>
      </c>
      <c r="C139" s="7" t="s">
        <v>844</v>
      </c>
      <c r="D139" s="3" t="s">
        <v>6</v>
      </c>
      <c r="E139" s="3" t="s">
        <v>480</v>
      </c>
      <c r="F139" s="3" t="s">
        <v>78</v>
      </c>
      <c r="G139" s="3" t="s">
        <v>19</v>
      </c>
      <c r="H139" s="9">
        <v>39.900123568085199</v>
      </c>
      <c r="I139" s="9">
        <v>0.68335054620334801</v>
      </c>
      <c r="J139" s="3">
        <v>1</v>
      </c>
      <c r="K139" s="3">
        <v>1</v>
      </c>
      <c r="L139" s="3">
        <v>0</v>
      </c>
      <c r="M139" s="3">
        <v>0</v>
      </c>
      <c r="N139" s="3" t="s">
        <v>66</v>
      </c>
      <c r="O139" s="3">
        <v>0</v>
      </c>
      <c r="P139" s="3">
        <v>1</v>
      </c>
      <c r="Q139" s="3">
        <v>0</v>
      </c>
      <c r="R139" s="3">
        <v>1</v>
      </c>
      <c r="S139" s="3">
        <v>0</v>
      </c>
      <c r="T139" s="3">
        <v>0</v>
      </c>
      <c r="U139" s="3">
        <v>0</v>
      </c>
      <c r="V139" s="3">
        <v>0</v>
      </c>
      <c r="W139" s="3" t="s">
        <v>6</v>
      </c>
      <c r="X139" s="3">
        <v>1</v>
      </c>
      <c r="Y139" s="3">
        <v>0</v>
      </c>
      <c r="Z139" s="3">
        <v>0</v>
      </c>
      <c r="AA139" s="3">
        <v>1</v>
      </c>
      <c r="AB139" s="3">
        <v>0</v>
      </c>
      <c r="AC139" s="3">
        <v>0</v>
      </c>
      <c r="AD139" s="3">
        <v>0</v>
      </c>
      <c r="AE139" s="3">
        <v>0</v>
      </c>
      <c r="AF139" s="3">
        <v>0</v>
      </c>
      <c r="AG139" s="3">
        <v>0</v>
      </c>
      <c r="AH139" s="3" t="s">
        <v>17</v>
      </c>
      <c r="AI139" s="3" t="s">
        <v>780</v>
      </c>
      <c r="AK139" s="3" t="s">
        <v>462</v>
      </c>
      <c r="AL139" s="3" t="s">
        <v>463</v>
      </c>
    </row>
    <row r="140" spans="1:39" x14ac:dyDescent="0.25">
      <c r="A140" t="s">
        <v>1324</v>
      </c>
      <c r="B140" s="7">
        <v>43672</v>
      </c>
      <c r="C140" s="7" t="s">
        <v>844</v>
      </c>
      <c r="D140" s="68" t="s">
        <v>6</v>
      </c>
      <c r="E140" s="3" t="s">
        <v>52</v>
      </c>
      <c r="F140" s="3" t="s">
        <v>23</v>
      </c>
      <c r="G140" s="3" t="s">
        <v>23</v>
      </c>
      <c r="H140" s="9">
        <v>37.561861</v>
      </c>
      <c r="I140" s="9">
        <v>-1.1194470000000001</v>
      </c>
      <c r="J140" s="3">
        <v>1</v>
      </c>
      <c r="K140" s="3">
        <v>1</v>
      </c>
      <c r="L140" s="3">
        <v>0</v>
      </c>
      <c r="M140" s="3">
        <v>0</v>
      </c>
      <c r="N140" s="3" t="s">
        <v>66</v>
      </c>
      <c r="O140" s="3">
        <v>0</v>
      </c>
      <c r="P140" s="3">
        <v>1</v>
      </c>
      <c r="Q140" s="3">
        <v>0</v>
      </c>
      <c r="R140" s="3">
        <v>1</v>
      </c>
      <c r="S140" s="3">
        <v>0</v>
      </c>
      <c r="T140" s="3">
        <v>0</v>
      </c>
      <c r="U140" s="3">
        <v>0</v>
      </c>
      <c r="V140" s="3">
        <v>0</v>
      </c>
      <c r="W140" s="3" t="s">
        <v>6</v>
      </c>
      <c r="X140" s="3">
        <v>0</v>
      </c>
      <c r="Y140" s="3">
        <v>0</v>
      </c>
      <c r="Z140" s="3">
        <v>0</v>
      </c>
      <c r="AA140" s="3">
        <v>0</v>
      </c>
      <c r="AB140" s="3">
        <v>0</v>
      </c>
      <c r="AC140" s="3">
        <v>0</v>
      </c>
      <c r="AD140" s="3">
        <v>0</v>
      </c>
      <c r="AE140" s="3">
        <v>0</v>
      </c>
      <c r="AF140" s="3">
        <v>0</v>
      </c>
      <c r="AG140" s="3">
        <v>0</v>
      </c>
      <c r="AH140" s="3" t="s">
        <v>775</v>
      </c>
      <c r="AI140" s="3" t="s">
        <v>80</v>
      </c>
      <c r="AK140" t="s">
        <v>910</v>
      </c>
      <c r="AL140" s="3" t="s">
        <v>22</v>
      </c>
      <c r="AM140" t="s">
        <v>22</v>
      </c>
    </row>
    <row r="141" spans="1:39" x14ac:dyDescent="0.25">
      <c r="A141" t="s">
        <v>959</v>
      </c>
      <c r="B141" s="8">
        <v>43673</v>
      </c>
      <c r="C141" s="8" t="s">
        <v>844</v>
      </c>
      <c r="D141" s="3" t="s">
        <v>6</v>
      </c>
      <c r="E141" s="3" t="s">
        <v>71</v>
      </c>
      <c r="F141" s="3" t="s">
        <v>23</v>
      </c>
      <c r="G141" s="3" t="s">
        <v>23</v>
      </c>
      <c r="H141" s="9">
        <v>37.5528263439951</v>
      </c>
      <c r="I141" s="9">
        <v>-1.1719252357326</v>
      </c>
      <c r="J141" s="3">
        <v>1</v>
      </c>
      <c r="K141" s="3">
        <v>1</v>
      </c>
      <c r="L141" s="3">
        <v>0</v>
      </c>
      <c r="M141" s="3">
        <v>0</v>
      </c>
      <c r="N141" s="3" t="s">
        <v>66</v>
      </c>
      <c r="O141" s="3">
        <v>0</v>
      </c>
      <c r="P141" s="3">
        <v>0</v>
      </c>
      <c r="Q141" s="3">
        <v>1</v>
      </c>
      <c r="R141" s="3">
        <v>0</v>
      </c>
      <c r="S141" s="3">
        <v>0</v>
      </c>
      <c r="T141" s="3">
        <v>0</v>
      </c>
      <c r="U141" s="3">
        <v>0</v>
      </c>
      <c r="V141" s="3">
        <v>1</v>
      </c>
      <c r="W141" s="3" t="s">
        <v>6</v>
      </c>
      <c r="X141" s="3">
        <v>0</v>
      </c>
      <c r="Y141" s="3">
        <v>0</v>
      </c>
      <c r="Z141" s="3">
        <v>0</v>
      </c>
      <c r="AA141" s="3">
        <v>0</v>
      </c>
      <c r="AB141" s="3">
        <v>0</v>
      </c>
      <c r="AC141" s="3">
        <v>0</v>
      </c>
      <c r="AD141" s="3">
        <v>0</v>
      </c>
      <c r="AE141" s="3">
        <v>0</v>
      </c>
      <c r="AF141" s="3">
        <v>0</v>
      </c>
      <c r="AG141" s="3">
        <v>0</v>
      </c>
      <c r="AH141" s="3" t="s">
        <v>17</v>
      </c>
      <c r="AI141" s="3" t="s">
        <v>777</v>
      </c>
      <c r="AK141" s="3" t="s">
        <v>202</v>
      </c>
    </row>
    <row r="142" spans="1:39" x14ac:dyDescent="0.25">
      <c r="A142" t="s">
        <v>960</v>
      </c>
      <c r="B142" s="8">
        <v>43677</v>
      </c>
      <c r="C142" s="8" t="s">
        <v>844</v>
      </c>
      <c r="D142" s="3" t="s">
        <v>6</v>
      </c>
      <c r="E142" s="3" t="s">
        <v>123</v>
      </c>
      <c r="F142" s="3" t="s">
        <v>23</v>
      </c>
      <c r="G142" s="3" t="s">
        <v>23</v>
      </c>
      <c r="H142" s="9">
        <v>37.537703269641199</v>
      </c>
      <c r="I142" s="9">
        <v>-1.1415961744989001</v>
      </c>
      <c r="J142" s="3">
        <v>1</v>
      </c>
      <c r="K142" s="3">
        <v>1</v>
      </c>
      <c r="L142" s="3">
        <v>0</v>
      </c>
      <c r="M142" s="3">
        <v>0</v>
      </c>
      <c r="N142" s="3" t="s">
        <v>16</v>
      </c>
      <c r="O142" s="3">
        <v>0</v>
      </c>
      <c r="P142" s="3">
        <v>1</v>
      </c>
      <c r="Q142" s="3">
        <v>0</v>
      </c>
      <c r="R142" s="3">
        <v>1</v>
      </c>
      <c r="S142" s="3">
        <v>0</v>
      </c>
      <c r="T142" s="3">
        <v>0</v>
      </c>
      <c r="U142" s="3">
        <v>0</v>
      </c>
      <c r="V142" s="3">
        <v>0</v>
      </c>
      <c r="W142" s="3" t="s">
        <v>6</v>
      </c>
      <c r="X142" s="3">
        <v>0</v>
      </c>
      <c r="Y142" s="3">
        <v>0</v>
      </c>
      <c r="Z142" s="3">
        <v>0</v>
      </c>
      <c r="AA142" s="3">
        <v>0</v>
      </c>
      <c r="AB142" s="3">
        <v>0</v>
      </c>
      <c r="AC142" s="3">
        <v>0</v>
      </c>
      <c r="AD142" s="3">
        <v>0</v>
      </c>
      <c r="AE142" s="3">
        <v>0</v>
      </c>
      <c r="AF142" s="3">
        <v>0</v>
      </c>
      <c r="AG142" s="3">
        <v>0</v>
      </c>
      <c r="AH142" s="3" t="s">
        <v>17</v>
      </c>
      <c r="AI142" s="3" t="s">
        <v>777</v>
      </c>
      <c r="AK142" s="3" t="s">
        <v>203</v>
      </c>
    </row>
    <row r="143" spans="1:39" x14ac:dyDescent="0.25">
      <c r="A143" t="s">
        <v>961</v>
      </c>
      <c r="B143" s="8">
        <v>43682</v>
      </c>
      <c r="C143" s="8" t="s">
        <v>844</v>
      </c>
      <c r="D143" s="3" t="s">
        <v>6</v>
      </c>
      <c r="E143" s="3" t="s">
        <v>71</v>
      </c>
      <c r="F143" s="3" t="s">
        <v>23</v>
      </c>
      <c r="G143" s="3" t="s">
        <v>23</v>
      </c>
      <c r="H143" s="9">
        <v>37.539057932006202</v>
      </c>
      <c r="I143" s="9">
        <v>-1.1364350479298599</v>
      </c>
      <c r="J143" s="3">
        <v>1</v>
      </c>
      <c r="K143" s="3">
        <v>1</v>
      </c>
      <c r="L143" s="3">
        <v>0</v>
      </c>
      <c r="M143" s="3">
        <v>0</v>
      </c>
      <c r="N143" s="3" t="s">
        <v>66</v>
      </c>
      <c r="O143" s="3">
        <v>0</v>
      </c>
      <c r="P143" s="3">
        <v>0</v>
      </c>
      <c r="Q143" s="3">
        <v>1</v>
      </c>
      <c r="R143" s="3">
        <v>0</v>
      </c>
      <c r="S143" s="3">
        <v>0</v>
      </c>
      <c r="T143" s="3">
        <v>0</v>
      </c>
      <c r="U143" s="3">
        <v>0</v>
      </c>
      <c r="V143" s="3">
        <v>1</v>
      </c>
      <c r="W143" s="3" t="s">
        <v>6</v>
      </c>
      <c r="X143" s="3">
        <v>0</v>
      </c>
      <c r="Y143" s="3">
        <v>0</v>
      </c>
      <c r="Z143" s="3">
        <v>0</v>
      </c>
      <c r="AA143" s="3">
        <v>0</v>
      </c>
      <c r="AB143" s="3">
        <v>0</v>
      </c>
      <c r="AC143" s="3">
        <v>0</v>
      </c>
      <c r="AD143" s="3">
        <v>0</v>
      </c>
      <c r="AE143" s="3">
        <v>0</v>
      </c>
      <c r="AF143" s="3">
        <v>0</v>
      </c>
      <c r="AG143" s="3">
        <v>0</v>
      </c>
      <c r="AH143" s="3" t="s">
        <v>17</v>
      </c>
      <c r="AI143" s="3" t="s">
        <v>776</v>
      </c>
      <c r="AK143" s="3" t="s">
        <v>204</v>
      </c>
    </row>
    <row r="144" spans="1:39" x14ac:dyDescent="0.25">
      <c r="A144" t="s">
        <v>1334</v>
      </c>
      <c r="B144" s="7">
        <v>43684</v>
      </c>
      <c r="C144" s="7" t="s">
        <v>844</v>
      </c>
      <c r="D144" s="68" t="s">
        <v>6</v>
      </c>
      <c r="E144" s="3" t="s">
        <v>61</v>
      </c>
      <c r="F144" s="3" t="s">
        <v>8</v>
      </c>
      <c r="G144" s="3" t="s">
        <v>8</v>
      </c>
      <c r="H144" s="9">
        <v>39.462000000000003</v>
      </c>
      <c r="I144" s="9">
        <v>2.4714999999999998</v>
      </c>
      <c r="J144" s="3">
        <v>1</v>
      </c>
      <c r="K144" s="3">
        <v>1</v>
      </c>
      <c r="L144" s="3">
        <v>0</v>
      </c>
      <c r="M144" s="3">
        <v>0</v>
      </c>
      <c r="N144" s="3" t="s">
        <v>6</v>
      </c>
      <c r="O144" s="3">
        <v>0</v>
      </c>
      <c r="P144" s="3">
        <v>1</v>
      </c>
      <c r="Q144" s="3">
        <v>0</v>
      </c>
      <c r="R144" s="3">
        <v>0</v>
      </c>
      <c r="S144" s="3">
        <v>0</v>
      </c>
      <c r="T144" s="3">
        <v>0</v>
      </c>
      <c r="U144" s="3">
        <v>0</v>
      </c>
      <c r="V144" s="3">
        <v>1</v>
      </c>
      <c r="W144" s="3" t="s">
        <v>6</v>
      </c>
      <c r="X144" s="3">
        <v>0</v>
      </c>
      <c r="Y144" s="3">
        <v>0</v>
      </c>
      <c r="Z144" s="3">
        <v>0</v>
      </c>
      <c r="AA144" s="3">
        <v>0</v>
      </c>
      <c r="AB144" s="3">
        <v>0</v>
      </c>
      <c r="AC144" s="3">
        <v>0</v>
      </c>
      <c r="AD144" s="3">
        <v>0</v>
      </c>
      <c r="AE144" s="3">
        <v>0</v>
      </c>
      <c r="AF144" s="3">
        <v>0</v>
      </c>
      <c r="AG144" s="3">
        <v>0</v>
      </c>
      <c r="AH144" s="3" t="s">
        <v>775</v>
      </c>
      <c r="AI144" s="3" t="s">
        <v>81</v>
      </c>
      <c r="AK144" t="s">
        <v>302</v>
      </c>
      <c r="AL144" s="3" t="s">
        <v>22</v>
      </c>
      <c r="AM144" t="s">
        <v>22</v>
      </c>
    </row>
    <row r="145" spans="1:39" x14ac:dyDescent="0.25">
      <c r="A145" t="s">
        <v>962</v>
      </c>
      <c r="B145" s="8">
        <v>43685</v>
      </c>
      <c r="C145" s="8" t="s">
        <v>844</v>
      </c>
      <c r="D145" s="3" t="s">
        <v>6</v>
      </c>
      <c r="E145" s="3" t="s">
        <v>124</v>
      </c>
      <c r="F145" s="3" t="s">
        <v>23</v>
      </c>
      <c r="G145" s="3" t="s">
        <v>23</v>
      </c>
      <c r="H145" s="9">
        <v>37.562058724063498</v>
      </c>
      <c r="I145" s="9">
        <v>-1.31046536083979</v>
      </c>
      <c r="J145" s="3">
        <v>1</v>
      </c>
      <c r="K145" s="3">
        <v>1</v>
      </c>
      <c r="L145" s="3">
        <v>0</v>
      </c>
      <c r="M145" s="3">
        <v>0</v>
      </c>
      <c r="N145" s="3" t="s">
        <v>6</v>
      </c>
      <c r="O145" s="3">
        <v>0</v>
      </c>
      <c r="P145" s="3">
        <v>0</v>
      </c>
      <c r="Q145" s="3">
        <v>1</v>
      </c>
      <c r="R145" s="3">
        <v>0</v>
      </c>
      <c r="S145" s="3">
        <v>0</v>
      </c>
      <c r="T145" s="3">
        <v>0</v>
      </c>
      <c r="U145" s="3">
        <v>0</v>
      </c>
      <c r="V145" s="3">
        <v>1</v>
      </c>
      <c r="W145" s="3" t="s">
        <v>6</v>
      </c>
      <c r="X145" s="3">
        <v>0</v>
      </c>
      <c r="Y145" s="3">
        <v>0</v>
      </c>
      <c r="Z145" s="3">
        <v>0</v>
      </c>
      <c r="AA145" s="3">
        <v>0</v>
      </c>
      <c r="AB145" s="3">
        <v>0</v>
      </c>
      <c r="AC145" s="3">
        <v>0</v>
      </c>
      <c r="AD145" s="3">
        <v>0</v>
      </c>
      <c r="AE145" s="3">
        <v>0</v>
      </c>
      <c r="AF145" s="3">
        <v>0</v>
      </c>
      <c r="AG145" s="3">
        <v>0</v>
      </c>
      <c r="AH145" s="3" t="s">
        <v>17</v>
      </c>
      <c r="AI145" s="3" t="s">
        <v>778</v>
      </c>
      <c r="AK145" s="3" t="s">
        <v>205</v>
      </c>
    </row>
    <row r="146" spans="1:39" x14ac:dyDescent="0.25">
      <c r="A146" t="s">
        <v>980</v>
      </c>
      <c r="B146" s="8">
        <v>43688</v>
      </c>
      <c r="C146" s="8" t="s">
        <v>844</v>
      </c>
      <c r="D146" s="3" t="s">
        <v>6</v>
      </c>
      <c r="E146" s="3" t="s">
        <v>73</v>
      </c>
      <c r="F146" s="3" t="s">
        <v>8</v>
      </c>
      <c r="G146" s="3" t="s">
        <v>8</v>
      </c>
      <c r="H146" s="9">
        <v>39.960902495454597</v>
      </c>
      <c r="I146" s="9">
        <v>3.2056338686105699</v>
      </c>
      <c r="J146" s="3">
        <v>1</v>
      </c>
      <c r="K146" s="6">
        <v>1</v>
      </c>
      <c r="L146" s="3">
        <v>0</v>
      </c>
      <c r="M146" s="3">
        <v>0</v>
      </c>
      <c r="N146" s="3" t="s">
        <v>6</v>
      </c>
      <c r="O146" s="3">
        <v>0</v>
      </c>
      <c r="P146" s="3">
        <v>0</v>
      </c>
      <c r="Q146" s="3">
        <v>1</v>
      </c>
      <c r="R146" s="3">
        <v>0</v>
      </c>
      <c r="S146" s="3">
        <v>0</v>
      </c>
      <c r="T146" s="3">
        <v>0</v>
      </c>
      <c r="U146" s="3">
        <v>0</v>
      </c>
      <c r="V146" s="3">
        <v>1</v>
      </c>
      <c r="W146" s="3" t="s">
        <v>6</v>
      </c>
      <c r="X146" s="3">
        <v>0</v>
      </c>
      <c r="Y146" s="3">
        <v>0</v>
      </c>
      <c r="Z146" s="3">
        <v>0</v>
      </c>
      <c r="AA146" s="3">
        <v>0</v>
      </c>
      <c r="AB146" s="3">
        <v>0</v>
      </c>
      <c r="AC146" s="3">
        <v>0</v>
      </c>
      <c r="AD146" s="3">
        <v>0</v>
      </c>
      <c r="AE146" s="3">
        <v>0</v>
      </c>
      <c r="AF146" s="3">
        <v>0</v>
      </c>
      <c r="AG146" s="3">
        <v>0</v>
      </c>
      <c r="AH146" s="3" t="s">
        <v>17</v>
      </c>
      <c r="AI146" s="3" t="s">
        <v>776</v>
      </c>
      <c r="AK146" s="3" t="s">
        <v>223</v>
      </c>
      <c r="AL146" s="3" t="s">
        <v>140</v>
      </c>
    </row>
    <row r="147" spans="1:39" x14ac:dyDescent="0.25">
      <c r="A147" t="s">
        <v>1287</v>
      </c>
      <c r="B147" s="7">
        <v>43691</v>
      </c>
      <c r="C147" s="7" t="s">
        <v>844</v>
      </c>
      <c r="D147" s="3" t="s">
        <v>6</v>
      </c>
      <c r="F147" s="3" t="s">
        <v>47</v>
      </c>
      <c r="G147" s="3" t="s">
        <v>47</v>
      </c>
      <c r="H147" s="9">
        <v>36.834614554982998</v>
      </c>
      <c r="I147" s="9">
        <v>-2.4823521750093001</v>
      </c>
      <c r="J147" s="3">
        <v>1</v>
      </c>
      <c r="K147" s="3">
        <v>1</v>
      </c>
      <c r="L147" s="3">
        <v>0</v>
      </c>
      <c r="M147" s="3">
        <v>0</v>
      </c>
      <c r="N147" s="3" t="s">
        <v>16</v>
      </c>
      <c r="O147" s="3">
        <v>0</v>
      </c>
      <c r="P147" s="3">
        <v>1</v>
      </c>
      <c r="Q147" s="3">
        <v>0</v>
      </c>
      <c r="R147" s="3">
        <v>1</v>
      </c>
      <c r="S147" s="3">
        <v>0</v>
      </c>
      <c r="T147" s="3">
        <v>0</v>
      </c>
      <c r="U147" s="3">
        <v>0</v>
      </c>
      <c r="V147" s="3">
        <v>0</v>
      </c>
      <c r="W147" s="3" t="s">
        <v>6</v>
      </c>
      <c r="X147" s="3">
        <v>1</v>
      </c>
      <c r="Y147" s="3">
        <v>0</v>
      </c>
      <c r="Z147" s="3">
        <v>0</v>
      </c>
      <c r="AA147" s="3">
        <v>0</v>
      </c>
      <c r="AB147" s="3">
        <v>0</v>
      </c>
      <c r="AC147" s="3">
        <v>0</v>
      </c>
      <c r="AD147" s="3">
        <v>0</v>
      </c>
      <c r="AE147" s="3">
        <v>0</v>
      </c>
      <c r="AF147" s="3">
        <v>1</v>
      </c>
      <c r="AG147" s="3">
        <v>0</v>
      </c>
      <c r="AH147" s="3" t="s">
        <v>17</v>
      </c>
      <c r="AI147" s="3" t="s">
        <v>776</v>
      </c>
      <c r="AK147" s="3" t="s">
        <v>863</v>
      </c>
      <c r="AL147" s="3" t="s">
        <v>864</v>
      </c>
    </row>
    <row r="148" spans="1:39" x14ac:dyDescent="0.25">
      <c r="A148" t="s">
        <v>993</v>
      </c>
      <c r="B148" s="7">
        <v>43696</v>
      </c>
      <c r="C148" s="8" t="s">
        <v>844</v>
      </c>
      <c r="D148" s="3" t="s">
        <v>6</v>
      </c>
      <c r="E148" s="3" t="s">
        <v>289</v>
      </c>
      <c r="F148" s="3" t="s">
        <v>54</v>
      </c>
      <c r="G148" s="3" t="s">
        <v>21</v>
      </c>
      <c r="H148" s="9">
        <v>36.750545285336798</v>
      </c>
      <c r="I148" s="9">
        <v>-3.8182325415740901</v>
      </c>
      <c r="J148" s="3">
        <v>1</v>
      </c>
      <c r="K148" s="3">
        <v>1</v>
      </c>
      <c r="L148" s="3">
        <v>0</v>
      </c>
      <c r="M148" s="3">
        <v>0</v>
      </c>
      <c r="N148" s="3" t="s">
        <v>16</v>
      </c>
      <c r="O148" s="3">
        <v>0</v>
      </c>
      <c r="P148" s="3">
        <v>1</v>
      </c>
      <c r="Q148" s="3">
        <v>0</v>
      </c>
      <c r="R148" s="3">
        <v>1</v>
      </c>
      <c r="S148" s="3">
        <v>0</v>
      </c>
      <c r="T148" s="3">
        <v>0</v>
      </c>
      <c r="U148" s="3">
        <v>0</v>
      </c>
      <c r="V148" s="3">
        <v>0</v>
      </c>
      <c r="W148" s="3" t="s">
        <v>6</v>
      </c>
      <c r="X148" s="3">
        <v>1</v>
      </c>
      <c r="Y148" s="3">
        <v>0</v>
      </c>
      <c r="Z148" s="3">
        <v>0</v>
      </c>
      <c r="AA148" s="3">
        <v>1</v>
      </c>
      <c r="AB148" s="3">
        <v>0</v>
      </c>
      <c r="AC148" s="3">
        <v>0</v>
      </c>
      <c r="AD148" s="3">
        <v>0</v>
      </c>
      <c r="AE148" s="3">
        <v>0</v>
      </c>
      <c r="AF148" s="3">
        <v>0</v>
      </c>
      <c r="AG148" s="3">
        <v>0</v>
      </c>
      <c r="AH148" s="3" t="s">
        <v>775</v>
      </c>
      <c r="AI148" s="3" t="s">
        <v>81</v>
      </c>
      <c r="AK148" s="3" t="s">
        <v>290</v>
      </c>
      <c r="AL148" s="3" t="s">
        <v>240</v>
      </c>
    </row>
    <row r="149" spans="1:39" x14ac:dyDescent="0.25">
      <c r="A149" t="s">
        <v>1027</v>
      </c>
      <c r="B149" s="7">
        <v>43705</v>
      </c>
      <c r="C149" s="7" t="s">
        <v>844</v>
      </c>
      <c r="D149" s="3" t="s">
        <v>6</v>
      </c>
      <c r="E149" s="3" t="s">
        <v>109</v>
      </c>
      <c r="F149" s="3" t="s">
        <v>57</v>
      </c>
      <c r="G149" s="3" t="s">
        <v>21</v>
      </c>
      <c r="H149" s="9">
        <v>36.711880269369203</v>
      </c>
      <c r="I149" s="9">
        <v>-3.7417882708528998</v>
      </c>
      <c r="J149" s="3">
        <v>1</v>
      </c>
      <c r="K149" s="3">
        <v>1</v>
      </c>
      <c r="L149" s="3">
        <v>0</v>
      </c>
      <c r="M149" s="3">
        <v>0</v>
      </c>
      <c r="N149" s="3" t="s">
        <v>16</v>
      </c>
      <c r="O149" s="3">
        <v>0</v>
      </c>
      <c r="P149" s="3">
        <v>1</v>
      </c>
      <c r="Q149" s="3">
        <v>0</v>
      </c>
      <c r="R149" s="3">
        <v>1</v>
      </c>
      <c r="S149" s="3">
        <v>0</v>
      </c>
      <c r="T149" s="3">
        <v>0</v>
      </c>
      <c r="U149" s="3">
        <v>0</v>
      </c>
      <c r="V149" s="3">
        <v>0</v>
      </c>
      <c r="W149" s="3" t="s">
        <v>6</v>
      </c>
      <c r="X149" s="3">
        <v>1</v>
      </c>
      <c r="Y149" s="3">
        <v>0</v>
      </c>
      <c r="Z149" s="3">
        <v>0</v>
      </c>
      <c r="AA149" s="3">
        <v>1</v>
      </c>
      <c r="AB149" s="3">
        <v>0</v>
      </c>
      <c r="AC149" s="3">
        <v>0</v>
      </c>
      <c r="AD149" s="3">
        <v>0</v>
      </c>
      <c r="AE149" s="3">
        <v>0</v>
      </c>
      <c r="AF149" s="3">
        <v>0</v>
      </c>
      <c r="AG149" s="3">
        <v>0</v>
      </c>
      <c r="AH149" s="3" t="s">
        <v>17</v>
      </c>
      <c r="AI149" s="3" t="s">
        <v>780</v>
      </c>
      <c r="AK149" s="3" t="s">
        <v>363</v>
      </c>
      <c r="AL149" s="3" t="s">
        <v>364</v>
      </c>
    </row>
    <row r="150" spans="1:39" x14ac:dyDescent="0.25">
      <c r="A150" t="s">
        <v>1228</v>
      </c>
      <c r="B150" s="7">
        <v>43707</v>
      </c>
      <c r="C150" s="7" t="s">
        <v>844</v>
      </c>
      <c r="D150" s="3" t="s">
        <v>6</v>
      </c>
      <c r="E150" s="3" t="s">
        <v>726</v>
      </c>
      <c r="F150" s="3" t="s">
        <v>24</v>
      </c>
      <c r="G150" s="3" t="s">
        <v>20</v>
      </c>
      <c r="H150" s="9">
        <v>41.5250331077456</v>
      </c>
      <c r="I150" s="9">
        <v>2.4682865176832798</v>
      </c>
      <c r="J150" s="3">
        <v>1</v>
      </c>
      <c r="K150" s="3">
        <v>1</v>
      </c>
      <c r="L150" s="3">
        <v>0</v>
      </c>
      <c r="M150" s="3">
        <v>0</v>
      </c>
      <c r="N150" s="3" t="s">
        <v>66</v>
      </c>
      <c r="O150" s="3">
        <v>0</v>
      </c>
      <c r="P150" s="3">
        <v>1</v>
      </c>
      <c r="Q150" s="3">
        <v>0</v>
      </c>
      <c r="R150" s="3">
        <v>1</v>
      </c>
      <c r="S150" s="3">
        <v>0</v>
      </c>
      <c r="T150" s="3">
        <v>0</v>
      </c>
      <c r="U150" s="3">
        <v>0</v>
      </c>
      <c r="V150" s="3">
        <v>0</v>
      </c>
      <c r="W150" s="3" t="s">
        <v>6</v>
      </c>
      <c r="X150" s="3">
        <v>1</v>
      </c>
      <c r="Y150" s="3">
        <v>0</v>
      </c>
      <c r="Z150" s="3">
        <v>0</v>
      </c>
      <c r="AA150" s="3">
        <v>1</v>
      </c>
      <c r="AB150" s="3">
        <v>0</v>
      </c>
      <c r="AC150" s="3">
        <v>0</v>
      </c>
      <c r="AD150" s="3">
        <v>0</v>
      </c>
      <c r="AE150" s="3">
        <v>0</v>
      </c>
      <c r="AF150" s="3">
        <v>0</v>
      </c>
      <c r="AG150" s="3">
        <v>0</v>
      </c>
      <c r="AH150" s="3" t="s">
        <v>17</v>
      </c>
      <c r="AI150" s="3" t="s">
        <v>776</v>
      </c>
      <c r="AK150" s="3" t="s">
        <v>727</v>
      </c>
      <c r="AL150" s="3" t="s">
        <v>615</v>
      </c>
    </row>
    <row r="151" spans="1:39" x14ac:dyDescent="0.25">
      <c r="A151" t="s">
        <v>1099</v>
      </c>
      <c r="B151" s="7">
        <v>43925</v>
      </c>
      <c r="C151" s="7" t="s">
        <v>842</v>
      </c>
      <c r="D151" s="3" t="s">
        <v>6</v>
      </c>
      <c r="E151" s="3" t="s">
        <v>96</v>
      </c>
      <c r="F151" s="3" t="s">
        <v>59</v>
      </c>
      <c r="G151" s="3" t="s">
        <v>20</v>
      </c>
      <c r="H151" s="9">
        <v>41.721116490455699</v>
      </c>
      <c r="I151" s="9">
        <v>2.94121792608468</v>
      </c>
      <c r="J151" s="3">
        <v>1</v>
      </c>
      <c r="K151" s="3">
        <v>1</v>
      </c>
      <c r="L151" s="3">
        <v>0</v>
      </c>
      <c r="M151" s="3">
        <v>0</v>
      </c>
      <c r="N151" s="3" t="s">
        <v>66</v>
      </c>
      <c r="O151" s="3">
        <v>0</v>
      </c>
      <c r="P151" s="3">
        <v>1</v>
      </c>
      <c r="Q151" s="3">
        <v>0</v>
      </c>
      <c r="R151" s="3">
        <v>1</v>
      </c>
      <c r="S151" s="3">
        <v>0</v>
      </c>
      <c r="T151" s="3">
        <v>0</v>
      </c>
      <c r="U151" s="3">
        <v>0</v>
      </c>
      <c r="V151" s="3">
        <v>0</v>
      </c>
      <c r="W151" s="3" t="s">
        <v>6</v>
      </c>
      <c r="X151" s="3">
        <v>0</v>
      </c>
      <c r="Y151" s="3">
        <v>0</v>
      </c>
      <c r="Z151" s="3">
        <v>0</v>
      </c>
      <c r="AA151" s="3">
        <v>0</v>
      </c>
      <c r="AB151" s="3">
        <v>0</v>
      </c>
      <c r="AC151" s="3">
        <v>0</v>
      </c>
      <c r="AD151" s="3">
        <v>0</v>
      </c>
      <c r="AE151" s="3">
        <v>0</v>
      </c>
      <c r="AF151" s="3">
        <v>0</v>
      </c>
      <c r="AG151" s="3">
        <v>0</v>
      </c>
      <c r="AH151" s="3" t="s">
        <v>17</v>
      </c>
      <c r="AI151" s="3" t="s">
        <v>776</v>
      </c>
      <c r="AK151" s="3" t="s">
        <v>493</v>
      </c>
      <c r="AL151" s="3" t="s">
        <v>742</v>
      </c>
    </row>
    <row r="152" spans="1:39" x14ac:dyDescent="0.25">
      <c r="A152" t="s">
        <v>963</v>
      </c>
      <c r="B152" s="8">
        <v>43982</v>
      </c>
      <c r="C152" s="8" t="s">
        <v>842</v>
      </c>
      <c r="D152" s="3" t="s">
        <v>6</v>
      </c>
      <c r="E152" s="3" t="s">
        <v>125</v>
      </c>
      <c r="F152" s="3" t="s">
        <v>69</v>
      </c>
      <c r="G152" s="3" t="s">
        <v>20</v>
      </c>
      <c r="H152" s="9">
        <v>41.191310048699599</v>
      </c>
      <c r="I152" s="9">
        <v>1.6281975094894101</v>
      </c>
      <c r="J152" s="3">
        <v>1</v>
      </c>
      <c r="K152" s="3">
        <v>1</v>
      </c>
      <c r="L152" s="3">
        <v>0</v>
      </c>
      <c r="M152" s="3">
        <v>0</v>
      </c>
      <c r="N152" s="3" t="s">
        <v>6</v>
      </c>
      <c r="O152" s="3">
        <v>0</v>
      </c>
      <c r="P152" s="3">
        <v>0</v>
      </c>
      <c r="Q152" s="3">
        <v>1</v>
      </c>
      <c r="R152" s="3">
        <v>0</v>
      </c>
      <c r="S152" s="3">
        <v>0</v>
      </c>
      <c r="T152" s="3">
        <v>0</v>
      </c>
      <c r="U152" s="3">
        <v>0</v>
      </c>
      <c r="V152" s="3">
        <v>1</v>
      </c>
      <c r="W152" s="3" t="s">
        <v>6</v>
      </c>
      <c r="X152" s="3">
        <v>0</v>
      </c>
      <c r="Y152" s="3">
        <v>0</v>
      </c>
      <c r="Z152" s="3">
        <v>0</v>
      </c>
      <c r="AA152" s="3">
        <v>0</v>
      </c>
      <c r="AB152" s="3">
        <v>0</v>
      </c>
      <c r="AC152" s="3">
        <v>0</v>
      </c>
      <c r="AD152" s="3">
        <v>0</v>
      </c>
      <c r="AE152" s="3">
        <v>0</v>
      </c>
      <c r="AF152" s="3">
        <v>0</v>
      </c>
      <c r="AG152" s="3">
        <v>0</v>
      </c>
      <c r="AH152" s="3" t="s">
        <v>17</v>
      </c>
      <c r="AI152" s="3" t="s">
        <v>780</v>
      </c>
      <c r="AK152" s="3" t="s">
        <v>206</v>
      </c>
      <c r="AL152" s="3" t="s">
        <v>255</v>
      </c>
    </row>
    <row r="153" spans="1:39" x14ac:dyDescent="0.25">
      <c r="A153" t="s">
        <v>1108</v>
      </c>
      <c r="B153" s="7">
        <v>43988</v>
      </c>
      <c r="C153" s="7" t="s">
        <v>844</v>
      </c>
      <c r="D153" s="3" t="s">
        <v>6</v>
      </c>
      <c r="E153" s="3" t="s">
        <v>505</v>
      </c>
      <c r="F153" s="3" t="s">
        <v>25</v>
      </c>
      <c r="G153" s="3" t="s">
        <v>19</v>
      </c>
      <c r="H153" s="9">
        <v>38.269503017057403</v>
      </c>
      <c r="I153" s="9">
        <v>-0.51868664772304496</v>
      </c>
      <c r="J153" s="3">
        <v>1</v>
      </c>
      <c r="K153" s="3">
        <v>1</v>
      </c>
      <c r="L153" s="3">
        <v>0</v>
      </c>
      <c r="M153" s="3">
        <v>0</v>
      </c>
      <c r="N153" s="3" t="s">
        <v>66</v>
      </c>
      <c r="O153" s="3">
        <v>0</v>
      </c>
      <c r="P153" s="3">
        <v>0</v>
      </c>
      <c r="Q153" s="3">
        <v>1</v>
      </c>
      <c r="R153" s="3">
        <v>1</v>
      </c>
      <c r="S153" s="3">
        <v>0</v>
      </c>
      <c r="T153" s="3">
        <v>0</v>
      </c>
      <c r="U153" s="3">
        <v>0</v>
      </c>
      <c r="V153" s="3">
        <v>0</v>
      </c>
      <c r="W153" s="3" t="s">
        <v>6</v>
      </c>
      <c r="X153" s="3">
        <v>0</v>
      </c>
      <c r="Y153" s="3">
        <v>0</v>
      </c>
      <c r="Z153" s="3">
        <v>0</v>
      </c>
      <c r="AA153" s="3">
        <v>0</v>
      </c>
      <c r="AB153" s="3">
        <v>0</v>
      </c>
      <c r="AC153" s="3">
        <v>0</v>
      </c>
      <c r="AD153" s="3">
        <v>0</v>
      </c>
      <c r="AE153" s="3">
        <v>0</v>
      </c>
      <c r="AF153" s="3">
        <v>0</v>
      </c>
      <c r="AG153" s="3">
        <v>0</v>
      </c>
      <c r="AH153" s="3" t="s">
        <v>17</v>
      </c>
      <c r="AI153" s="3" t="s">
        <v>776</v>
      </c>
      <c r="AK153" s="3" t="s">
        <v>504</v>
      </c>
    </row>
    <row r="154" spans="1:39" x14ac:dyDescent="0.25">
      <c r="A154" t="s">
        <v>1060</v>
      </c>
      <c r="B154" s="7">
        <v>43993</v>
      </c>
      <c r="C154" s="7" t="s">
        <v>844</v>
      </c>
      <c r="D154" s="3" t="s">
        <v>6</v>
      </c>
      <c r="E154" s="3" t="s">
        <v>71</v>
      </c>
      <c r="F154" s="3" t="s">
        <v>23</v>
      </c>
      <c r="G154" s="3" t="s">
        <v>23</v>
      </c>
      <c r="H154" s="9">
        <v>37.557417631808597</v>
      </c>
      <c r="I154" s="9">
        <v>-1.18334477100918</v>
      </c>
      <c r="J154" s="3">
        <v>15</v>
      </c>
      <c r="K154" s="3">
        <v>15</v>
      </c>
      <c r="L154" s="3">
        <v>0</v>
      </c>
      <c r="M154" s="3">
        <v>0</v>
      </c>
      <c r="N154" s="3" t="s">
        <v>6</v>
      </c>
      <c r="O154" s="3">
        <v>0</v>
      </c>
      <c r="P154" s="3">
        <v>1</v>
      </c>
      <c r="Q154" s="3">
        <v>14</v>
      </c>
      <c r="R154" s="3">
        <v>15</v>
      </c>
      <c r="S154" s="3">
        <v>0</v>
      </c>
      <c r="T154" s="3">
        <v>0</v>
      </c>
      <c r="U154" s="3">
        <v>0</v>
      </c>
      <c r="V154" s="3">
        <v>0</v>
      </c>
      <c r="W154" s="3" t="s">
        <v>6</v>
      </c>
      <c r="X154" s="3">
        <v>1</v>
      </c>
      <c r="Y154" s="3">
        <v>0</v>
      </c>
      <c r="Z154" s="3">
        <v>1</v>
      </c>
      <c r="AA154" s="3">
        <v>0</v>
      </c>
      <c r="AB154" s="3">
        <v>0</v>
      </c>
      <c r="AC154" s="3">
        <v>1</v>
      </c>
      <c r="AD154" s="3">
        <v>0</v>
      </c>
      <c r="AE154" s="3">
        <v>0</v>
      </c>
      <c r="AF154" s="3">
        <v>0</v>
      </c>
      <c r="AG154" s="3">
        <v>0</v>
      </c>
      <c r="AH154" s="3" t="s">
        <v>17</v>
      </c>
      <c r="AI154" s="3" t="s">
        <v>780</v>
      </c>
      <c r="AK154" s="3" t="s">
        <v>424</v>
      </c>
      <c r="AL154" s="3" t="s">
        <v>425</v>
      </c>
    </row>
    <row r="155" spans="1:39" x14ac:dyDescent="0.25">
      <c r="A155" t="s">
        <v>1346</v>
      </c>
      <c r="B155" s="7">
        <v>43997</v>
      </c>
      <c r="C155" s="7" t="s">
        <v>844</v>
      </c>
      <c r="D155" s="68" t="s">
        <v>6</v>
      </c>
      <c r="E155" s="3" t="s">
        <v>74</v>
      </c>
      <c r="F155" s="3" t="s">
        <v>23</v>
      </c>
      <c r="G155" s="3" t="s">
        <v>23</v>
      </c>
      <c r="H155" s="9">
        <v>37.411499999999997</v>
      </c>
      <c r="I155" s="9">
        <v>-1.5587</v>
      </c>
      <c r="J155" s="3">
        <v>1</v>
      </c>
      <c r="K155" s="3">
        <v>1</v>
      </c>
      <c r="L155" s="3">
        <v>0</v>
      </c>
      <c r="M155" s="3">
        <v>0</v>
      </c>
      <c r="N155" s="3" t="s">
        <v>66</v>
      </c>
      <c r="O155" s="3">
        <v>0</v>
      </c>
      <c r="P155" s="3">
        <v>1</v>
      </c>
      <c r="Q155" s="3">
        <v>0</v>
      </c>
      <c r="R155" s="3">
        <v>1</v>
      </c>
      <c r="S155" s="3">
        <v>0</v>
      </c>
      <c r="T155" s="3">
        <v>0</v>
      </c>
      <c r="U155" s="3">
        <v>0</v>
      </c>
      <c r="V155" s="3">
        <v>0</v>
      </c>
      <c r="W155" s="3" t="s">
        <v>6</v>
      </c>
      <c r="X155" s="3">
        <v>0</v>
      </c>
      <c r="Y155" s="3">
        <v>0</v>
      </c>
      <c r="Z155" s="3">
        <v>0</v>
      </c>
      <c r="AA155" s="3">
        <v>0</v>
      </c>
      <c r="AB155" s="3">
        <v>0</v>
      </c>
      <c r="AC155" s="3">
        <v>0</v>
      </c>
      <c r="AD155" s="3">
        <v>0</v>
      </c>
      <c r="AE155" s="3">
        <v>0</v>
      </c>
      <c r="AF155" s="3">
        <v>0</v>
      </c>
      <c r="AG155" s="3">
        <v>0</v>
      </c>
      <c r="AH155" s="3" t="s">
        <v>775</v>
      </c>
      <c r="AI155" s="3" t="s">
        <v>780</v>
      </c>
      <c r="AK155" t="s">
        <v>288</v>
      </c>
      <c r="AL155" s="3" t="s">
        <v>38</v>
      </c>
      <c r="AM155" t="s">
        <v>22</v>
      </c>
    </row>
    <row r="156" spans="1:39" x14ac:dyDescent="0.25">
      <c r="A156" t="s">
        <v>1109</v>
      </c>
      <c r="B156" s="7">
        <v>43997</v>
      </c>
      <c r="C156" s="7" t="s">
        <v>844</v>
      </c>
      <c r="D156" s="3" t="s">
        <v>6</v>
      </c>
      <c r="E156" s="3" t="s">
        <v>507</v>
      </c>
      <c r="F156" s="3" t="s">
        <v>23</v>
      </c>
      <c r="G156" s="3" t="s">
        <v>23</v>
      </c>
      <c r="H156" s="9">
        <v>37.570103608555598</v>
      </c>
      <c r="I156" s="9">
        <v>-1.2539180168699799</v>
      </c>
      <c r="J156" s="3">
        <v>1</v>
      </c>
      <c r="K156" s="3">
        <v>1</v>
      </c>
      <c r="L156" s="3">
        <v>0</v>
      </c>
      <c r="M156" s="3">
        <v>0</v>
      </c>
      <c r="N156" s="3" t="s">
        <v>16</v>
      </c>
      <c r="O156" s="3">
        <v>0</v>
      </c>
      <c r="P156" s="3">
        <v>1</v>
      </c>
      <c r="Q156" s="3">
        <v>0</v>
      </c>
      <c r="R156" s="3">
        <v>1</v>
      </c>
      <c r="S156" s="3">
        <v>0</v>
      </c>
      <c r="T156" s="3">
        <v>0</v>
      </c>
      <c r="U156" s="3">
        <v>0</v>
      </c>
      <c r="V156" s="3">
        <v>0</v>
      </c>
      <c r="W156" s="3" t="s">
        <v>6</v>
      </c>
      <c r="X156" s="3">
        <v>0</v>
      </c>
      <c r="Y156" s="3">
        <v>0</v>
      </c>
      <c r="Z156" s="3">
        <v>0</v>
      </c>
      <c r="AA156" s="3">
        <v>0</v>
      </c>
      <c r="AB156" s="3">
        <v>0</v>
      </c>
      <c r="AC156" s="3">
        <v>0</v>
      </c>
      <c r="AD156" s="3">
        <v>0</v>
      </c>
      <c r="AE156" s="3">
        <v>0</v>
      </c>
      <c r="AF156" s="3">
        <v>0</v>
      </c>
      <c r="AG156" s="3">
        <v>0</v>
      </c>
      <c r="AH156" s="3" t="s">
        <v>233</v>
      </c>
      <c r="AI156" s="3" t="s">
        <v>790</v>
      </c>
      <c r="AK156" s="3" t="s">
        <v>508</v>
      </c>
    </row>
    <row r="157" spans="1:39" x14ac:dyDescent="0.25">
      <c r="A157" t="s">
        <v>1081</v>
      </c>
      <c r="B157" s="7">
        <v>43999</v>
      </c>
      <c r="C157" s="7" t="s">
        <v>844</v>
      </c>
      <c r="D157" s="3" t="s">
        <v>6</v>
      </c>
      <c r="E157" s="3" t="s">
        <v>459</v>
      </c>
      <c r="F157" s="3" t="s">
        <v>23</v>
      </c>
      <c r="G157" s="3" t="s">
        <v>23</v>
      </c>
      <c r="H157" s="9">
        <v>37.596560353694798</v>
      </c>
      <c r="I157" s="9">
        <v>-0.98410387605613503</v>
      </c>
      <c r="J157" s="3">
        <v>1</v>
      </c>
      <c r="K157" s="3">
        <v>1</v>
      </c>
      <c r="L157" s="3">
        <v>0</v>
      </c>
      <c r="M157" s="3">
        <v>0</v>
      </c>
      <c r="N157" s="3" t="s">
        <v>16</v>
      </c>
      <c r="O157" s="3">
        <v>0</v>
      </c>
      <c r="P157" s="3">
        <v>0</v>
      </c>
      <c r="Q157" s="3">
        <v>1</v>
      </c>
      <c r="R157" s="3">
        <v>1</v>
      </c>
      <c r="S157" s="3">
        <v>0</v>
      </c>
      <c r="T157" s="3">
        <v>0</v>
      </c>
      <c r="U157" s="3">
        <v>0</v>
      </c>
      <c r="V157" s="3">
        <v>0</v>
      </c>
      <c r="W157" s="3" t="s">
        <v>6</v>
      </c>
      <c r="X157" s="3">
        <v>0</v>
      </c>
      <c r="Y157" s="3">
        <v>0</v>
      </c>
      <c r="Z157" s="3">
        <v>0</v>
      </c>
      <c r="AA157" s="3">
        <v>0</v>
      </c>
      <c r="AB157" s="3">
        <v>0</v>
      </c>
      <c r="AC157" s="3">
        <v>0</v>
      </c>
      <c r="AD157" s="3">
        <v>0</v>
      </c>
      <c r="AE157" s="3">
        <v>0</v>
      </c>
      <c r="AF157" s="3">
        <v>0</v>
      </c>
      <c r="AG157" s="3">
        <v>0</v>
      </c>
      <c r="AH157" s="3" t="s">
        <v>17</v>
      </c>
      <c r="AI157" s="3" t="s">
        <v>780</v>
      </c>
      <c r="AK157" s="3" t="s">
        <v>460</v>
      </c>
    </row>
    <row r="158" spans="1:39" x14ac:dyDescent="0.25">
      <c r="A158" t="s">
        <v>1085</v>
      </c>
      <c r="B158" s="7">
        <v>44003</v>
      </c>
      <c r="C158" s="7" t="s">
        <v>844</v>
      </c>
      <c r="D158" s="3" t="s">
        <v>6</v>
      </c>
      <c r="E158" s="3" t="s">
        <v>71</v>
      </c>
      <c r="F158" s="3" t="s">
        <v>23</v>
      </c>
      <c r="G158" s="3" t="s">
        <v>23</v>
      </c>
      <c r="H158" s="9">
        <v>37.5456403208605</v>
      </c>
      <c r="I158" s="9">
        <v>-1.1788655945531199</v>
      </c>
      <c r="J158" s="3">
        <v>1</v>
      </c>
      <c r="K158" s="3">
        <v>1</v>
      </c>
      <c r="L158" s="3">
        <v>0</v>
      </c>
      <c r="M158" s="3">
        <v>0</v>
      </c>
      <c r="N158" s="3" t="s">
        <v>16</v>
      </c>
      <c r="O158" s="3">
        <v>0</v>
      </c>
      <c r="P158" s="3">
        <v>1</v>
      </c>
      <c r="Q158" s="3">
        <v>0</v>
      </c>
      <c r="R158" s="3">
        <v>1</v>
      </c>
      <c r="S158" s="3">
        <v>0</v>
      </c>
      <c r="T158" s="3">
        <v>0</v>
      </c>
      <c r="U158" s="3">
        <v>0</v>
      </c>
      <c r="V158" s="3">
        <v>0</v>
      </c>
      <c r="W158" s="3" t="s">
        <v>6</v>
      </c>
      <c r="X158" s="3">
        <v>0</v>
      </c>
      <c r="Y158" s="3">
        <v>0</v>
      </c>
      <c r="Z158" s="3">
        <v>0</v>
      </c>
      <c r="AA158" s="3">
        <v>0</v>
      </c>
      <c r="AB158" s="3">
        <v>0</v>
      </c>
      <c r="AC158" s="3">
        <v>0</v>
      </c>
      <c r="AD158" s="3">
        <v>0</v>
      </c>
      <c r="AE158" s="3">
        <v>0</v>
      </c>
      <c r="AF158" s="3">
        <v>0</v>
      </c>
      <c r="AG158" s="3">
        <v>0</v>
      </c>
      <c r="AH158" s="3" t="s">
        <v>17</v>
      </c>
      <c r="AI158" s="3" t="s">
        <v>780</v>
      </c>
      <c r="AK158" s="3" t="s">
        <v>465</v>
      </c>
      <c r="AL158" s="3" t="s">
        <v>249</v>
      </c>
    </row>
    <row r="159" spans="1:39" x14ac:dyDescent="0.25">
      <c r="A159" t="s">
        <v>1110</v>
      </c>
      <c r="B159" s="7">
        <v>44010</v>
      </c>
      <c r="C159" s="7" t="s">
        <v>844</v>
      </c>
      <c r="D159" s="3" t="s">
        <v>6</v>
      </c>
      <c r="E159" s="3" t="s">
        <v>64</v>
      </c>
      <c r="F159" s="3" t="s">
        <v>25</v>
      </c>
      <c r="G159" s="3" t="s">
        <v>19</v>
      </c>
      <c r="H159" s="9">
        <v>38.019067237565601</v>
      </c>
      <c r="I159" s="9">
        <v>-0.65265125737159302</v>
      </c>
      <c r="J159" s="3">
        <v>1</v>
      </c>
      <c r="K159" s="3">
        <v>1</v>
      </c>
      <c r="L159" s="3">
        <v>0</v>
      </c>
      <c r="M159" s="3">
        <v>0</v>
      </c>
      <c r="N159" s="3" t="s">
        <v>6</v>
      </c>
      <c r="O159" s="3">
        <v>0</v>
      </c>
      <c r="P159" s="3">
        <v>0</v>
      </c>
      <c r="Q159" s="3">
        <v>1</v>
      </c>
      <c r="R159" s="3">
        <v>1</v>
      </c>
      <c r="S159" s="3">
        <v>0</v>
      </c>
      <c r="T159" s="3">
        <v>0</v>
      </c>
      <c r="U159" s="3">
        <v>0</v>
      </c>
      <c r="V159" s="3">
        <v>0</v>
      </c>
      <c r="W159" s="3" t="s">
        <v>6</v>
      </c>
      <c r="X159" s="3">
        <v>0</v>
      </c>
      <c r="Y159" s="3">
        <v>0</v>
      </c>
      <c r="Z159" s="3">
        <v>0</v>
      </c>
      <c r="AA159" s="3">
        <v>0</v>
      </c>
      <c r="AB159" s="3">
        <v>0</v>
      </c>
      <c r="AC159" s="3">
        <v>0</v>
      </c>
      <c r="AD159" s="3">
        <v>0</v>
      </c>
      <c r="AE159" s="3">
        <v>0</v>
      </c>
      <c r="AF159" s="3">
        <v>0</v>
      </c>
      <c r="AG159" s="3">
        <v>0</v>
      </c>
      <c r="AH159" s="3" t="s">
        <v>233</v>
      </c>
      <c r="AI159" s="3" t="s">
        <v>791</v>
      </c>
      <c r="AK159" s="3" t="s">
        <v>509</v>
      </c>
    </row>
    <row r="160" spans="1:39" x14ac:dyDescent="0.25">
      <c r="A160" t="s">
        <v>1071</v>
      </c>
      <c r="B160" s="7">
        <v>44015</v>
      </c>
      <c r="C160" s="7" t="s">
        <v>844</v>
      </c>
      <c r="D160" s="3" t="s">
        <v>6</v>
      </c>
      <c r="E160" s="3" t="s">
        <v>476</v>
      </c>
      <c r="F160" s="3" t="s">
        <v>23</v>
      </c>
      <c r="G160" s="3" t="s">
        <v>23</v>
      </c>
      <c r="H160" s="9">
        <v>37.662240072630397</v>
      </c>
      <c r="I160" s="9">
        <v>-0.72166600007159898</v>
      </c>
      <c r="J160" s="3">
        <v>1</v>
      </c>
      <c r="K160" s="3">
        <v>1</v>
      </c>
      <c r="L160" s="3">
        <v>0</v>
      </c>
      <c r="M160" s="3">
        <v>0</v>
      </c>
      <c r="N160" s="3" t="s">
        <v>66</v>
      </c>
      <c r="O160" s="3">
        <v>0</v>
      </c>
      <c r="P160" s="3">
        <v>1</v>
      </c>
      <c r="Q160" s="3">
        <v>0</v>
      </c>
      <c r="R160" s="3">
        <v>0</v>
      </c>
      <c r="S160" s="3">
        <v>0</v>
      </c>
      <c r="T160" s="3">
        <v>0</v>
      </c>
      <c r="U160" s="3">
        <v>0</v>
      </c>
      <c r="V160" s="3">
        <v>1</v>
      </c>
      <c r="W160" s="3" t="s">
        <v>6</v>
      </c>
      <c r="X160" s="3">
        <v>0</v>
      </c>
      <c r="Y160" s="3">
        <v>0</v>
      </c>
      <c r="Z160" s="3">
        <v>0</v>
      </c>
      <c r="AA160" s="3">
        <v>0</v>
      </c>
      <c r="AB160" s="3">
        <v>0</v>
      </c>
      <c r="AC160" s="3">
        <v>0</v>
      </c>
      <c r="AD160" s="3">
        <v>0</v>
      </c>
      <c r="AE160" s="3">
        <v>0</v>
      </c>
      <c r="AF160" s="3">
        <v>0</v>
      </c>
      <c r="AG160" s="3">
        <v>0</v>
      </c>
      <c r="AH160" s="3" t="s">
        <v>17</v>
      </c>
      <c r="AI160" s="3" t="s">
        <v>780</v>
      </c>
      <c r="AK160" s="3" t="s">
        <v>445</v>
      </c>
    </row>
    <row r="161" spans="1:39" x14ac:dyDescent="0.25">
      <c r="A161" t="s">
        <v>964</v>
      </c>
      <c r="B161" s="8">
        <v>44016</v>
      </c>
      <c r="C161" s="8" t="s">
        <v>844</v>
      </c>
      <c r="D161" s="3" t="s">
        <v>6</v>
      </c>
      <c r="E161" s="3" t="s">
        <v>126</v>
      </c>
      <c r="F161" s="3" t="s">
        <v>23</v>
      </c>
      <c r="G161" s="3" t="s">
        <v>23</v>
      </c>
      <c r="H161" s="9">
        <v>37.645486988922798</v>
      </c>
      <c r="I161" s="9">
        <v>-0.66582468596926603</v>
      </c>
      <c r="J161" s="3">
        <v>1</v>
      </c>
      <c r="K161" s="3">
        <v>1</v>
      </c>
      <c r="L161" s="3">
        <v>0</v>
      </c>
      <c r="M161" s="3">
        <v>0</v>
      </c>
      <c r="N161" s="3" t="s">
        <v>6</v>
      </c>
      <c r="O161" s="3">
        <v>0</v>
      </c>
      <c r="P161" s="3">
        <v>0</v>
      </c>
      <c r="Q161" s="3">
        <v>1</v>
      </c>
      <c r="R161" s="3">
        <v>0</v>
      </c>
      <c r="S161" s="3">
        <v>0</v>
      </c>
      <c r="T161" s="3">
        <v>0</v>
      </c>
      <c r="U161" s="3">
        <v>0</v>
      </c>
      <c r="V161" s="3">
        <v>1</v>
      </c>
      <c r="W161" s="3" t="s">
        <v>6</v>
      </c>
      <c r="X161" s="3">
        <v>0</v>
      </c>
      <c r="Y161" s="3">
        <v>0</v>
      </c>
      <c r="Z161" s="3">
        <v>0</v>
      </c>
      <c r="AA161" s="3">
        <v>0</v>
      </c>
      <c r="AB161" s="3">
        <v>0</v>
      </c>
      <c r="AC161" s="3">
        <v>0</v>
      </c>
      <c r="AD161" s="3">
        <v>0</v>
      </c>
      <c r="AE161" s="3">
        <v>0</v>
      </c>
      <c r="AF161" s="3">
        <v>0</v>
      </c>
      <c r="AG161" s="3">
        <v>0</v>
      </c>
      <c r="AH161" s="3" t="s">
        <v>17</v>
      </c>
      <c r="AI161" s="3" t="s">
        <v>779</v>
      </c>
      <c r="AK161" s="3" t="s">
        <v>207</v>
      </c>
    </row>
    <row r="162" spans="1:39" x14ac:dyDescent="0.25">
      <c r="A162" t="s">
        <v>1095</v>
      </c>
      <c r="B162" s="7">
        <v>44017</v>
      </c>
      <c r="C162" s="7" t="s">
        <v>844</v>
      </c>
      <c r="D162" s="3" t="s">
        <v>6</v>
      </c>
      <c r="E162" s="3" t="s">
        <v>71</v>
      </c>
      <c r="F162" s="3" t="s">
        <v>23</v>
      </c>
      <c r="G162" s="3" t="s">
        <v>23</v>
      </c>
      <c r="H162" s="9">
        <v>37.555522351461903</v>
      </c>
      <c r="I162" s="9">
        <v>-1.1842242039168001</v>
      </c>
      <c r="J162" s="3">
        <v>2</v>
      </c>
      <c r="K162" s="3">
        <v>2</v>
      </c>
      <c r="L162" s="3">
        <v>0</v>
      </c>
      <c r="M162" s="3">
        <v>0</v>
      </c>
      <c r="N162" s="3" t="s">
        <v>66</v>
      </c>
      <c r="O162" s="3">
        <v>0</v>
      </c>
      <c r="P162" s="3">
        <v>2</v>
      </c>
      <c r="Q162" s="3">
        <v>0</v>
      </c>
      <c r="R162" s="3">
        <v>2</v>
      </c>
      <c r="S162" s="3">
        <v>0</v>
      </c>
      <c r="T162" s="3">
        <v>0</v>
      </c>
      <c r="U162" s="3">
        <v>0</v>
      </c>
      <c r="V162" s="3">
        <v>0</v>
      </c>
      <c r="W162" s="3" t="s">
        <v>6</v>
      </c>
      <c r="X162" s="3">
        <v>1</v>
      </c>
      <c r="Y162" s="3">
        <v>0</v>
      </c>
      <c r="Z162" s="3">
        <v>0</v>
      </c>
      <c r="AA162" s="3">
        <v>1</v>
      </c>
      <c r="AB162" s="3">
        <v>0</v>
      </c>
      <c r="AC162" s="3">
        <v>0</v>
      </c>
      <c r="AD162" s="3">
        <v>0</v>
      </c>
      <c r="AE162" s="3">
        <v>0</v>
      </c>
      <c r="AF162" s="3">
        <v>0</v>
      </c>
      <c r="AG162" s="3">
        <v>0</v>
      </c>
      <c r="AH162" s="3" t="s">
        <v>17</v>
      </c>
      <c r="AI162" s="3" t="s">
        <v>776</v>
      </c>
      <c r="AK162" s="3" t="s">
        <v>488</v>
      </c>
      <c r="AL162" s="3" t="s">
        <v>463</v>
      </c>
    </row>
    <row r="163" spans="1:39" x14ac:dyDescent="0.25">
      <c r="A163" t="s">
        <v>965</v>
      </c>
      <c r="B163" s="8">
        <v>44018</v>
      </c>
      <c r="C163" s="8" t="s">
        <v>844</v>
      </c>
      <c r="D163" s="3" t="s">
        <v>6</v>
      </c>
      <c r="E163" s="3" t="s">
        <v>127</v>
      </c>
      <c r="F163" s="3" t="s">
        <v>25</v>
      </c>
      <c r="G163" s="3" t="s">
        <v>19</v>
      </c>
      <c r="H163" s="9">
        <v>38.350190159423498</v>
      </c>
      <c r="I163" s="9">
        <v>-0.40503347697195302</v>
      </c>
      <c r="J163" s="3">
        <v>1</v>
      </c>
      <c r="K163" s="3">
        <v>1</v>
      </c>
      <c r="L163" s="3">
        <v>0</v>
      </c>
      <c r="M163" s="3">
        <v>0</v>
      </c>
      <c r="N163" s="3" t="s">
        <v>66</v>
      </c>
      <c r="O163" s="3">
        <v>0</v>
      </c>
      <c r="P163" s="3">
        <v>0</v>
      </c>
      <c r="Q163" s="3">
        <v>1</v>
      </c>
      <c r="R163" s="3">
        <v>0</v>
      </c>
      <c r="S163" s="3">
        <v>0</v>
      </c>
      <c r="T163" s="3">
        <v>0</v>
      </c>
      <c r="U163" s="3">
        <v>0</v>
      </c>
      <c r="V163" s="3">
        <v>1</v>
      </c>
      <c r="W163" s="3" t="s">
        <v>6</v>
      </c>
      <c r="X163" s="3">
        <v>1</v>
      </c>
      <c r="Y163" s="3">
        <v>0</v>
      </c>
      <c r="Z163" s="3">
        <v>0</v>
      </c>
      <c r="AA163" s="3">
        <v>1</v>
      </c>
      <c r="AB163" s="3">
        <v>0</v>
      </c>
      <c r="AC163" s="3">
        <v>0</v>
      </c>
      <c r="AD163" s="3">
        <v>0</v>
      </c>
      <c r="AE163" s="3">
        <v>1</v>
      </c>
      <c r="AF163" s="3">
        <v>0</v>
      </c>
      <c r="AG163" s="3">
        <v>0</v>
      </c>
      <c r="AH163" s="3" t="s">
        <v>17</v>
      </c>
      <c r="AI163" s="3" t="s">
        <v>779</v>
      </c>
      <c r="AK163" s="3" t="s">
        <v>208</v>
      </c>
      <c r="AL163" s="3" t="s">
        <v>256</v>
      </c>
    </row>
    <row r="164" spans="1:39" x14ac:dyDescent="0.25">
      <c r="A164" t="s">
        <v>1068</v>
      </c>
      <c r="B164" s="7">
        <v>44019</v>
      </c>
      <c r="C164" s="7" t="s">
        <v>844</v>
      </c>
      <c r="D164" s="3" t="s">
        <v>6</v>
      </c>
      <c r="E164" s="3" t="s">
        <v>440</v>
      </c>
      <c r="F164" s="3" t="s">
        <v>57</v>
      </c>
      <c r="G164" s="3" t="s">
        <v>21</v>
      </c>
      <c r="H164" s="9">
        <v>36.7392631031381</v>
      </c>
      <c r="I164" s="9">
        <v>-3.7902601468176602</v>
      </c>
      <c r="J164" s="3">
        <v>1</v>
      </c>
      <c r="K164" s="3">
        <v>1</v>
      </c>
      <c r="L164" s="3">
        <v>0</v>
      </c>
      <c r="M164" s="3">
        <v>0</v>
      </c>
      <c r="N164" s="3" t="s">
        <v>16</v>
      </c>
      <c r="O164" s="3">
        <v>0</v>
      </c>
      <c r="P164" s="3">
        <v>1</v>
      </c>
      <c r="Q164" s="3">
        <v>0</v>
      </c>
      <c r="R164" s="3">
        <v>0</v>
      </c>
      <c r="S164" s="3">
        <v>0</v>
      </c>
      <c r="T164" s="3">
        <v>0</v>
      </c>
      <c r="U164" s="3">
        <v>0</v>
      </c>
      <c r="V164" s="3">
        <v>1</v>
      </c>
      <c r="W164" s="3" t="s">
        <v>6</v>
      </c>
      <c r="X164" s="3">
        <v>0</v>
      </c>
      <c r="Y164" s="3">
        <v>0</v>
      </c>
      <c r="Z164" s="3">
        <v>0</v>
      </c>
      <c r="AA164" s="3">
        <v>0</v>
      </c>
      <c r="AB164" s="3">
        <v>0</v>
      </c>
      <c r="AC164" s="3">
        <v>0</v>
      </c>
      <c r="AD164" s="3">
        <v>0</v>
      </c>
      <c r="AE164" s="3">
        <v>0</v>
      </c>
      <c r="AF164" s="3">
        <v>0</v>
      </c>
      <c r="AG164" s="3">
        <v>0</v>
      </c>
      <c r="AH164" s="3" t="s">
        <v>17</v>
      </c>
      <c r="AI164" s="3" t="s">
        <v>780</v>
      </c>
      <c r="AK164" s="3" t="s">
        <v>439</v>
      </c>
    </row>
    <row r="165" spans="1:39" x14ac:dyDescent="0.25">
      <c r="A165" t="s">
        <v>1045</v>
      </c>
      <c r="B165" s="7">
        <v>44020</v>
      </c>
      <c r="C165" s="7" t="s">
        <v>844</v>
      </c>
      <c r="D165" s="3" t="s">
        <v>6</v>
      </c>
      <c r="E165" s="3" t="s">
        <v>398</v>
      </c>
      <c r="F165" s="3" t="s">
        <v>399</v>
      </c>
      <c r="G165" s="3" t="s">
        <v>399</v>
      </c>
      <c r="H165" s="9">
        <v>35.888213246555097</v>
      </c>
      <c r="I165" s="9">
        <v>-5.3184705210193899</v>
      </c>
      <c r="J165" s="3">
        <v>1</v>
      </c>
      <c r="K165" s="3">
        <v>1</v>
      </c>
      <c r="L165" s="3">
        <v>0</v>
      </c>
      <c r="M165" s="3">
        <v>0</v>
      </c>
      <c r="N165" s="3" t="s">
        <v>6</v>
      </c>
      <c r="O165" s="3">
        <v>0</v>
      </c>
      <c r="P165" s="3">
        <v>0</v>
      </c>
      <c r="Q165" s="3">
        <v>1</v>
      </c>
      <c r="R165" s="3">
        <v>1</v>
      </c>
      <c r="S165" s="3">
        <v>0</v>
      </c>
      <c r="T165" s="3">
        <v>0</v>
      </c>
      <c r="U165" s="3">
        <v>0</v>
      </c>
      <c r="V165" s="3">
        <v>0</v>
      </c>
      <c r="W165" s="3" t="s">
        <v>6</v>
      </c>
      <c r="X165" s="3">
        <v>0</v>
      </c>
      <c r="Y165" s="3">
        <v>0</v>
      </c>
      <c r="Z165" s="3">
        <v>0</v>
      </c>
      <c r="AA165" s="3">
        <v>0</v>
      </c>
      <c r="AB165" s="3">
        <v>0</v>
      </c>
      <c r="AC165" s="3">
        <v>0</v>
      </c>
      <c r="AD165" s="3">
        <v>0</v>
      </c>
      <c r="AE165" s="3">
        <v>0</v>
      </c>
      <c r="AF165" s="3">
        <v>0</v>
      </c>
      <c r="AG165" s="3">
        <v>0</v>
      </c>
      <c r="AH165" s="3" t="s">
        <v>17</v>
      </c>
      <c r="AI165" s="3" t="s">
        <v>777</v>
      </c>
      <c r="AK165" s="3" t="s">
        <v>397</v>
      </c>
    </row>
    <row r="166" spans="1:39" x14ac:dyDescent="0.25">
      <c r="A166" t="s">
        <v>1087</v>
      </c>
      <c r="B166" s="7">
        <v>44020</v>
      </c>
      <c r="C166" s="7" t="s">
        <v>844</v>
      </c>
      <c r="D166" s="3" t="s">
        <v>6</v>
      </c>
      <c r="E166" s="3" t="s">
        <v>483</v>
      </c>
      <c r="F166" s="3" t="s">
        <v>47</v>
      </c>
      <c r="G166" s="3" t="s">
        <v>21</v>
      </c>
      <c r="H166" s="9">
        <v>36.807370922055298</v>
      </c>
      <c r="I166" s="9">
        <v>-2.27543266020706</v>
      </c>
      <c r="J166" s="3">
        <v>1</v>
      </c>
      <c r="K166" s="3">
        <v>1</v>
      </c>
      <c r="L166" s="3">
        <v>0</v>
      </c>
      <c r="M166" s="3">
        <v>0</v>
      </c>
      <c r="N166" s="3" t="s">
        <v>16</v>
      </c>
      <c r="O166" s="3">
        <v>0</v>
      </c>
      <c r="P166" s="3">
        <v>1</v>
      </c>
      <c r="Q166" s="3">
        <v>0</v>
      </c>
      <c r="R166" s="3">
        <v>0</v>
      </c>
      <c r="S166" s="3">
        <v>1</v>
      </c>
      <c r="T166" s="3">
        <v>0</v>
      </c>
      <c r="U166" s="3">
        <v>0</v>
      </c>
      <c r="V166" s="3">
        <v>0</v>
      </c>
      <c r="W166" s="3" t="s">
        <v>6</v>
      </c>
      <c r="X166" s="3">
        <v>0</v>
      </c>
      <c r="Y166" s="3">
        <v>0</v>
      </c>
      <c r="Z166" s="3">
        <v>0</v>
      </c>
      <c r="AA166" s="3">
        <v>0</v>
      </c>
      <c r="AB166" s="3">
        <v>0</v>
      </c>
      <c r="AC166" s="3">
        <v>0</v>
      </c>
      <c r="AD166" s="3">
        <v>0</v>
      </c>
      <c r="AE166" s="3">
        <v>0</v>
      </c>
      <c r="AF166" s="3">
        <v>0</v>
      </c>
      <c r="AG166" s="3">
        <v>0</v>
      </c>
      <c r="AH166" s="3" t="s">
        <v>17</v>
      </c>
      <c r="AI166" s="3" t="s">
        <v>780</v>
      </c>
      <c r="AK166" s="3" t="s">
        <v>467</v>
      </c>
    </row>
    <row r="167" spans="1:39" x14ac:dyDescent="0.25">
      <c r="A167" t="s">
        <v>1352</v>
      </c>
      <c r="B167" s="7">
        <v>44022</v>
      </c>
      <c r="C167" s="7" t="s">
        <v>844</v>
      </c>
      <c r="D167" s="68">
        <v>0.5625</v>
      </c>
      <c r="E167" s="3" t="s">
        <v>43</v>
      </c>
      <c r="F167" s="3" t="s">
        <v>47</v>
      </c>
      <c r="G167" s="3" t="s">
        <v>21</v>
      </c>
      <c r="H167" s="9">
        <v>37.357948</v>
      </c>
      <c r="I167" s="9">
        <v>-1.6621349999999999</v>
      </c>
      <c r="J167" s="3">
        <v>1</v>
      </c>
      <c r="K167" s="3">
        <v>1</v>
      </c>
      <c r="L167" s="3">
        <v>0</v>
      </c>
      <c r="M167" s="3">
        <v>0</v>
      </c>
      <c r="N167" s="3" t="s">
        <v>66</v>
      </c>
      <c r="O167" s="3">
        <v>0</v>
      </c>
      <c r="P167" s="3">
        <v>1</v>
      </c>
      <c r="Q167" s="3">
        <v>0</v>
      </c>
      <c r="R167" s="3">
        <v>1</v>
      </c>
      <c r="S167" s="3">
        <v>0</v>
      </c>
      <c r="T167" s="3">
        <v>0</v>
      </c>
      <c r="U167" s="3">
        <v>0</v>
      </c>
      <c r="V167" s="3">
        <v>0</v>
      </c>
      <c r="W167" s="3" t="s">
        <v>6</v>
      </c>
      <c r="X167" s="3">
        <v>0</v>
      </c>
      <c r="Y167" s="3">
        <v>0</v>
      </c>
      <c r="Z167" s="3">
        <v>0</v>
      </c>
      <c r="AA167" s="3">
        <v>0</v>
      </c>
      <c r="AB167" s="3">
        <v>0</v>
      </c>
      <c r="AC167" s="3">
        <v>0</v>
      </c>
      <c r="AD167" s="3">
        <v>0</v>
      </c>
      <c r="AE167" s="3">
        <v>0</v>
      </c>
      <c r="AF167" s="3">
        <v>0</v>
      </c>
      <c r="AG167" s="3">
        <v>0</v>
      </c>
      <c r="AH167" s="3" t="s">
        <v>775</v>
      </c>
      <c r="AI167" s="3" t="s">
        <v>80</v>
      </c>
      <c r="AK167" t="s">
        <v>279</v>
      </c>
      <c r="AL167" s="3" t="s">
        <v>22</v>
      </c>
      <c r="AM167" t="s">
        <v>22</v>
      </c>
    </row>
    <row r="168" spans="1:39" x14ac:dyDescent="0.25">
      <c r="A168" t="s">
        <v>1065</v>
      </c>
      <c r="B168" s="7">
        <v>44022</v>
      </c>
      <c r="C168" s="7" t="s">
        <v>844</v>
      </c>
      <c r="D168" s="3" t="s">
        <v>6</v>
      </c>
      <c r="E168" s="3" t="s">
        <v>433</v>
      </c>
      <c r="F168" s="3" t="s">
        <v>25</v>
      </c>
      <c r="G168" s="3" t="s">
        <v>19</v>
      </c>
      <c r="H168" s="9">
        <v>38.686626321553597</v>
      </c>
      <c r="I168" s="9">
        <v>0.14735683297048799</v>
      </c>
      <c r="J168" s="3">
        <v>1</v>
      </c>
      <c r="K168" s="3">
        <v>1</v>
      </c>
      <c r="L168" s="3">
        <v>0</v>
      </c>
      <c r="M168" s="3">
        <v>0</v>
      </c>
      <c r="N168" s="3" t="s">
        <v>66</v>
      </c>
      <c r="O168" s="3">
        <v>0</v>
      </c>
      <c r="P168" s="3">
        <v>1</v>
      </c>
      <c r="Q168" s="3">
        <v>0</v>
      </c>
      <c r="R168" s="3">
        <v>1</v>
      </c>
      <c r="S168" s="3">
        <v>0</v>
      </c>
      <c r="T168" s="3">
        <v>0</v>
      </c>
      <c r="U168" s="3">
        <v>0</v>
      </c>
      <c r="V168" s="3">
        <v>0</v>
      </c>
      <c r="W168" s="3" t="s">
        <v>6</v>
      </c>
      <c r="X168" s="3">
        <v>0</v>
      </c>
      <c r="Y168" s="3">
        <v>0</v>
      </c>
      <c r="Z168" s="3">
        <v>0</v>
      </c>
      <c r="AA168" s="3">
        <v>0</v>
      </c>
      <c r="AB168" s="3">
        <v>0</v>
      </c>
      <c r="AC168" s="3">
        <v>0</v>
      </c>
      <c r="AD168" s="3">
        <v>0</v>
      </c>
      <c r="AE168" s="3">
        <v>0</v>
      </c>
      <c r="AF168" s="3">
        <v>0</v>
      </c>
      <c r="AG168" s="3">
        <v>0</v>
      </c>
      <c r="AH168" s="3" t="s">
        <v>233</v>
      </c>
      <c r="AI168" s="3" t="s">
        <v>789</v>
      </c>
      <c r="AK168" s="3" t="s">
        <v>434</v>
      </c>
    </row>
    <row r="169" spans="1:39" x14ac:dyDescent="0.25">
      <c r="A169" t="s">
        <v>1333</v>
      </c>
      <c r="B169" s="7">
        <v>44023</v>
      </c>
      <c r="C169" s="7" t="s">
        <v>844</v>
      </c>
      <c r="D169" s="68" t="s">
        <v>6</v>
      </c>
      <c r="E169" s="3" t="s">
        <v>60</v>
      </c>
      <c r="F169" s="3" t="s">
        <v>8</v>
      </c>
      <c r="G169" s="3" t="s">
        <v>8</v>
      </c>
      <c r="H169" s="9">
        <v>39.597000000000001</v>
      </c>
      <c r="I169" s="9">
        <v>2.3525999999999998</v>
      </c>
      <c r="J169" s="3">
        <v>1</v>
      </c>
      <c r="K169" s="3">
        <v>1</v>
      </c>
      <c r="L169" s="3">
        <v>0</v>
      </c>
      <c r="M169" s="3">
        <v>0</v>
      </c>
      <c r="N169" s="3" t="s">
        <v>66</v>
      </c>
      <c r="O169" s="3">
        <v>0</v>
      </c>
      <c r="P169" s="3">
        <v>0</v>
      </c>
      <c r="Q169" s="3">
        <v>1</v>
      </c>
      <c r="R169" s="3">
        <v>0</v>
      </c>
      <c r="S169" s="3">
        <v>0</v>
      </c>
      <c r="T169" s="3">
        <v>0</v>
      </c>
      <c r="U169" s="3">
        <v>0</v>
      </c>
      <c r="V169" s="3">
        <v>1</v>
      </c>
      <c r="W169" s="3" t="s">
        <v>6</v>
      </c>
      <c r="X169" s="3">
        <v>1</v>
      </c>
      <c r="Y169" s="3">
        <v>0</v>
      </c>
      <c r="Z169" s="3">
        <v>0</v>
      </c>
      <c r="AA169" s="3">
        <v>0</v>
      </c>
      <c r="AB169" s="3">
        <v>0</v>
      </c>
      <c r="AC169" s="3">
        <v>0</v>
      </c>
      <c r="AD169" s="3">
        <v>0</v>
      </c>
      <c r="AE169" s="3">
        <v>0</v>
      </c>
      <c r="AF169" s="3">
        <v>0</v>
      </c>
      <c r="AG169" s="3">
        <v>0</v>
      </c>
      <c r="AH169" s="3" t="s">
        <v>775</v>
      </c>
      <c r="AI169" s="3" t="s">
        <v>81</v>
      </c>
      <c r="AK169" t="s">
        <v>304</v>
      </c>
      <c r="AL169" s="3" t="s">
        <v>303</v>
      </c>
      <c r="AM169" t="s">
        <v>22</v>
      </c>
    </row>
    <row r="170" spans="1:39" x14ac:dyDescent="0.25">
      <c r="A170" t="s">
        <v>1062</v>
      </c>
      <c r="B170" s="7">
        <v>44023</v>
      </c>
      <c r="C170" s="7" t="s">
        <v>844</v>
      </c>
      <c r="D170" s="3" t="s">
        <v>6</v>
      </c>
      <c r="E170" s="3" t="s">
        <v>86</v>
      </c>
      <c r="F170" s="3" t="s">
        <v>57</v>
      </c>
      <c r="G170" s="3" t="s">
        <v>21</v>
      </c>
      <c r="H170" s="9">
        <v>36.708706382358301</v>
      </c>
      <c r="I170" s="9">
        <v>-3.5334045952998201</v>
      </c>
      <c r="J170" s="3">
        <v>1</v>
      </c>
      <c r="K170" s="3">
        <v>1</v>
      </c>
      <c r="L170" s="3">
        <v>0</v>
      </c>
      <c r="M170" s="3">
        <v>0</v>
      </c>
      <c r="N170" s="3" t="s">
        <v>66</v>
      </c>
      <c r="O170" s="3">
        <v>0</v>
      </c>
      <c r="P170" s="3">
        <v>1</v>
      </c>
      <c r="Q170" s="3">
        <v>0</v>
      </c>
      <c r="R170" s="3">
        <v>1</v>
      </c>
      <c r="S170" s="3">
        <v>0</v>
      </c>
      <c r="T170" s="3">
        <v>0</v>
      </c>
      <c r="U170" s="3">
        <v>0</v>
      </c>
      <c r="V170" s="3">
        <v>0</v>
      </c>
      <c r="W170" s="3" t="s">
        <v>6</v>
      </c>
      <c r="X170" s="3">
        <v>0</v>
      </c>
      <c r="Y170" s="3">
        <v>0</v>
      </c>
      <c r="Z170" s="3">
        <v>0</v>
      </c>
      <c r="AA170" s="3">
        <v>0</v>
      </c>
      <c r="AB170" s="3">
        <v>0</v>
      </c>
      <c r="AC170" s="3">
        <v>0</v>
      </c>
      <c r="AD170" s="3">
        <v>0</v>
      </c>
      <c r="AE170" s="3">
        <v>0</v>
      </c>
      <c r="AF170" s="3">
        <v>0</v>
      </c>
      <c r="AG170" s="3">
        <v>0</v>
      </c>
      <c r="AH170" s="3" t="s">
        <v>17</v>
      </c>
      <c r="AI170" s="3" t="s">
        <v>780</v>
      </c>
      <c r="AK170" s="3" t="s">
        <v>429</v>
      </c>
    </row>
    <row r="171" spans="1:39" x14ac:dyDescent="0.25">
      <c r="A171" t="s">
        <v>1063</v>
      </c>
      <c r="B171" s="7">
        <v>44024</v>
      </c>
      <c r="C171" s="7" t="s">
        <v>844</v>
      </c>
      <c r="D171" s="3" t="s">
        <v>6</v>
      </c>
      <c r="E171" s="3" t="s">
        <v>419</v>
      </c>
      <c r="F171" s="3" t="s">
        <v>23</v>
      </c>
      <c r="G171" s="3" t="s">
        <v>23</v>
      </c>
      <c r="H171" s="9">
        <v>37.563861828428799</v>
      </c>
      <c r="I171" s="9">
        <v>-1.25586367125829</v>
      </c>
      <c r="J171" s="3">
        <v>1</v>
      </c>
      <c r="K171" s="3">
        <v>1</v>
      </c>
      <c r="L171" s="3">
        <v>0</v>
      </c>
      <c r="M171" s="3">
        <v>0</v>
      </c>
      <c r="N171" s="3" t="s">
        <v>16</v>
      </c>
      <c r="O171" s="3">
        <v>0</v>
      </c>
      <c r="P171" s="3">
        <v>1</v>
      </c>
      <c r="Q171" s="3">
        <v>0</v>
      </c>
      <c r="R171" s="3">
        <v>1</v>
      </c>
      <c r="S171" s="3">
        <v>0</v>
      </c>
      <c r="T171" s="3">
        <v>0</v>
      </c>
      <c r="U171" s="3">
        <v>0</v>
      </c>
      <c r="V171" s="3">
        <v>0</v>
      </c>
      <c r="W171" s="3" t="s">
        <v>6</v>
      </c>
      <c r="X171" s="3">
        <v>0</v>
      </c>
      <c r="Y171" s="3">
        <v>0</v>
      </c>
      <c r="Z171" s="3">
        <v>0</v>
      </c>
      <c r="AA171" s="3">
        <v>0</v>
      </c>
      <c r="AB171" s="3">
        <v>0</v>
      </c>
      <c r="AC171" s="3">
        <v>0</v>
      </c>
      <c r="AD171" s="3">
        <v>0</v>
      </c>
      <c r="AE171" s="3">
        <v>0</v>
      </c>
      <c r="AF171" s="3">
        <v>0</v>
      </c>
      <c r="AG171" s="3">
        <v>0</v>
      </c>
      <c r="AH171" s="3" t="s">
        <v>17</v>
      </c>
      <c r="AI171" s="3" t="s">
        <v>780</v>
      </c>
      <c r="AK171" s="3" t="s">
        <v>430</v>
      </c>
    </row>
    <row r="172" spans="1:39" x14ac:dyDescent="0.25">
      <c r="A172" t="s">
        <v>1061</v>
      </c>
      <c r="B172" s="7">
        <v>44026</v>
      </c>
      <c r="C172" s="7" t="s">
        <v>844</v>
      </c>
      <c r="D172" s="3" t="s">
        <v>6</v>
      </c>
      <c r="E172" s="3" t="s">
        <v>426</v>
      </c>
      <c r="F172" s="3" t="s">
        <v>25</v>
      </c>
      <c r="G172" s="3" t="s">
        <v>19</v>
      </c>
      <c r="H172" s="9">
        <v>38.636919810367999</v>
      </c>
      <c r="I172" s="9">
        <v>6.8305508505931797E-2</v>
      </c>
      <c r="J172" s="3">
        <v>1</v>
      </c>
      <c r="K172" s="3">
        <v>1</v>
      </c>
      <c r="L172" s="3">
        <v>0</v>
      </c>
      <c r="M172" s="3">
        <v>0</v>
      </c>
      <c r="N172" s="3" t="s">
        <v>66</v>
      </c>
      <c r="O172" s="3">
        <v>0</v>
      </c>
      <c r="P172" s="3">
        <v>1</v>
      </c>
      <c r="Q172" s="3">
        <v>0</v>
      </c>
      <c r="R172" s="3">
        <v>1</v>
      </c>
      <c r="S172" s="3">
        <v>0</v>
      </c>
      <c r="T172" s="3">
        <v>0</v>
      </c>
      <c r="U172" s="3">
        <v>0</v>
      </c>
      <c r="V172" s="3">
        <v>0</v>
      </c>
      <c r="W172" s="3" t="s">
        <v>6</v>
      </c>
      <c r="X172" s="3">
        <v>1</v>
      </c>
      <c r="Y172" s="3">
        <v>0</v>
      </c>
      <c r="Z172" s="3">
        <v>0</v>
      </c>
      <c r="AA172" s="3">
        <v>1</v>
      </c>
      <c r="AB172" s="3">
        <v>0</v>
      </c>
      <c r="AC172" s="3">
        <v>0</v>
      </c>
      <c r="AD172" s="3">
        <v>0</v>
      </c>
      <c r="AE172" s="3">
        <v>0</v>
      </c>
      <c r="AF172" s="3">
        <v>0</v>
      </c>
      <c r="AG172" s="3">
        <v>1</v>
      </c>
      <c r="AH172" s="3" t="s">
        <v>17</v>
      </c>
      <c r="AI172" s="3" t="s">
        <v>780</v>
      </c>
      <c r="AK172" s="3" t="s">
        <v>427</v>
      </c>
      <c r="AL172" s="3" t="s">
        <v>428</v>
      </c>
    </row>
    <row r="173" spans="1:39" x14ac:dyDescent="0.25">
      <c r="A173" t="s">
        <v>1026</v>
      </c>
      <c r="B173" s="7">
        <v>44028</v>
      </c>
      <c r="C173" s="7" t="s">
        <v>844</v>
      </c>
      <c r="D173" s="4">
        <v>0.31180555555555556</v>
      </c>
      <c r="E173" s="3" t="s">
        <v>109</v>
      </c>
      <c r="F173" s="3" t="s">
        <v>57</v>
      </c>
      <c r="G173" s="3" t="s">
        <v>21</v>
      </c>
      <c r="H173" s="9">
        <v>36.711880269369203</v>
      </c>
      <c r="I173" s="9">
        <v>-3.7417882708528998</v>
      </c>
      <c r="J173" s="3">
        <v>1</v>
      </c>
      <c r="K173" s="3">
        <v>1</v>
      </c>
      <c r="L173" s="3">
        <v>0</v>
      </c>
      <c r="M173" s="3">
        <v>0</v>
      </c>
      <c r="N173" s="3" t="s">
        <v>16</v>
      </c>
      <c r="O173" s="3">
        <v>0</v>
      </c>
      <c r="P173" s="3">
        <v>1</v>
      </c>
      <c r="Q173" s="3">
        <v>0</v>
      </c>
      <c r="R173" s="3">
        <v>1</v>
      </c>
      <c r="S173" s="3">
        <v>0</v>
      </c>
      <c r="T173" s="3">
        <v>0</v>
      </c>
      <c r="U173" s="3">
        <v>0</v>
      </c>
      <c r="V173" s="3">
        <v>0</v>
      </c>
      <c r="W173" s="3" t="s">
        <v>6</v>
      </c>
      <c r="X173" s="3">
        <v>0</v>
      </c>
      <c r="Y173" s="3">
        <v>0</v>
      </c>
      <c r="Z173" s="3">
        <v>0</v>
      </c>
      <c r="AA173" s="3">
        <v>0</v>
      </c>
      <c r="AB173" s="3">
        <v>0</v>
      </c>
      <c r="AC173" s="3">
        <v>0</v>
      </c>
      <c r="AD173" s="3">
        <v>0</v>
      </c>
      <c r="AE173" s="3">
        <v>0</v>
      </c>
      <c r="AF173" s="3">
        <v>0</v>
      </c>
      <c r="AG173" s="3">
        <v>0</v>
      </c>
      <c r="AH173" s="3" t="s">
        <v>17</v>
      </c>
      <c r="AI173" s="3" t="s">
        <v>780</v>
      </c>
      <c r="AK173" s="3" t="s">
        <v>362</v>
      </c>
    </row>
    <row r="174" spans="1:39" x14ac:dyDescent="0.25">
      <c r="A174" t="s">
        <v>1072</v>
      </c>
      <c r="B174" s="7">
        <v>44030</v>
      </c>
      <c r="C174" s="7" t="s">
        <v>844</v>
      </c>
      <c r="D174" s="3" t="s">
        <v>6</v>
      </c>
      <c r="E174" s="3" t="s">
        <v>446</v>
      </c>
      <c r="F174" s="3" t="s">
        <v>25</v>
      </c>
      <c r="G174" s="3" t="s">
        <v>19</v>
      </c>
      <c r="H174" s="9">
        <v>38.755076481197598</v>
      </c>
      <c r="I174" s="9">
        <v>0.231775054384984</v>
      </c>
      <c r="J174" s="3">
        <v>1</v>
      </c>
      <c r="K174" s="3">
        <v>1</v>
      </c>
      <c r="L174" s="3">
        <v>0</v>
      </c>
      <c r="M174" s="3">
        <v>0</v>
      </c>
      <c r="N174" s="3" t="s">
        <v>16</v>
      </c>
      <c r="O174" s="3">
        <v>0</v>
      </c>
      <c r="P174" s="3">
        <v>1</v>
      </c>
      <c r="Q174" s="3">
        <v>0</v>
      </c>
      <c r="R174" s="3">
        <v>1</v>
      </c>
      <c r="S174" s="3">
        <v>0</v>
      </c>
      <c r="T174" s="3">
        <v>0</v>
      </c>
      <c r="U174" s="3">
        <v>0</v>
      </c>
      <c r="V174" s="3">
        <v>0</v>
      </c>
      <c r="W174" s="3" t="s">
        <v>6</v>
      </c>
      <c r="X174" s="3">
        <v>0</v>
      </c>
      <c r="Y174" s="3">
        <v>0</v>
      </c>
      <c r="Z174" s="3">
        <v>0</v>
      </c>
      <c r="AA174" s="3">
        <v>0</v>
      </c>
      <c r="AB174" s="3">
        <v>0</v>
      </c>
      <c r="AC174" s="3">
        <v>0</v>
      </c>
      <c r="AD174" s="3">
        <v>0</v>
      </c>
      <c r="AE174" s="3">
        <v>0</v>
      </c>
      <c r="AF174" s="3">
        <v>0</v>
      </c>
      <c r="AG174" s="3">
        <v>0</v>
      </c>
      <c r="AH174" s="3" t="s">
        <v>17</v>
      </c>
      <c r="AI174" s="3" t="s">
        <v>780</v>
      </c>
      <c r="AK174" s="3" t="s">
        <v>447</v>
      </c>
    </row>
    <row r="175" spans="1:39" x14ac:dyDescent="0.25">
      <c r="A175" t="s">
        <v>1077</v>
      </c>
      <c r="B175" s="7">
        <v>44030</v>
      </c>
      <c r="C175" s="7" t="s">
        <v>844</v>
      </c>
      <c r="D175" s="3" t="s">
        <v>6</v>
      </c>
      <c r="E175" s="3" t="s">
        <v>26</v>
      </c>
      <c r="F175" s="3" t="s">
        <v>78</v>
      </c>
      <c r="G175" s="3" t="s">
        <v>19</v>
      </c>
      <c r="H175" s="9">
        <v>39.8848787855311</v>
      </c>
      <c r="I175" s="9">
        <v>0.67754618524339105</v>
      </c>
      <c r="J175" s="3">
        <v>1</v>
      </c>
      <c r="K175" s="3">
        <v>1</v>
      </c>
      <c r="L175" s="3">
        <v>0</v>
      </c>
      <c r="M175" s="3">
        <v>0</v>
      </c>
      <c r="N175" s="3" t="s">
        <v>66</v>
      </c>
      <c r="O175" s="3">
        <v>0</v>
      </c>
      <c r="P175" s="3">
        <v>1</v>
      </c>
      <c r="Q175" s="3">
        <v>0</v>
      </c>
      <c r="R175" s="3">
        <v>0</v>
      </c>
      <c r="S175" s="3">
        <v>0</v>
      </c>
      <c r="T175" s="3">
        <v>0</v>
      </c>
      <c r="U175" s="3">
        <v>0</v>
      </c>
      <c r="V175" s="3">
        <v>1</v>
      </c>
      <c r="W175" s="3" t="s">
        <v>6</v>
      </c>
      <c r="X175" s="3">
        <v>0</v>
      </c>
      <c r="Y175" s="3">
        <v>0</v>
      </c>
      <c r="Z175" s="3">
        <v>0</v>
      </c>
      <c r="AA175" s="3">
        <v>0</v>
      </c>
      <c r="AB175" s="3">
        <v>0</v>
      </c>
      <c r="AC175" s="3">
        <v>0</v>
      </c>
      <c r="AD175" s="3">
        <v>0</v>
      </c>
      <c r="AE175" s="3">
        <v>0</v>
      </c>
      <c r="AF175" s="3">
        <v>0</v>
      </c>
      <c r="AG175" s="3">
        <v>0</v>
      </c>
      <c r="AH175" s="3" t="s">
        <v>17</v>
      </c>
      <c r="AI175" s="3" t="s">
        <v>780</v>
      </c>
      <c r="AK175" s="3" t="s">
        <v>455</v>
      </c>
    </row>
    <row r="176" spans="1:39" x14ac:dyDescent="0.25">
      <c r="A176" t="s">
        <v>1080</v>
      </c>
      <c r="B176" s="7">
        <v>44030</v>
      </c>
      <c r="C176" s="7" t="s">
        <v>844</v>
      </c>
      <c r="D176" s="3" t="s">
        <v>6</v>
      </c>
      <c r="E176" s="3" t="s">
        <v>109</v>
      </c>
      <c r="F176" s="3" t="s">
        <v>57</v>
      </c>
      <c r="G176" s="3" t="s">
        <v>21</v>
      </c>
      <c r="H176" s="9">
        <v>36.725112358416403</v>
      </c>
      <c r="I176" s="9">
        <v>-3.7560285410766698</v>
      </c>
      <c r="J176" s="3">
        <v>1</v>
      </c>
      <c r="K176" s="3">
        <v>1</v>
      </c>
      <c r="L176" s="3">
        <v>0</v>
      </c>
      <c r="M176" s="3">
        <v>0</v>
      </c>
      <c r="N176" s="3" t="s">
        <v>66</v>
      </c>
      <c r="O176" s="3">
        <v>0</v>
      </c>
      <c r="P176" s="3">
        <v>1</v>
      </c>
      <c r="Q176" s="3">
        <v>0</v>
      </c>
      <c r="R176" s="3">
        <v>1</v>
      </c>
      <c r="S176" s="3">
        <v>0</v>
      </c>
      <c r="T176" s="3">
        <v>0</v>
      </c>
      <c r="U176" s="3">
        <v>0</v>
      </c>
      <c r="V176" s="3">
        <v>0</v>
      </c>
      <c r="W176" s="3" t="s">
        <v>6</v>
      </c>
      <c r="X176" s="3">
        <v>0</v>
      </c>
      <c r="Y176" s="3">
        <v>0</v>
      </c>
      <c r="Z176" s="3">
        <v>0</v>
      </c>
      <c r="AA176" s="3">
        <v>0</v>
      </c>
      <c r="AB176" s="3">
        <v>0</v>
      </c>
      <c r="AC176" s="3">
        <v>0</v>
      </c>
      <c r="AD176" s="3">
        <v>0</v>
      </c>
      <c r="AE176" s="3">
        <v>0</v>
      </c>
      <c r="AF176" s="3">
        <v>0</v>
      </c>
      <c r="AG176" s="3">
        <v>0</v>
      </c>
      <c r="AH176" s="3" t="s">
        <v>17</v>
      </c>
      <c r="AI176" s="3" t="s">
        <v>780</v>
      </c>
      <c r="AK176" s="3" t="s">
        <v>458</v>
      </c>
    </row>
    <row r="177" spans="1:39" x14ac:dyDescent="0.25">
      <c r="A177" t="s">
        <v>1103</v>
      </c>
      <c r="B177" s="7">
        <v>44030</v>
      </c>
      <c r="C177" s="7" t="s">
        <v>844</v>
      </c>
      <c r="D177" s="3" t="s">
        <v>6</v>
      </c>
      <c r="E177" s="3" t="s">
        <v>128</v>
      </c>
      <c r="F177" s="3" t="s">
        <v>23</v>
      </c>
      <c r="G177" s="3" t="s">
        <v>23</v>
      </c>
      <c r="H177" s="9">
        <v>37.576737830863102</v>
      </c>
      <c r="I177" s="9">
        <v>-0.98768560240091396</v>
      </c>
      <c r="J177" s="3">
        <v>1</v>
      </c>
      <c r="K177" s="3">
        <v>1</v>
      </c>
      <c r="L177" s="3">
        <v>0</v>
      </c>
      <c r="M177" s="3">
        <v>0</v>
      </c>
      <c r="N177" s="3" t="s">
        <v>16</v>
      </c>
      <c r="O177" s="3">
        <v>0</v>
      </c>
      <c r="P177" s="3">
        <v>1</v>
      </c>
      <c r="Q177" s="3">
        <v>0</v>
      </c>
      <c r="R177" s="3">
        <v>1</v>
      </c>
      <c r="S177" s="3">
        <v>0</v>
      </c>
      <c r="T177" s="3">
        <v>0</v>
      </c>
      <c r="U177" s="3">
        <v>0</v>
      </c>
      <c r="V177" s="3">
        <v>0</v>
      </c>
      <c r="W177" s="3" t="s">
        <v>6</v>
      </c>
      <c r="X177" s="3">
        <v>1</v>
      </c>
      <c r="Y177" s="3">
        <v>0</v>
      </c>
      <c r="Z177" s="3">
        <v>0</v>
      </c>
      <c r="AA177" s="3">
        <v>1</v>
      </c>
      <c r="AB177" s="3">
        <v>0</v>
      </c>
      <c r="AC177" s="3">
        <v>0</v>
      </c>
      <c r="AD177" s="3">
        <v>0</v>
      </c>
      <c r="AE177" s="3">
        <v>0</v>
      </c>
      <c r="AF177" s="3">
        <v>0</v>
      </c>
      <c r="AG177" s="3">
        <v>0</v>
      </c>
      <c r="AH177" s="3" t="s">
        <v>17</v>
      </c>
      <c r="AI177" s="3" t="s">
        <v>776</v>
      </c>
      <c r="AK177" s="3" t="s">
        <v>498</v>
      </c>
      <c r="AL177" s="3" t="s">
        <v>463</v>
      </c>
    </row>
    <row r="178" spans="1:39" x14ac:dyDescent="0.25">
      <c r="A178" t="s">
        <v>1070</v>
      </c>
      <c r="B178" s="7">
        <v>44031</v>
      </c>
      <c r="C178" s="7" t="s">
        <v>844</v>
      </c>
      <c r="D178" s="3" t="s">
        <v>6</v>
      </c>
      <c r="E178" s="3" t="s">
        <v>443</v>
      </c>
      <c r="F178" s="3" t="s">
        <v>25</v>
      </c>
      <c r="G178" s="3" t="s">
        <v>19</v>
      </c>
      <c r="H178" s="9">
        <v>38.636629585303702</v>
      </c>
      <c r="I178" s="9">
        <v>7.8172000831369201E-2</v>
      </c>
      <c r="J178" s="3">
        <v>1</v>
      </c>
      <c r="K178" s="3">
        <v>1</v>
      </c>
      <c r="L178" s="3">
        <v>0</v>
      </c>
      <c r="M178" s="3">
        <v>0</v>
      </c>
      <c r="N178" s="3" t="s">
        <v>16</v>
      </c>
      <c r="O178" s="3">
        <v>0</v>
      </c>
      <c r="P178" s="3">
        <v>1</v>
      </c>
      <c r="Q178" s="3">
        <v>0</v>
      </c>
      <c r="R178" s="3">
        <v>1</v>
      </c>
      <c r="S178" s="3">
        <v>0</v>
      </c>
      <c r="T178" s="3">
        <v>0</v>
      </c>
      <c r="U178" s="3">
        <v>0</v>
      </c>
      <c r="V178" s="3">
        <v>0</v>
      </c>
      <c r="W178" s="3" t="s">
        <v>6</v>
      </c>
      <c r="X178" s="3">
        <v>1</v>
      </c>
      <c r="Y178" s="3">
        <v>0</v>
      </c>
      <c r="Z178" s="3">
        <v>0</v>
      </c>
      <c r="AA178" s="3">
        <v>1</v>
      </c>
      <c r="AB178" s="3">
        <v>0</v>
      </c>
      <c r="AC178" s="3">
        <v>0</v>
      </c>
      <c r="AD178" s="3">
        <v>0</v>
      </c>
      <c r="AE178" s="3">
        <v>0</v>
      </c>
      <c r="AF178" s="3">
        <v>0</v>
      </c>
      <c r="AG178" s="3">
        <v>0</v>
      </c>
      <c r="AH178" s="3" t="s">
        <v>17</v>
      </c>
      <c r="AI178" s="3" t="s">
        <v>780</v>
      </c>
      <c r="AK178" s="3" t="s">
        <v>444</v>
      </c>
      <c r="AL178" s="3" t="s">
        <v>240</v>
      </c>
    </row>
    <row r="179" spans="1:39" x14ac:dyDescent="0.25">
      <c r="A179" t="s">
        <v>1115</v>
      </c>
      <c r="B179" s="7">
        <v>44031</v>
      </c>
      <c r="C179" s="7" t="s">
        <v>844</v>
      </c>
      <c r="D179" s="3" t="s">
        <v>6</v>
      </c>
      <c r="E179" s="3" t="s">
        <v>574</v>
      </c>
      <c r="F179" s="3" t="s">
        <v>78</v>
      </c>
      <c r="G179" s="3" t="s">
        <v>19</v>
      </c>
      <c r="H179" s="9">
        <v>40.091444416998499</v>
      </c>
      <c r="I179" s="9">
        <v>0.14714780371144601</v>
      </c>
      <c r="J179" s="3">
        <v>1</v>
      </c>
      <c r="K179" s="3">
        <v>1</v>
      </c>
      <c r="L179" s="3">
        <v>0</v>
      </c>
      <c r="M179" s="3">
        <v>0</v>
      </c>
      <c r="N179" s="3" t="s">
        <v>66</v>
      </c>
      <c r="O179" s="3">
        <v>0</v>
      </c>
      <c r="P179" s="3">
        <v>0</v>
      </c>
      <c r="Q179" s="3">
        <v>1</v>
      </c>
      <c r="R179" s="3">
        <v>1</v>
      </c>
      <c r="S179" s="3">
        <v>0</v>
      </c>
      <c r="T179" s="3">
        <v>0</v>
      </c>
      <c r="U179" s="3">
        <v>0</v>
      </c>
      <c r="V179" s="3">
        <v>0</v>
      </c>
      <c r="W179" s="3" t="s">
        <v>6</v>
      </c>
      <c r="X179" s="3">
        <v>1</v>
      </c>
      <c r="Y179" s="3">
        <v>0</v>
      </c>
      <c r="Z179" s="3">
        <v>0</v>
      </c>
      <c r="AA179" s="3">
        <v>0</v>
      </c>
      <c r="AB179" s="3">
        <v>0</v>
      </c>
      <c r="AC179" s="3">
        <v>0</v>
      </c>
      <c r="AD179" s="3">
        <v>0</v>
      </c>
      <c r="AE179" s="3">
        <v>0</v>
      </c>
      <c r="AF179" s="3">
        <v>0</v>
      </c>
      <c r="AG179" s="3">
        <v>1</v>
      </c>
      <c r="AH179" s="3" t="s">
        <v>233</v>
      </c>
      <c r="AI179" s="3" t="s">
        <v>793</v>
      </c>
      <c r="AK179" s="3" t="s">
        <v>569</v>
      </c>
      <c r="AL179" s="3" t="s">
        <v>570</v>
      </c>
    </row>
    <row r="180" spans="1:39" x14ac:dyDescent="0.25">
      <c r="A180" t="s">
        <v>1066</v>
      </c>
      <c r="B180" s="7">
        <v>44032</v>
      </c>
      <c r="C180" s="7" t="s">
        <v>844</v>
      </c>
      <c r="D180" s="3" t="s">
        <v>6</v>
      </c>
      <c r="E180" s="3" t="s">
        <v>136</v>
      </c>
      <c r="F180" s="3" t="s">
        <v>25</v>
      </c>
      <c r="G180" s="3" t="s">
        <v>19</v>
      </c>
      <c r="H180" s="9">
        <v>38.7929670525726</v>
      </c>
      <c r="I180" s="9">
        <v>0.18883791371825401</v>
      </c>
      <c r="J180" s="3">
        <v>3</v>
      </c>
      <c r="K180" s="3">
        <v>3</v>
      </c>
      <c r="L180" s="3">
        <v>0</v>
      </c>
      <c r="M180" s="3">
        <v>0</v>
      </c>
      <c r="N180" s="3" t="s">
        <v>6</v>
      </c>
      <c r="O180" s="3">
        <v>0</v>
      </c>
      <c r="P180" s="3">
        <v>0</v>
      </c>
      <c r="Q180" s="3">
        <v>3</v>
      </c>
      <c r="R180" s="3">
        <v>0</v>
      </c>
      <c r="S180" s="3">
        <v>0</v>
      </c>
      <c r="T180" s="3">
        <v>0</v>
      </c>
      <c r="U180" s="3">
        <v>0</v>
      </c>
      <c r="V180" s="3">
        <v>3</v>
      </c>
      <c r="W180" s="3" t="s">
        <v>6</v>
      </c>
      <c r="X180" s="3">
        <v>1</v>
      </c>
      <c r="Y180" s="3">
        <v>0</v>
      </c>
      <c r="Z180" s="3">
        <v>0</v>
      </c>
      <c r="AA180" s="3">
        <v>0</v>
      </c>
      <c r="AB180" s="3">
        <v>0</v>
      </c>
      <c r="AC180" s="3">
        <v>0</v>
      </c>
      <c r="AD180" s="3">
        <v>0</v>
      </c>
      <c r="AE180" s="3">
        <v>0</v>
      </c>
      <c r="AF180" s="3">
        <v>0</v>
      </c>
      <c r="AG180" s="3">
        <v>1</v>
      </c>
      <c r="AH180" s="3" t="s">
        <v>17</v>
      </c>
      <c r="AI180" s="3" t="s">
        <v>780</v>
      </c>
      <c r="AK180" s="3" t="s">
        <v>435</v>
      </c>
      <c r="AL180" s="3" t="s">
        <v>436</v>
      </c>
    </row>
    <row r="181" spans="1:39" x14ac:dyDescent="0.25">
      <c r="A181" t="s">
        <v>1069</v>
      </c>
      <c r="B181" s="7">
        <v>44032</v>
      </c>
      <c r="C181" s="7" t="s">
        <v>844</v>
      </c>
      <c r="D181" s="3" t="s">
        <v>6</v>
      </c>
      <c r="E181" s="3" t="s">
        <v>441</v>
      </c>
      <c r="F181" s="3" t="s">
        <v>78</v>
      </c>
      <c r="G181" s="3" t="s">
        <v>19</v>
      </c>
      <c r="H181" s="9">
        <v>39.899933148163797</v>
      </c>
      <c r="I181" s="9">
        <v>0.68324742169858299</v>
      </c>
      <c r="J181" s="3">
        <v>1</v>
      </c>
      <c r="K181" s="3">
        <v>1</v>
      </c>
      <c r="L181" s="3">
        <v>0</v>
      </c>
      <c r="M181" s="3">
        <v>0</v>
      </c>
      <c r="N181" s="3" t="s">
        <v>6</v>
      </c>
      <c r="O181" s="3">
        <v>0</v>
      </c>
      <c r="P181" s="3">
        <v>0</v>
      </c>
      <c r="Q181" s="3">
        <v>1</v>
      </c>
      <c r="R181" s="3">
        <v>0</v>
      </c>
      <c r="S181" s="3">
        <v>0</v>
      </c>
      <c r="T181" s="3">
        <v>0</v>
      </c>
      <c r="U181" s="3">
        <v>0</v>
      </c>
      <c r="V181" s="3">
        <v>1</v>
      </c>
      <c r="W181" s="3" t="s">
        <v>6</v>
      </c>
      <c r="X181" s="3">
        <v>0</v>
      </c>
      <c r="Y181" s="3">
        <v>0</v>
      </c>
      <c r="Z181" s="3">
        <v>0</v>
      </c>
      <c r="AA181" s="3">
        <v>0</v>
      </c>
      <c r="AB181" s="3">
        <v>0</v>
      </c>
      <c r="AC181" s="3">
        <v>0</v>
      </c>
      <c r="AD181" s="3">
        <v>0</v>
      </c>
      <c r="AE181" s="3">
        <v>0</v>
      </c>
      <c r="AF181" s="3">
        <v>0</v>
      </c>
      <c r="AG181" s="3">
        <v>0</v>
      </c>
      <c r="AH181" s="3" t="s">
        <v>17</v>
      </c>
      <c r="AI181" s="3" t="s">
        <v>780</v>
      </c>
      <c r="AK181" s="3" t="s">
        <v>442</v>
      </c>
    </row>
    <row r="182" spans="1:39" x14ac:dyDescent="0.25">
      <c r="A182" t="s">
        <v>1075</v>
      </c>
      <c r="B182" s="7">
        <v>44032</v>
      </c>
      <c r="C182" s="7" t="s">
        <v>844</v>
      </c>
      <c r="D182" s="4">
        <v>0.60416666666666663</v>
      </c>
      <c r="E182" s="3" t="s">
        <v>477</v>
      </c>
      <c r="F182" s="3" t="s">
        <v>25</v>
      </c>
      <c r="G182" s="3" t="s">
        <v>19</v>
      </c>
      <c r="H182" s="9">
        <v>38.563220088068299</v>
      </c>
      <c r="I182" s="9">
        <v>-4.4406848188814602E-2</v>
      </c>
      <c r="J182" s="3">
        <v>1</v>
      </c>
      <c r="K182" s="3">
        <v>1</v>
      </c>
      <c r="L182" s="3">
        <v>0</v>
      </c>
      <c r="M182" s="3">
        <v>0</v>
      </c>
      <c r="N182" s="3" t="s">
        <v>66</v>
      </c>
      <c r="O182" s="3">
        <v>0</v>
      </c>
      <c r="P182" s="3">
        <v>1</v>
      </c>
      <c r="Q182" s="3">
        <v>0</v>
      </c>
      <c r="R182" s="3">
        <v>1</v>
      </c>
      <c r="S182" s="3">
        <v>0</v>
      </c>
      <c r="T182" s="3">
        <v>0</v>
      </c>
      <c r="U182" s="3">
        <v>0</v>
      </c>
      <c r="V182" s="3">
        <v>0</v>
      </c>
      <c r="W182" s="3" t="s">
        <v>6</v>
      </c>
      <c r="X182" s="3">
        <v>0</v>
      </c>
      <c r="Y182" s="3">
        <v>0</v>
      </c>
      <c r="Z182" s="3">
        <v>0</v>
      </c>
      <c r="AA182" s="3">
        <v>0</v>
      </c>
      <c r="AB182" s="3">
        <v>0</v>
      </c>
      <c r="AC182" s="3">
        <v>0</v>
      </c>
      <c r="AD182" s="3">
        <v>0</v>
      </c>
      <c r="AE182" s="3">
        <v>0</v>
      </c>
      <c r="AF182" s="3">
        <v>0</v>
      </c>
      <c r="AG182" s="3">
        <v>0</v>
      </c>
      <c r="AH182" s="3" t="s">
        <v>17</v>
      </c>
      <c r="AI182" s="3" t="s">
        <v>780</v>
      </c>
      <c r="AK182" s="3" t="s">
        <v>452</v>
      </c>
    </row>
    <row r="183" spans="1:39" x14ac:dyDescent="0.25">
      <c r="A183" t="s">
        <v>1349</v>
      </c>
      <c r="B183" s="7">
        <v>44035</v>
      </c>
      <c r="C183" s="7" t="s">
        <v>844</v>
      </c>
      <c r="D183" s="68">
        <v>0.47638888888888892</v>
      </c>
      <c r="E183" s="3" t="s">
        <v>42</v>
      </c>
      <c r="F183" s="3" t="s">
        <v>47</v>
      </c>
      <c r="G183" s="3" t="s">
        <v>21</v>
      </c>
      <c r="H183" s="9">
        <v>36.723761000000003</v>
      </c>
      <c r="I183" s="9">
        <v>-2.1940249999999999</v>
      </c>
      <c r="J183" s="3">
        <v>1</v>
      </c>
      <c r="K183" s="3">
        <v>1</v>
      </c>
      <c r="L183" s="3">
        <v>0</v>
      </c>
      <c r="M183" s="3">
        <v>0</v>
      </c>
      <c r="N183" s="3" t="s">
        <v>66</v>
      </c>
      <c r="O183" s="3">
        <v>0</v>
      </c>
      <c r="P183" s="3">
        <v>1</v>
      </c>
      <c r="Q183" s="3">
        <v>0</v>
      </c>
      <c r="R183" s="3">
        <v>1</v>
      </c>
      <c r="S183" s="3">
        <v>0</v>
      </c>
      <c r="T183" s="3">
        <v>0</v>
      </c>
      <c r="U183" s="3">
        <v>0</v>
      </c>
      <c r="V183" s="3">
        <v>0</v>
      </c>
      <c r="W183" s="3" t="s">
        <v>6</v>
      </c>
      <c r="X183" s="3">
        <v>0</v>
      </c>
      <c r="Y183" s="3">
        <v>0</v>
      </c>
      <c r="Z183" s="3">
        <v>0</v>
      </c>
      <c r="AA183" s="3">
        <v>0</v>
      </c>
      <c r="AB183" s="3">
        <v>0</v>
      </c>
      <c r="AC183" s="3">
        <v>0</v>
      </c>
      <c r="AD183" s="3">
        <v>0</v>
      </c>
      <c r="AE183" s="3">
        <v>0</v>
      </c>
      <c r="AF183" s="3">
        <v>0</v>
      </c>
      <c r="AG183" s="3">
        <v>0</v>
      </c>
      <c r="AH183" s="3" t="s">
        <v>775</v>
      </c>
      <c r="AI183" s="3" t="s">
        <v>80</v>
      </c>
      <c r="AK183" t="s">
        <v>276</v>
      </c>
      <c r="AL183" s="3" t="s">
        <v>22</v>
      </c>
      <c r="AM183" t="s">
        <v>22</v>
      </c>
    </row>
    <row r="184" spans="1:39" x14ac:dyDescent="0.25">
      <c r="A184" t="s">
        <v>1005</v>
      </c>
      <c r="B184" s="7">
        <v>44035</v>
      </c>
      <c r="C184" s="7" t="s">
        <v>844</v>
      </c>
      <c r="D184" s="3" t="s">
        <v>6</v>
      </c>
      <c r="F184" s="3" t="s">
        <v>23</v>
      </c>
      <c r="G184" s="3" t="s">
        <v>23</v>
      </c>
      <c r="H184" s="9">
        <v>37.4801175315866</v>
      </c>
      <c r="I184" s="9">
        <v>-1.4234414528945201</v>
      </c>
      <c r="J184" s="3">
        <v>1</v>
      </c>
      <c r="K184" s="3">
        <v>1</v>
      </c>
      <c r="L184" s="3">
        <v>0</v>
      </c>
      <c r="M184" s="3">
        <v>0</v>
      </c>
      <c r="N184" s="3" t="s">
        <v>6</v>
      </c>
      <c r="O184" s="3">
        <v>0</v>
      </c>
      <c r="P184" s="3">
        <v>1</v>
      </c>
      <c r="Q184" s="3">
        <v>0</v>
      </c>
      <c r="R184" s="3">
        <v>1</v>
      </c>
      <c r="S184" s="3">
        <v>0</v>
      </c>
      <c r="T184" s="3">
        <v>0</v>
      </c>
      <c r="U184" s="3">
        <v>0</v>
      </c>
      <c r="V184" s="3">
        <v>0</v>
      </c>
      <c r="W184" s="3" t="s">
        <v>6</v>
      </c>
      <c r="X184" s="3">
        <v>1</v>
      </c>
      <c r="Y184" s="3">
        <v>0</v>
      </c>
      <c r="Z184" s="3">
        <v>0</v>
      </c>
      <c r="AA184" s="3">
        <v>1</v>
      </c>
      <c r="AB184" s="3">
        <v>0</v>
      </c>
      <c r="AC184" s="3">
        <v>0</v>
      </c>
      <c r="AD184" s="3">
        <v>0</v>
      </c>
      <c r="AE184" s="3">
        <v>0</v>
      </c>
      <c r="AF184" s="3">
        <v>0</v>
      </c>
      <c r="AG184" s="3">
        <v>0</v>
      </c>
      <c r="AH184" s="3" t="s">
        <v>775</v>
      </c>
      <c r="AI184" s="3" t="s">
        <v>81</v>
      </c>
      <c r="AK184" s="3" t="s">
        <v>330</v>
      </c>
      <c r="AL184" s="3" t="s">
        <v>240</v>
      </c>
    </row>
    <row r="185" spans="1:39" x14ac:dyDescent="0.25">
      <c r="A185" t="s">
        <v>1076</v>
      </c>
      <c r="B185" s="7">
        <v>44035</v>
      </c>
      <c r="C185" s="7" t="s">
        <v>844</v>
      </c>
      <c r="D185" s="3" t="s">
        <v>6</v>
      </c>
      <c r="E185" s="3" t="s">
        <v>453</v>
      </c>
      <c r="F185" s="3" t="s">
        <v>23</v>
      </c>
      <c r="G185" s="3" t="s">
        <v>23</v>
      </c>
      <c r="H185" s="9">
        <v>37.755046166765901</v>
      </c>
      <c r="I185" s="9">
        <v>-0.74180385145648298</v>
      </c>
      <c r="J185" s="3">
        <v>2</v>
      </c>
      <c r="K185" s="3">
        <v>2</v>
      </c>
      <c r="L185" s="3">
        <v>0</v>
      </c>
      <c r="M185" s="3">
        <v>0</v>
      </c>
      <c r="N185" s="3" t="s">
        <v>6</v>
      </c>
      <c r="O185" s="3">
        <v>0</v>
      </c>
      <c r="P185" s="3">
        <v>0</v>
      </c>
      <c r="Q185" s="3">
        <v>2</v>
      </c>
      <c r="R185" s="3">
        <v>0</v>
      </c>
      <c r="S185" s="3">
        <v>0</v>
      </c>
      <c r="T185" s="3">
        <v>0</v>
      </c>
      <c r="U185" s="3">
        <v>0</v>
      </c>
      <c r="V185" s="3">
        <v>2</v>
      </c>
      <c r="W185" s="3" t="s">
        <v>6</v>
      </c>
      <c r="X185" s="3">
        <v>0</v>
      </c>
      <c r="Y185" s="3">
        <v>0</v>
      </c>
      <c r="Z185" s="3">
        <v>0</v>
      </c>
      <c r="AA185" s="3">
        <v>0</v>
      </c>
      <c r="AB185" s="3">
        <v>0</v>
      </c>
      <c r="AC185" s="3">
        <v>0</v>
      </c>
      <c r="AD185" s="3">
        <v>0</v>
      </c>
      <c r="AE185" s="3">
        <v>0</v>
      </c>
      <c r="AF185" s="3">
        <v>0</v>
      </c>
      <c r="AG185" s="3">
        <v>0</v>
      </c>
      <c r="AH185" s="3" t="s">
        <v>17</v>
      </c>
      <c r="AI185" s="3" t="s">
        <v>780</v>
      </c>
      <c r="AK185" s="3" t="s">
        <v>454</v>
      </c>
    </row>
    <row r="186" spans="1:39" x14ac:dyDescent="0.25">
      <c r="A186" t="s">
        <v>1089</v>
      </c>
      <c r="B186" s="7">
        <v>44035</v>
      </c>
      <c r="C186" s="7" t="s">
        <v>844</v>
      </c>
      <c r="D186" s="3" t="s">
        <v>6</v>
      </c>
      <c r="E186" s="3" t="s">
        <v>470</v>
      </c>
      <c r="F186" s="3" t="s">
        <v>25</v>
      </c>
      <c r="G186" s="3" t="s">
        <v>19</v>
      </c>
      <c r="H186" s="9">
        <v>38.5484659346413</v>
      </c>
      <c r="I186" s="9">
        <v>-6.1266784475674803E-2</v>
      </c>
      <c r="J186" s="3">
        <v>4</v>
      </c>
      <c r="K186" s="3">
        <v>4</v>
      </c>
      <c r="L186" s="3">
        <v>0</v>
      </c>
      <c r="M186" s="3">
        <v>0</v>
      </c>
      <c r="N186" s="3" t="s">
        <v>16</v>
      </c>
      <c r="O186" s="3">
        <v>0</v>
      </c>
      <c r="P186" s="3">
        <v>4</v>
      </c>
      <c r="Q186" s="3">
        <v>0</v>
      </c>
      <c r="R186" s="3">
        <v>4</v>
      </c>
      <c r="S186" s="3">
        <v>0</v>
      </c>
      <c r="T186" s="3">
        <v>0</v>
      </c>
      <c r="U186" s="3">
        <v>0</v>
      </c>
      <c r="V186" s="3">
        <v>0</v>
      </c>
      <c r="W186" s="3" t="s">
        <v>6</v>
      </c>
      <c r="X186" s="3">
        <v>1</v>
      </c>
      <c r="Y186" s="3">
        <v>0</v>
      </c>
      <c r="Z186" s="3">
        <v>0</v>
      </c>
      <c r="AA186" s="3">
        <v>0</v>
      </c>
      <c r="AB186" s="3">
        <v>0</v>
      </c>
      <c r="AC186" s="3">
        <v>1</v>
      </c>
      <c r="AD186" s="3">
        <v>0</v>
      </c>
      <c r="AE186" s="3">
        <v>0</v>
      </c>
      <c r="AF186" s="3">
        <v>0</v>
      </c>
      <c r="AG186" s="3">
        <v>0</v>
      </c>
      <c r="AH186" s="3" t="s">
        <v>17</v>
      </c>
      <c r="AI186" s="3" t="s">
        <v>780</v>
      </c>
      <c r="AK186" s="3" t="s">
        <v>471</v>
      </c>
      <c r="AL186" s="3" t="s">
        <v>472</v>
      </c>
    </row>
    <row r="187" spans="1:39" x14ac:dyDescent="0.25">
      <c r="A187" t="s">
        <v>1330</v>
      </c>
      <c r="B187" s="7">
        <v>44037</v>
      </c>
      <c r="C187" s="7" t="s">
        <v>844</v>
      </c>
      <c r="D187" s="68">
        <v>0.56874999999999998</v>
      </c>
      <c r="E187" s="3" t="s">
        <v>56</v>
      </c>
      <c r="F187" s="3" t="s">
        <v>57</v>
      </c>
      <c r="G187" s="3" t="s">
        <v>21</v>
      </c>
      <c r="H187" s="9">
        <v>36.721260000000001</v>
      </c>
      <c r="I187" s="9">
        <v>-3.7274400000000001</v>
      </c>
      <c r="J187" s="3">
        <v>1</v>
      </c>
      <c r="K187" s="3">
        <v>1</v>
      </c>
      <c r="L187" s="3">
        <v>0</v>
      </c>
      <c r="M187" s="3">
        <v>0</v>
      </c>
      <c r="N187" s="3" t="s">
        <v>16</v>
      </c>
      <c r="O187" s="3">
        <v>0</v>
      </c>
      <c r="P187" s="3">
        <v>1</v>
      </c>
      <c r="Q187" s="3">
        <v>0</v>
      </c>
      <c r="R187" s="3">
        <v>0</v>
      </c>
      <c r="S187" s="3">
        <v>0</v>
      </c>
      <c r="T187" s="3">
        <v>0</v>
      </c>
      <c r="U187" s="3">
        <v>0</v>
      </c>
      <c r="V187" s="3">
        <v>1</v>
      </c>
      <c r="W187" s="3" t="s">
        <v>6</v>
      </c>
      <c r="X187" s="3">
        <v>1</v>
      </c>
      <c r="Y187" s="3">
        <v>0</v>
      </c>
      <c r="Z187" s="3">
        <v>0</v>
      </c>
      <c r="AA187" s="3">
        <v>1</v>
      </c>
      <c r="AB187" s="3">
        <v>0</v>
      </c>
      <c r="AC187" s="3">
        <v>0</v>
      </c>
      <c r="AD187" s="3">
        <v>0</v>
      </c>
      <c r="AE187" s="3">
        <v>0</v>
      </c>
      <c r="AF187" s="3">
        <v>0</v>
      </c>
      <c r="AG187" s="3">
        <v>0</v>
      </c>
      <c r="AH187" s="3" t="s">
        <v>775</v>
      </c>
      <c r="AI187" s="3" t="s">
        <v>80</v>
      </c>
      <c r="AK187" t="s">
        <v>273</v>
      </c>
      <c r="AL187" s="3" t="s">
        <v>287</v>
      </c>
      <c r="AM187" t="s">
        <v>22</v>
      </c>
    </row>
    <row r="188" spans="1:39" x14ac:dyDescent="0.25">
      <c r="A188" t="s">
        <v>1025</v>
      </c>
      <c r="B188" s="7">
        <v>44037</v>
      </c>
      <c r="C188" s="7" t="s">
        <v>844</v>
      </c>
      <c r="D188" s="3" t="s">
        <v>6</v>
      </c>
      <c r="E188" s="3" t="s">
        <v>64</v>
      </c>
      <c r="F188" s="3" t="s">
        <v>25</v>
      </c>
      <c r="G188" s="3" t="s">
        <v>19</v>
      </c>
      <c r="H188" s="9">
        <v>38.015931731981901</v>
      </c>
      <c r="I188" s="9">
        <v>-0.65203819067532898</v>
      </c>
      <c r="J188" s="3">
        <v>1</v>
      </c>
      <c r="K188" s="3">
        <v>1</v>
      </c>
      <c r="L188" s="3">
        <v>0</v>
      </c>
      <c r="M188" s="3">
        <v>0</v>
      </c>
      <c r="N188" s="3" t="s">
        <v>6</v>
      </c>
      <c r="O188" s="3">
        <v>0</v>
      </c>
      <c r="P188" s="3">
        <v>0</v>
      </c>
      <c r="Q188" s="3">
        <v>1</v>
      </c>
      <c r="R188" s="3">
        <v>0</v>
      </c>
      <c r="S188" s="3">
        <v>0</v>
      </c>
      <c r="T188" s="3">
        <v>0</v>
      </c>
      <c r="U188" s="3">
        <v>0</v>
      </c>
      <c r="V188" s="3">
        <v>1</v>
      </c>
      <c r="W188" s="3" t="s">
        <v>6</v>
      </c>
      <c r="X188" s="3">
        <v>0</v>
      </c>
      <c r="Y188" s="3">
        <v>0</v>
      </c>
      <c r="Z188" s="3">
        <v>0</v>
      </c>
      <c r="AA188" s="3">
        <v>0</v>
      </c>
      <c r="AB188" s="3">
        <v>0</v>
      </c>
      <c r="AC188" s="3">
        <v>0</v>
      </c>
      <c r="AD188" s="3">
        <v>0</v>
      </c>
      <c r="AE188" s="3">
        <v>0</v>
      </c>
      <c r="AF188" s="3">
        <v>0</v>
      </c>
      <c r="AG188" s="3">
        <v>0</v>
      </c>
      <c r="AH188" s="3" t="s">
        <v>17</v>
      </c>
      <c r="AI188" s="3" t="s">
        <v>780</v>
      </c>
      <c r="AK188" s="3" t="s">
        <v>361</v>
      </c>
    </row>
    <row r="189" spans="1:39" x14ac:dyDescent="0.25">
      <c r="A189" t="s">
        <v>1088</v>
      </c>
      <c r="B189" s="7">
        <v>44037</v>
      </c>
      <c r="C189" s="7" t="s">
        <v>844</v>
      </c>
      <c r="D189" s="3" t="s">
        <v>6</v>
      </c>
      <c r="E189" s="3" t="s">
        <v>468</v>
      </c>
      <c r="F189" s="3" t="s">
        <v>25</v>
      </c>
      <c r="G189" s="3" t="s">
        <v>19</v>
      </c>
      <c r="H189" s="9">
        <v>38.633985893558801</v>
      </c>
      <c r="I189" s="9">
        <v>6.9443025330540503E-2</v>
      </c>
      <c r="J189" s="3">
        <v>1</v>
      </c>
      <c r="K189" s="3">
        <v>1</v>
      </c>
      <c r="L189" s="3">
        <v>0</v>
      </c>
      <c r="M189" s="3">
        <v>0</v>
      </c>
      <c r="N189" s="3" t="s">
        <v>16</v>
      </c>
      <c r="O189" s="3">
        <v>0</v>
      </c>
      <c r="P189" s="3">
        <v>1</v>
      </c>
      <c r="Q189" s="3">
        <v>0</v>
      </c>
      <c r="R189" s="3">
        <v>1</v>
      </c>
      <c r="S189" s="3">
        <v>0</v>
      </c>
      <c r="T189" s="3">
        <v>0</v>
      </c>
      <c r="U189" s="3">
        <v>0</v>
      </c>
      <c r="V189" s="3">
        <v>0</v>
      </c>
      <c r="W189" s="3" t="s">
        <v>6</v>
      </c>
      <c r="X189" s="3">
        <v>0</v>
      </c>
      <c r="Y189" s="3">
        <v>0</v>
      </c>
      <c r="Z189" s="3">
        <v>0</v>
      </c>
      <c r="AA189" s="3">
        <v>0</v>
      </c>
      <c r="AB189" s="3">
        <v>0</v>
      </c>
      <c r="AC189" s="3">
        <v>0</v>
      </c>
      <c r="AD189" s="3">
        <v>0</v>
      </c>
      <c r="AE189" s="3">
        <v>0</v>
      </c>
      <c r="AF189" s="3">
        <v>0</v>
      </c>
      <c r="AG189" s="3">
        <v>0</v>
      </c>
      <c r="AH189" s="3" t="s">
        <v>17</v>
      </c>
      <c r="AI189" s="3" t="s">
        <v>780</v>
      </c>
      <c r="AK189" s="3" t="s">
        <v>469</v>
      </c>
    </row>
    <row r="190" spans="1:39" x14ac:dyDescent="0.25">
      <c r="A190" t="s">
        <v>1090</v>
      </c>
      <c r="B190" s="7">
        <v>44037</v>
      </c>
      <c r="C190" s="7" t="s">
        <v>844</v>
      </c>
      <c r="D190" s="3" t="s">
        <v>6</v>
      </c>
      <c r="E190" s="3" t="s">
        <v>138</v>
      </c>
      <c r="F190" s="3" t="s">
        <v>23</v>
      </c>
      <c r="G190" s="3" t="s">
        <v>23</v>
      </c>
      <c r="H190" s="9">
        <v>37.6360655650331</v>
      </c>
      <c r="I190" s="9">
        <v>-0.68848406235358095</v>
      </c>
      <c r="J190" s="3">
        <v>1</v>
      </c>
      <c r="K190" s="3">
        <v>1</v>
      </c>
      <c r="L190" s="3">
        <v>0</v>
      </c>
      <c r="M190" s="3">
        <v>0</v>
      </c>
      <c r="N190" s="3" t="s">
        <v>16</v>
      </c>
      <c r="O190" s="3">
        <v>0</v>
      </c>
      <c r="P190" s="3">
        <v>0</v>
      </c>
      <c r="Q190" s="3">
        <v>1</v>
      </c>
      <c r="R190" s="3">
        <v>1</v>
      </c>
      <c r="S190" s="3">
        <v>0</v>
      </c>
      <c r="T190" s="3">
        <v>0</v>
      </c>
      <c r="U190" s="3">
        <v>0</v>
      </c>
      <c r="V190" s="3">
        <v>0</v>
      </c>
      <c r="W190" s="3" t="s">
        <v>6</v>
      </c>
      <c r="X190" s="3">
        <v>0</v>
      </c>
      <c r="Y190" s="3">
        <v>0</v>
      </c>
      <c r="Z190" s="3">
        <v>0</v>
      </c>
      <c r="AA190" s="3">
        <v>0</v>
      </c>
      <c r="AB190" s="3">
        <v>0</v>
      </c>
      <c r="AC190" s="3">
        <v>0</v>
      </c>
      <c r="AD190" s="3">
        <v>0</v>
      </c>
      <c r="AE190" s="3">
        <v>0</v>
      </c>
      <c r="AF190" s="3">
        <v>0</v>
      </c>
      <c r="AG190" s="3">
        <v>0</v>
      </c>
      <c r="AH190" s="3" t="s">
        <v>17</v>
      </c>
      <c r="AI190" s="3" t="s">
        <v>780</v>
      </c>
      <c r="AK190" s="3" t="s">
        <v>475</v>
      </c>
    </row>
    <row r="191" spans="1:39" x14ac:dyDescent="0.25">
      <c r="A191" t="s">
        <v>1073</v>
      </c>
      <c r="B191" s="7">
        <v>44038</v>
      </c>
      <c r="C191" s="7" t="s">
        <v>844</v>
      </c>
      <c r="D191" s="3" t="s">
        <v>6</v>
      </c>
      <c r="E191" s="3" t="s">
        <v>448</v>
      </c>
      <c r="F191" s="3" t="s">
        <v>25</v>
      </c>
      <c r="G191" s="3" t="s">
        <v>19</v>
      </c>
      <c r="H191" s="9">
        <v>38.535064483602198</v>
      </c>
      <c r="I191" s="9">
        <v>-0.13427602267184</v>
      </c>
      <c r="J191" s="3">
        <v>1</v>
      </c>
      <c r="K191" s="3">
        <v>1</v>
      </c>
      <c r="L191" s="3">
        <v>0</v>
      </c>
      <c r="M191" s="3">
        <v>0</v>
      </c>
      <c r="N191" s="3" t="s">
        <v>16</v>
      </c>
      <c r="O191" s="3">
        <v>0</v>
      </c>
      <c r="P191" s="3">
        <v>1</v>
      </c>
      <c r="Q191" s="3">
        <v>0</v>
      </c>
      <c r="R191" s="3">
        <v>0</v>
      </c>
      <c r="S191" s="3">
        <v>0</v>
      </c>
      <c r="T191" s="3">
        <v>0</v>
      </c>
      <c r="U191" s="3">
        <v>0</v>
      </c>
      <c r="V191" s="3">
        <v>1</v>
      </c>
      <c r="W191" s="3" t="s">
        <v>6</v>
      </c>
      <c r="X191" s="3">
        <v>0</v>
      </c>
      <c r="Y191" s="3">
        <v>0</v>
      </c>
      <c r="Z191" s="3">
        <v>0</v>
      </c>
      <c r="AA191" s="3">
        <v>0</v>
      </c>
      <c r="AB191" s="3">
        <v>0</v>
      </c>
      <c r="AC191" s="3">
        <v>0</v>
      </c>
      <c r="AD191" s="3">
        <v>0</v>
      </c>
      <c r="AE191" s="3">
        <v>0</v>
      </c>
      <c r="AF191" s="3">
        <v>0</v>
      </c>
      <c r="AG191" s="3">
        <v>0</v>
      </c>
      <c r="AH191" s="3" t="s">
        <v>17</v>
      </c>
      <c r="AI191" s="3" t="s">
        <v>780</v>
      </c>
      <c r="AK191" s="3" t="s">
        <v>449</v>
      </c>
    </row>
    <row r="192" spans="1:39" x14ac:dyDescent="0.25">
      <c r="A192" t="s">
        <v>1074</v>
      </c>
      <c r="B192" s="7">
        <v>44038</v>
      </c>
      <c r="C192" s="7" t="s">
        <v>844</v>
      </c>
      <c r="D192" s="3" t="s">
        <v>6</v>
      </c>
      <c r="E192" s="3" t="s">
        <v>450</v>
      </c>
      <c r="F192" s="3" t="s">
        <v>25</v>
      </c>
      <c r="G192" s="3" t="s">
        <v>19</v>
      </c>
      <c r="H192" s="9">
        <v>38.503539343284999</v>
      </c>
      <c r="I192" s="9">
        <v>-0.13283739701651301</v>
      </c>
      <c r="J192" s="3">
        <v>1</v>
      </c>
      <c r="K192" s="3">
        <v>1</v>
      </c>
      <c r="L192" s="3">
        <v>0</v>
      </c>
      <c r="M192" s="3">
        <v>0</v>
      </c>
      <c r="N192" s="3" t="s">
        <v>66</v>
      </c>
      <c r="O192" s="3">
        <v>0</v>
      </c>
      <c r="P192" s="3">
        <v>1</v>
      </c>
      <c r="Q192" s="3">
        <v>0</v>
      </c>
      <c r="R192" s="3">
        <v>1</v>
      </c>
      <c r="S192" s="3">
        <v>0</v>
      </c>
      <c r="T192" s="3">
        <v>0</v>
      </c>
      <c r="U192" s="3">
        <v>0</v>
      </c>
      <c r="V192" s="3">
        <v>0</v>
      </c>
      <c r="W192" s="3" t="s">
        <v>6</v>
      </c>
      <c r="X192" s="3">
        <v>0</v>
      </c>
      <c r="Y192" s="3">
        <v>0</v>
      </c>
      <c r="Z192" s="3">
        <v>0</v>
      </c>
      <c r="AA192" s="3">
        <v>0</v>
      </c>
      <c r="AB192" s="3">
        <v>0</v>
      </c>
      <c r="AC192" s="3">
        <v>0</v>
      </c>
      <c r="AD192" s="3">
        <v>0</v>
      </c>
      <c r="AE192" s="3">
        <v>0</v>
      </c>
      <c r="AF192" s="3">
        <v>0</v>
      </c>
      <c r="AG192" s="3">
        <v>0</v>
      </c>
      <c r="AH192" s="3" t="s">
        <v>17</v>
      </c>
      <c r="AI192" s="3" t="s">
        <v>780</v>
      </c>
      <c r="AK192" s="3" t="s">
        <v>451</v>
      </c>
    </row>
    <row r="193" spans="1:39" x14ac:dyDescent="0.25">
      <c r="A193" t="s">
        <v>1101</v>
      </c>
      <c r="B193" s="7">
        <v>44038</v>
      </c>
      <c r="C193" s="7" t="s">
        <v>844</v>
      </c>
      <c r="D193" s="3" t="s">
        <v>6</v>
      </c>
      <c r="E193" s="3" t="s">
        <v>495</v>
      </c>
      <c r="F193" s="3" t="s">
        <v>25</v>
      </c>
      <c r="G193" s="3" t="s">
        <v>19</v>
      </c>
      <c r="H193" s="9">
        <v>38.8345239500565</v>
      </c>
      <c r="I193" s="9">
        <v>0.13406102099554501</v>
      </c>
      <c r="J193" s="3">
        <v>1</v>
      </c>
      <c r="K193" s="3">
        <v>1</v>
      </c>
      <c r="L193" s="3">
        <v>0</v>
      </c>
      <c r="M193" s="3">
        <v>0</v>
      </c>
      <c r="N193" s="3" t="s">
        <v>16</v>
      </c>
      <c r="O193" s="3">
        <v>0</v>
      </c>
      <c r="P193" s="3">
        <v>0</v>
      </c>
      <c r="Q193" s="3">
        <v>1</v>
      </c>
      <c r="R193" s="3">
        <v>1</v>
      </c>
      <c r="S193" s="3">
        <v>0</v>
      </c>
      <c r="T193" s="3">
        <v>0</v>
      </c>
      <c r="U193" s="3">
        <v>0</v>
      </c>
      <c r="V193" s="3">
        <v>0</v>
      </c>
      <c r="W193" s="3" t="s">
        <v>6</v>
      </c>
      <c r="X193" s="3">
        <v>0</v>
      </c>
      <c r="Y193" s="3">
        <v>0</v>
      </c>
      <c r="Z193" s="3">
        <v>0</v>
      </c>
      <c r="AA193" s="3">
        <v>0</v>
      </c>
      <c r="AB193" s="3">
        <v>0</v>
      </c>
      <c r="AC193" s="3">
        <v>0</v>
      </c>
      <c r="AD193" s="3">
        <v>0</v>
      </c>
      <c r="AE193" s="3">
        <v>0</v>
      </c>
      <c r="AF193" s="3">
        <v>0</v>
      </c>
      <c r="AG193" s="3">
        <v>0</v>
      </c>
      <c r="AH193" s="3" t="s">
        <v>17</v>
      </c>
      <c r="AI193" s="3" t="s">
        <v>776</v>
      </c>
      <c r="AK193" s="3" t="s">
        <v>496</v>
      </c>
    </row>
    <row r="194" spans="1:39" x14ac:dyDescent="0.25">
      <c r="A194" t="s">
        <v>966</v>
      </c>
      <c r="B194" s="8">
        <v>44039</v>
      </c>
      <c r="C194" s="8" t="s">
        <v>844</v>
      </c>
      <c r="D194" s="3" t="s">
        <v>6</v>
      </c>
      <c r="E194" s="3" t="s">
        <v>128</v>
      </c>
      <c r="F194" s="3" t="s">
        <v>23</v>
      </c>
      <c r="G194" s="3" t="s">
        <v>23</v>
      </c>
      <c r="H194" s="9">
        <v>37.5803063725306</v>
      </c>
      <c r="I194" s="9">
        <v>-0.97635390721666204</v>
      </c>
      <c r="J194" s="3">
        <v>1</v>
      </c>
      <c r="K194" s="3">
        <v>1</v>
      </c>
      <c r="L194" s="3">
        <v>0</v>
      </c>
      <c r="M194" s="3">
        <v>0</v>
      </c>
      <c r="N194" s="3" t="s">
        <v>66</v>
      </c>
      <c r="O194" s="3">
        <v>0</v>
      </c>
      <c r="P194" s="3">
        <v>1</v>
      </c>
      <c r="Q194" s="3">
        <v>0</v>
      </c>
      <c r="R194" s="3">
        <v>0</v>
      </c>
      <c r="S194" s="3">
        <v>0</v>
      </c>
      <c r="T194" s="3">
        <v>0</v>
      </c>
      <c r="U194" s="3">
        <v>0</v>
      </c>
      <c r="V194" s="3">
        <v>1</v>
      </c>
      <c r="W194" s="3" t="s">
        <v>6</v>
      </c>
      <c r="X194" s="3">
        <v>0</v>
      </c>
      <c r="Y194" s="3">
        <v>0</v>
      </c>
      <c r="Z194" s="3">
        <v>0</v>
      </c>
      <c r="AA194" s="3">
        <v>0</v>
      </c>
      <c r="AB194" s="3">
        <v>0</v>
      </c>
      <c r="AC194" s="3">
        <v>0</v>
      </c>
      <c r="AD194" s="3">
        <v>0</v>
      </c>
      <c r="AE194" s="3">
        <v>0</v>
      </c>
      <c r="AF194" s="3">
        <v>0</v>
      </c>
      <c r="AG194" s="3">
        <v>0</v>
      </c>
      <c r="AH194" s="3" t="s">
        <v>17</v>
      </c>
      <c r="AI194" s="3" t="s">
        <v>776</v>
      </c>
      <c r="AK194" s="3" t="s">
        <v>209</v>
      </c>
    </row>
    <row r="195" spans="1:39" x14ac:dyDescent="0.25">
      <c r="A195" t="s">
        <v>967</v>
      </c>
      <c r="B195" s="8">
        <v>44039</v>
      </c>
      <c r="C195" s="8" t="s">
        <v>844</v>
      </c>
      <c r="D195" s="3" t="s">
        <v>6</v>
      </c>
      <c r="E195" s="3" t="s">
        <v>89</v>
      </c>
      <c r="F195" s="3" t="s">
        <v>47</v>
      </c>
      <c r="G195" s="3" t="s">
        <v>21</v>
      </c>
      <c r="H195" s="9">
        <v>36.737528315166401</v>
      </c>
      <c r="I195" s="9">
        <v>-2.2079333280212801</v>
      </c>
      <c r="J195" s="3">
        <v>1</v>
      </c>
      <c r="K195" s="3">
        <v>1</v>
      </c>
      <c r="L195" s="3">
        <v>0</v>
      </c>
      <c r="M195" s="3">
        <v>0</v>
      </c>
      <c r="N195" s="3" t="s">
        <v>66</v>
      </c>
      <c r="O195" s="3">
        <v>0</v>
      </c>
      <c r="P195" s="3">
        <v>1</v>
      </c>
      <c r="Q195" s="3">
        <v>0</v>
      </c>
      <c r="R195" s="3">
        <v>1</v>
      </c>
      <c r="S195" s="3">
        <v>0</v>
      </c>
      <c r="T195" s="3">
        <v>0</v>
      </c>
      <c r="U195" s="3">
        <v>0</v>
      </c>
      <c r="V195" s="3">
        <v>0</v>
      </c>
      <c r="W195" s="3" t="s">
        <v>6</v>
      </c>
      <c r="X195" s="3">
        <v>1</v>
      </c>
      <c r="Y195" s="3">
        <v>0</v>
      </c>
      <c r="Z195" s="3">
        <v>0</v>
      </c>
      <c r="AA195" s="3">
        <v>0</v>
      </c>
      <c r="AB195" s="3">
        <v>0</v>
      </c>
      <c r="AC195" s="3">
        <v>0</v>
      </c>
      <c r="AD195" s="3">
        <v>1</v>
      </c>
      <c r="AE195" s="3">
        <v>1</v>
      </c>
      <c r="AF195" s="3">
        <v>0</v>
      </c>
      <c r="AG195" s="3">
        <v>0</v>
      </c>
      <c r="AH195" s="3" t="s">
        <v>17</v>
      </c>
      <c r="AI195" s="3" t="s">
        <v>776</v>
      </c>
      <c r="AK195" s="3" t="s">
        <v>210</v>
      </c>
      <c r="AL195" s="3" t="s">
        <v>257</v>
      </c>
    </row>
    <row r="196" spans="1:39" x14ac:dyDescent="0.25">
      <c r="A196" t="s">
        <v>984</v>
      </c>
      <c r="B196" s="8">
        <v>44040</v>
      </c>
      <c r="C196" s="8" t="s">
        <v>844</v>
      </c>
      <c r="D196" s="3" t="s">
        <v>6</v>
      </c>
      <c r="E196" s="3" t="s">
        <v>137</v>
      </c>
      <c r="F196" s="3" t="s">
        <v>78</v>
      </c>
      <c r="G196" s="3" t="s">
        <v>19</v>
      </c>
      <c r="H196" s="9">
        <v>40.083810688412697</v>
      </c>
      <c r="I196" s="9">
        <v>0.14938995447205899</v>
      </c>
      <c r="J196" s="3">
        <v>1</v>
      </c>
      <c r="K196" s="6">
        <v>1</v>
      </c>
      <c r="L196" s="3">
        <v>0</v>
      </c>
      <c r="M196" s="3">
        <v>0</v>
      </c>
      <c r="N196" s="3" t="s">
        <v>66</v>
      </c>
      <c r="O196" s="3">
        <v>0</v>
      </c>
      <c r="P196" s="3">
        <v>0</v>
      </c>
      <c r="Q196" s="3">
        <v>1</v>
      </c>
      <c r="R196" s="3">
        <v>0</v>
      </c>
      <c r="S196" s="3">
        <v>0</v>
      </c>
      <c r="T196" s="3">
        <v>0</v>
      </c>
      <c r="U196" s="3">
        <v>0</v>
      </c>
      <c r="V196" s="3">
        <v>1</v>
      </c>
      <c r="W196" s="3" t="s">
        <v>6</v>
      </c>
      <c r="X196" s="3">
        <v>0</v>
      </c>
      <c r="Y196" s="3">
        <v>0</v>
      </c>
      <c r="Z196" s="3">
        <v>0</v>
      </c>
      <c r="AA196" s="3">
        <v>0</v>
      </c>
      <c r="AB196" s="3">
        <v>0</v>
      </c>
      <c r="AC196" s="3">
        <v>0</v>
      </c>
      <c r="AD196" s="3">
        <v>0</v>
      </c>
      <c r="AE196" s="3">
        <v>0</v>
      </c>
      <c r="AF196" s="3">
        <v>0</v>
      </c>
      <c r="AG196" s="3">
        <v>0</v>
      </c>
      <c r="AH196" s="3" t="s">
        <v>17</v>
      </c>
      <c r="AI196" s="3" t="s">
        <v>776</v>
      </c>
      <c r="AK196" s="3" t="s">
        <v>227</v>
      </c>
    </row>
    <row r="197" spans="1:39" x14ac:dyDescent="0.25">
      <c r="A197" t="s">
        <v>968</v>
      </c>
      <c r="B197" s="8">
        <v>44044</v>
      </c>
      <c r="C197" s="8" t="s">
        <v>844</v>
      </c>
      <c r="D197" s="3" t="s">
        <v>6</v>
      </c>
      <c r="F197" s="3" t="s">
        <v>54</v>
      </c>
      <c r="G197" s="3" t="s">
        <v>21</v>
      </c>
      <c r="H197" s="9">
        <v>36.502453964117201</v>
      </c>
      <c r="I197" s="9">
        <v>-4.8686367774801997</v>
      </c>
      <c r="J197" s="3">
        <v>1</v>
      </c>
      <c r="K197" s="3">
        <v>1</v>
      </c>
      <c r="L197" s="3">
        <v>0</v>
      </c>
      <c r="M197" s="3">
        <v>0</v>
      </c>
      <c r="N197" s="3" t="s">
        <v>66</v>
      </c>
      <c r="O197" s="3">
        <v>0</v>
      </c>
      <c r="P197" s="3">
        <v>1</v>
      </c>
      <c r="Q197" s="3">
        <v>0</v>
      </c>
      <c r="R197" s="3">
        <v>1</v>
      </c>
      <c r="S197" s="3">
        <v>0</v>
      </c>
      <c r="T197" s="3">
        <v>0</v>
      </c>
      <c r="U197" s="3">
        <v>0</v>
      </c>
      <c r="V197" s="3">
        <v>0</v>
      </c>
      <c r="W197" s="3" t="s">
        <v>6</v>
      </c>
      <c r="X197" s="3">
        <v>0</v>
      </c>
      <c r="Y197" s="3">
        <v>0</v>
      </c>
      <c r="Z197" s="3">
        <v>0</v>
      </c>
      <c r="AA197" s="3">
        <v>0</v>
      </c>
      <c r="AB197" s="3">
        <v>0</v>
      </c>
      <c r="AC197" s="3">
        <v>0</v>
      </c>
      <c r="AD197" s="3">
        <v>0</v>
      </c>
      <c r="AE197" s="3">
        <v>0</v>
      </c>
      <c r="AF197" s="3">
        <v>0</v>
      </c>
      <c r="AG197" s="3">
        <v>0</v>
      </c>
      <c r="AH197" s="3" t="s">
        <v>17</v>
      </c>
      <c r="AI197" s="3" t="s">
        <v>777</v>
      </c>
      <c r="AK197" s="3" t="s">
        <v>211</v>
      </c>
      <c r="AL197" s="3" t="s">
        <v>595</v>
      </c>
    </row>
    <row r="198" spans="1:39" x14ac:dyDescent="0.25">
      <c r="A198" t="s">
        <v>970</v>
      </c>
      <c r="B198" s="8">
        <v>44044</v>
      </c>
      <c r="C198" s="8" t="s">
        <v>844</v>
      </c>
      <c r="D198" s="3" t="s">
        <v>6</v>
      </c>
      <c r="E198" s="3" t="s">
        <v>57</v>
      </c>
      <c r="F198" s="3" t="s">
        <v>57</v>
      </c>
      <c r="G198" s="3" t="s">
        <v>21</v>
      </c>
      <c r="H198" s="9">
        <v>36.7194458191926</v>
      </c>
      <c r="I198" s="9">
        <v>-3.7034609156401599</v>
      </c>
      <c r="J198" s="3">
        <v>1</v>
      </c>
      <c r="K198" s="3">
        <v>0</v>
      </c>
      <c r="L198" s="3">
        <v>0</v>
      </c>
      <c r="M198" s="3">
        <v>1</v>
      </c>
      <c r="N198" s="3" t="s">
        <v>6</v>
      </c>
      <c r="O198" s="3">
        <v>0</v>
      </c>
      <c r="P198" s="3">
        <v>0</v>
      </c>
      <c r="Q198" s="3">
        <v>1</v>
      </c>
      <c r="R198" s="3">
        <v>0</v>
      </c>
      <c r="S198" s="3">
        <v>0</v>
      </c>
      <c r="T198" s="3">
        <v>0</v>
      </c>
      <c r="U198" s="3">
        <v>0</v>
      </c>
      <c r="V198" s="3">
        <v>1</v>
      </c>
      <c r="W198" s="3" t="s">
        <v>6</v>
      </c>
      <c r="X198" s="3">
        <v>0</v>
      </c>
      <c r="Y198" s="3">
        <v>0</v>
      </c>
      <c r="Z198" s="3">
        <v>0</v>
      </c>
      <c r="AA198" s="3">
        <v>0</v>
      </c>
      <c r="AB198" s="3">
        <v>0</v>
      </c>
      <c r="AC198" s="3">
        <v>0</v>
      </c>
      <c r="AD198" s="3">
        <v>0</v>
      </c>
      <c r="AE198" s="3">
        <v>0</v>
      </c>
      <c r="AF198" s="3">
        <v>0</v>
      </c>
      <c r="AG198" s="3">
        <v>0</v>
      </c>
      <c r="AH198" s="3" t="s">
        <v>17</v>
      </c>
      <c r="AI198" s="3" t="s">
        <v>779</v>
      </c>
      <c r="AK198" s="3" t="s">
        <v>213</v>
      </c>
      <c r="AL198" s="3" t="s">
        <v>316</v>
      </c>
    </row>
    <row r="199" spans="1:39" x14ac:dyDescent="0.25">
      <c r="A199" t="s">
        <v>1091</v>
      </c>
      <c r="B199" s="7">
        <v>44053</v>
      </c>
      <c r="C199" s="7" t="s">
        <v>844</v>
      </c>
      <c r="D199" s="3" t="s">
        <v>6</v>
      </c>
      <c r="E199" s="3" t="s">
        <v>473</v>
      </c>
      <c r="F199" s="3" t="s">
        <v>54</v>
      </c>
      <c r="G199" s="3" t="s">
        <v>21</v>
      </c>
      <c r="H199" s="9">
        <v>36.711733702794199</v>
      </c>
      <c r="I199" s="9">
        <v>-4.23655445815319</v>
      </c>
      <c r="J199" s="3">
        <v>1</v>
      </c>
      <c r="K199" s="3">
        <v>1</v>
      </c>
      <c r="L199" s="3">
        <v>0</v>
      </c>
      <c r="M199" s="3">
        <v>0</v>
      </c>
      <c r="N199" s="3" t="s">
        <v>16</v>
      </c>
      <c r="O199" s="3">
        <v>0</v>
      </c>
      <c r="P199" s="3">
        <v>1</v>
      </c>
      <c r="Q199" s="3">
        <v>0</v>
      </c>
      <c r="R199" s="3">
        <v>1</v>
      </c>
      <c r="S199" s="3">
        <v>0</v>
      </c>
      <c r="T199" s="3">
        <v>0</v>
      </c>
      <c r="U199" s="3">
        <v>0</v>
      </c>
      <c r="V199" s="3">
        <v>0</v>
      </c>
      <c r="W199" s="3" t="s">
        <v>6</v>
      </c>
      <c r="X199" s="3">
        <v>0</v>
      </c>
      <c r="Y199" s="3">
        <v>0</v>
      </c>
      <c r="Z199" s="3">
        <v>0</v>
      </c>
      <c r="AA199" s="3">
        <v>0</v>
      </c>
      <c r="AB199" s="3">
        <v>0</v>
      </c>
      <c r="AC199" s="3">
        <v>0</v>
      </c>
      <c r="AD199" s="3">
        <v>0</v>
      </c>
      <c r="AE199" s="3">
        <v>0</v>
      </c>
      <c r="AF199" s="3">
        <v>0</v>
      </c>
      <c r="AG199" s="3">
        <v>0</v>
      </c>
      <c r="AH199" s="3" t="s">
        <v>17</v>
      </c>
      <c r="AI199" s="3" t="s">
        <v>780</v>
      </c>
      <c r="AK199" s="3" t="s">
        <v>474</v>
      </c>
    </row>
    <row r="200" spans="1:39" x14ac:dyDescent="0.25">
      <c r="A200" t="s">
        <v>1079</v>
      </c>
      <c r="B200" s="7">
        <v>44062</v>
      </c>
      <c r="C200" s="7" t="s">
        <v>844</v>
      </c>
      <c r="D200" s="3" t="s">
        <v>6</v>
      </c>
      <c r="E200" s="3" t="s">
        <v>479</v>
      </c>
      <c r="F200" s="3" t="s">
        <v>23</v>
      </c>
      <c r="G200" s="3" t="s">
        <v>23</v>
      </c>
      <c r="H200" s="9">
        <v>37.579767260155002</v>
      </c>
      <c r="I200" s="9">
        <v>-0.97744999467801796</v>
      </c>
      <c r="J200" s="3">
        <v>1</v>
      </c>
      <c r="K200" s="3">
        <v>1</v>
      </c>
      <c r="L200" s="3">
        <v>0</v>
      </c>
      <c r="M200" s="3">
        <v>0</v>
      </c>
      <c r="N200" s="3" t="s">
        <v>66</v>
      </c>
      <c r="O200" s="3">
        <v>0</v>
      </c>
      <c r="P200" s="3">
        <v>1</v>
      </c>
      <c r="Q200" s="3">
        <v>0</v>
      </c>
      <c r="R200" s="3">
        <v>1</v>
      </c>
      <c r="S200" s="3">
        <v>0</v>
      </c>
      <c r="T200" s="3">
        <v>0</v>
      </c>
      <c r="U200" s="3">
        <v>0</v>
      </c>
      <c r="V200" s="3">
        <v>0</v>
      </c>
      <c r="W200" s="3" t="s">
        <v>6</v>
      </c>
      <c r="X200" s="3">
        <v>0</v>
      </c>
      <c r="Y200" s="3">
        <v>0</v>
      </c>
      <c r="Z200" s="3">
        <v>0</v>
      </c>
      <c r="AA200" s="3">
        <v>0</v>
      </c>
      <c r="AB200" s="3">
        <v>0</v>
      </c>
      <c r="AC200" s="3">
        <v>0</v>
      </c>
      <c r="AD200" s="3">
        <v>0</v>
      </c>
      <c r="AE200" s="3">
        <v>0</v>
      </c>
      <c r="AF200" s="3">
        <v>0</v>
      </c>
      <c r="AG200" s="3">
        <v>0</v>
      </c>
      <c r="AH200" s="3" t="s">
        <v>17</v>
      </c>
      <c r="AI200" s="3" t="s">
        <v>780</v>
      </c>
      <c r="AK200" s="3" t="s">
        <v>457</v>
      </c>
    </row>
    <row r="201" spans="1:39" x14ac:dyDescent="0.25">
      <c r="A201" t="s">
        <v>1102</v>
      </c>
      <c r="B201" s="7">
        <v>44065</v>
      </c>
      <c r="C201" s="7" t="s">
        <v>844</v>
      </c>
      <c r="D201" s="3" t="s">
        <v>6</v>
      </c>
      <c r="E201" s="3" t="s">
        <v>128</v>
      </c>
      <c r="F201" s="3" t="s">
        <v>23</v>
      </c>
      <c r="G201" s="3" t="s">
        <v>23</v>
      </c>
      <c r="H201" s="9">
        <v>37.576737830863102</v>
      </c>
      <c r="I201" s="9">
        <v>-0.98768560240091396</v>
      </c>
      <c r="J201" s="3">
        <v>1</v>
      </c>
      <c r="K201" s="3">
        <v>1</v>
      </c>
      <c r="L201" s="3">
        <v>0</v>
      </c>
      <c r="M201" s="3">
        <v>0</v>
      </c>
      <c r="N201" s="3" t="s">
        <v>16</v>
      </c>
      <c r="O201" s="3">
        <v>0</v>
      </c>
      <c r="P201" s="3">
        <v>1</v>
      </c>
      <c r="Q201" s="3">
        <v>0</v>
      </c>
      <c r="R201" s="3">
        <v>1</v>
      </c>
      <c r="S201" s="3">
        <v>0</v>
      </c>
      <c r="T201" s="3">
        <v>0</v>
      </c>
      <c r="U201" s="3">
        <v>0</v>
      </c>
      <c r="V201" s="3">
        <v>0</v>
      </c>
      <c r="W201" s="3" t="s">
        <v>6</v>
      </c>
      <c r="X201" s="3">
        <v>1</v>
      </c>
      <c r="Y201" s="3">
        <v>0</v>
      </c>
      <c r="Z201" s="3">
        <v>1</v>
      </c>
      <c r="AA201" s="3">
        <v>0</v>
      </c>
      <c r="AB201" s="3">
        <v>0</v>
      </c>
      <c r="AC201" s="3">
        <v>0</v>
      </c>
      <c r="AD201" s="3">
        <v>0</v>
      </c>
      <c r="AE201" s="3">
        <v>0</v>
      </c>
      <c r="AF201" s="3">
        <v>0</v>
      </c>
      <c r="AG201" s="3">
        <v>0</v>
      </c>
      <c r="AH201" s="3" t="s">
        <v>17</v>
      </c>
      <c r="AI201" s="3" t="s">
        <v>776</v>
      </c>
      <c r="AK201" s="3" t="s">
        <v>497</v>
      </c>
      <c r="AL201" s="3" t="s">
        <v>241</v>
      </c>
    </row>
    <row r="202" spans="1:39" x14ac:dyDescent="0.25">
      <c r="A202" t="s">
        <v>981</v>
      </c>
      <c r="B202" s="8">
        <v>44067</v>
      </c>
      <c r="C202" s="8" t="s">
        <v>844</v>
      </c>
      <c r="D202" s="3" t="s">
        <v>6</v>
      </c>
      <c r="E202" s="3" t="s">
        <v>135</v>
      </c>
      <c r="F202" s="3" t="s">
        <v>8</v>
      </c>
      <c r="G202" s="3" t="s">
        <v>8</v>
      </c>
      <c r="J202" s="3">
        <v>1</v>
      </c>
      <c r="K202" s="6">
        <v>1</v>
      </c>
      <c r="L202" s="3">
        <v>0</v>
      </c>
      <c r="M202" s="3">
        <v>0</v>
      </c>
      <c r="N202" s="3" t="s">
        <v>66</v>
      </c>
      <c r="O202" s="3">
        <v>1</v>
      </c>
      <c r="P202" s="3">
        <v>0</v>
      </c>
      <c r="Q202" s="3">
        <v>0</v>
      </c>
      <c r="R202" s="3">
        <v>0</v>
      </c>
      <c r="S202" s="3">
        <v>1</v>
      </c>
      <c r="T202" s="3">
        <v>0</v>
      </c>
      <c r="U202" s="3">
        <v>0</v>
      </c>
      <c r="V202" s="3">
        <v>0</v>
      </c>
      <c r="W202" s="3" t="s">
        <v>6</v>
      </c>
      <c r="X202" s="3">
        <v>1</v>
      </c>
      <c r="Y202" s="3">
        <v>0</v>
      </c>
      <c r="Z202" s="3">
        <v>0</v>
      </c>
      <c r="AA202" s="3">
        <v>0</v>
      </c>
      <c r="AB202" s="3">
        <v>0</v>
      </c>
      <c r="AC202" s="3">
        <v>0</v>
      </c>
      <c r="AD202" s="3">
        <v>0</v>
      </c>
      <c r="AE202" s="3">
        <v>0</v>
      </c>
      <c r="AF202" s="3">
        <v>0</v>
      </c>
      <c r="AG202" s="3">
        <v>1</v>
      </c>
      <c r="AH202" s="3" t="s">
        <v>17</v>
      </c>
      <c r="AI202" s="3" t="s">
        <v>776</v>
      </c>
      <c r="AK202" s="3" t="s">
        <v>224</v>
      </c>
      <c r="AL202" s="3" t="s">
        <v>261</v>
      </c>
    </row>
    <row r="203" spans="1:39" x14ac:dyDescent="0.25">
      <c r="A203" t="s">
        <v>1064</v>
      </c>
      <c r="B203" s="7">
        <v>44085</v>
      </c>
      <c r="C203" s="7" t="s">
        <v>844</v>
      </c>
      <c r="D203" s="3" t="s">
        <v>6</v>
      </c>
      <c r="E203" s="3" t="s">
        <v>431</v>
      </c>
      <c r="F203" s="3" t="s">
        <v>25</v>
      </c>
      <c r="G203" s="3" t="s">
        <v>19</v>
      </c>
      <c r="H203" s="9">
        <v>38.1942796381148</v>
      </c>
      <c r="I203" s="9">
        <v>-0.51770202051723002</v>
      </c>
      <c r="J203" s="3">
        <v>1</v>
      </c>
      <c r="K203" s="3">
        <v>1</v>
      </c>
      <c r="L203" s="3">
        <v>0</v>
      </c>
      <c r="M203" s="3">
        <v>0</v>
      </c>
      <c r="N203" s="3" t="s">
        <v>6</v>
      </c>
      <c r="O203" s="3">
        <v>0</v>
      </c>
      <c r="P203" s="3">
        <v>0</v>
      </c>
      <c r="Q203" s="3">
        <v>1</v>
      </c>
      <c r="R203" s="3">
        <v>0</v>
      </c>
      <c r="S203" s="3">
        <v>0</v>
      </c>
      <c r="T203" s="3">
        <v>0</v>
      </c>
      <c r="U203" s="3">
        <v>0</v>
      </c>
      <c r="V203" s="3">
        <v>1</v>
      </c>
      <c r="W203" s="3" t="s">
        <v>6</v>
      </c>
      <c r="X203" s="3">
        <v>0</v>
      </c>
      <c r="Y203" s="3">
        <v>0</v>
      </c>
      <c r="Z203" s="3">
        <v>0</v>
      </c>
      <c r="AA203" s="3">
        <v>0</v>
      </c>
      <c r="AB203" s="3">
        <v>0</v>
      </c>
      <c r="AC203" s="3">
        <v>0</v>
      </c>
      <c r="AD203" s="3">
        <v>0</v>
      </c>
      <c r="AE203" s="3">
        <v>0</v>
      </c>
      <c r="AF203" s="3">
        <v>0</v>
      </c>
      <c r="AG203" s="3">
        <v>0</v>
      </c>
      <c r="AH203" s="3" t="s">
        <v>17</v>
      </c>
      <c r="AI203" s="3" t="s">
        <v>780</v>
      </c>
      <c r="AK203" s="3" t="s">
        <v>432</v>
      </c>
    </row>
    <row r="204" spans="1:39" x14ac:dyDescent="0.25">
      <c r="A204" t="s">
        <v>1021</v>
      </c>
      <c r="B204" s="7">
        <v>44088</v>
      </c>
      <c r="C204" s="7" t="s">
        <v>844</v>
      </c>
      <c r="D204" s="3" t="s">
        <v>6</v>
      </c>
      <c r="E204" s="3" t="s">
        <v>130</v>
      </c>
      <c r="F204" s="3" t="s">
        <v>59</v>
      </c>
      <c r="G204" s="3" t="s">
        <v>20</v>
      </c>
      <c r="H204" s="9">
        <v>42.323035005014098</v>
      </c>
      <c r="I204" s="9">
        <v>3.4857954399548898</v>
      </c>
      <c r="J204" s="3">
        <v>1</v>
      </c>
      <c r="K204" s="3">
        <v>0</v>
      </c>
      <c r="L204" s="3">
        <v>1</v>
      </c>
      <c r="M204" s="3">
        <v>0</v>
      </c>
      <c r="N204" s="3" t="s">
        <v>66</v>
      </c>
      <c r="O204" s="3">
        <v>0</v>
      </c>
      <c r="P204" s="3">
        <v>0</v>
      </c>
      <c r="Q204" s="3">
        <v>1</v>
      </c>
      <c r="R204" s="3">
        <v>1</v>
      </c>
      <c r="S204" s="3">
        <v>0</v>
      </c>
      <c r="T204" s="3">
        <v>0</v>
      </c>
      <c r="U204" s="3">
        <v>0</v>
      </c>
      <c r="V204" s="3">
        <v>0</v>
      </c>
      <c r="W204" s="3" t="s">
        <v>6</v>
      </c>
      <c r="X204" s="3">
        <v>1</v>
      </c>
      <c r="Y204" s="3">
        <v>0</v>
      </c>
      <c r="Z204" s="3">
        <v>0</v>
      </c>
      <c r="AA204" s="3">
        <v>0</v>
      </c>
      <c r="AB204" s="3">
        <v>0</v>
      </c>
      <c r="AC204" s="3">
        <v>0</v>
      </c>
      <c r="AD204" s="3">
        <v>0</v>
      </c>
      <c r="AE204" s="3">
        <v>0</v>
      </c>
      <c r="AF204" s="3">
        <v>0</v>
      </c>
      <c r="AG204" s="3">
        <v>1</v>
      </c>
      <c r="AH204" s="3" t="s">
        <v>775</v>
      </c>
      <c r="AI204" s="3" t="s">
        <v>81</v>
      </c>
      <c r="AK204" s="3" t="s">
        <v>352</v>
      </c>
      <c r="AL204" s="3" t="s">
        <v>343</v>
      </c>
    </row>
    <row r="205" spans="1:39" x14ac:dyDescent="0.25">
      <c r="A205" t="s">
        <v>1096</v>
      </c>
      <c r="B205" s="7">
        <v>44104</v>
      </c>
      <c r="C205" s="7" t="s">
        <v>844</v>
      </c>
      <c r="D205" s="3" t="s">
        <v>6</v>
      </c>
      <c r="E205" s="3" t="s">
        <v>71</v>
      </c>
      <c r="F205" s="3" t="s">
        <v>23</v>
      </c>
      <c r="G205" s="3" t="s">
        <v>23</v>
      </c>
      <c r="H205" s="9">
        <v>37.547107914146601</v>
      </c>
      <c r="I205" s="9">
        <v>-1.1809222373813699</v>
      </c>
      <c r="J205" s="3">
        <v>1</v>
      </c>
      <c r="K205" s="3">
        <v>1</v>
      </c>
      <c r="L205" s="3">
        <v>0</v>
      </c>
      <c r="M205" s="3">
        <v>0</v>
      </c>
      <c r="N205" s="3" t="s">
        <v>16</v>
      </c>
      <c r="O205" s="3">
        <v>0</v>
      </c>
      <c r="P205" s="3">
        <v>1</v>
      </c>
      <c r="Q205" s="3">
        <v>0</v>
      </c>
      <c r="R205" s="3">
        <v>1</v>
      </c>
      <c r="S205" s="3">
        <v>0</v>
      </c>
      <c r="T205" s="3">
        <v>0</v>
      </c>
      <c r="U205" s="3">
        <v>0</v>
      </c>
      <c r="V205" s="3">
        <v>0</v>
      </c>
      <c r="W205" s="3" t="s">
        <v>6</v>
      </c>
      <c r="X205" s="3">
        <v>1</v>
      </c>
      <c r="Y205" s="3">
        <v>0</v>
      </c>
      <c r="Z205" s="3">
        <v>0</v>
      </c>
      <c r="AA205" s="3">
        <v>1</v>
      </c>
      <c r="AB205" s="3">
        <v>0</v>
      </c>
      <c r="AC205" s="3">
        <v>0</v>
      </c>
      <c r="AD205" s="3">
        <v>0</v>
      </c>
      <c r="AE205" s="3">
        <v>0</v>
      </c>
      <c r="AF205" s="3">
        <v>0</v>
      </c>
      <c r="AG205" s="3">
        <v>0</v>
      </c>
      <c r="AH205" s="3" t="s">
        <v>17</v>
      </c>
      <c r="AI205" s="3" t="s">
        <v>776</v>
      </c>
      <c r="AK205" s="3" t="s">
        <v>489</v>
      </c>
      <c r="AL205" s="3" t="s">
        <v>463</v>
      </c>
    </row>
    <row r="206" spans="1:39" x14ac:dyDescent="0.25">
      <c r="A206" t="s">
        <v>971</v>
      </c>
      <c r="B206" s="8">
        <v>44191</v>
      </c>
      <c r="C206" s="8" t="s">
        <v>841</v>
      </c>
      <c r="D206" s="3" t="s">
        <v>6</v>
      </c>
      <c r="E206" s="3" t="s">
        <v>130</v>
      </c>
      <c r="F206" s="3" t="s">
        <v>59</v>
      </c>
      <c r="G206" s="3" t="s">
        <v>20</v>
      </c>
      <c r="H206" s="9">
        <v>42.299071058637303</v>
      </c>
      <c r="I206" s="9">
        <v>3.2957466752976501</v>
      </c>
      <c r="J206" s="3">
        <v>1</v>
      </c>
      <c r="K206" s="6">
        <v>1</v>
      </c>
      <c r="L206" s="3">
        <v>0</v>
      </c>
      <c r="M206" s="3">
        <v>0</v>
      </c>
      <c r="N206" s="3" t="s">
        <v>66</v>
      </c>
      <c r="O206" s="3">
        <v>0</v>
      </c>
      <c r="P206" s="3">
        <v>0</v>
      </c>
      <c r="Q206" s="3">
        <v>1</v>
      </c>
      <c r="R206" s="3">
        <v>0</v>
      </c>
      <c r="S206" s="3">
        <v>0</v>
      </c>
      <c r="T206" s="3">
        <v>0</v>
      </c>
      <c r="U206" s="3">
        <v>0</v>
      </c>
      <c r="V206" s="3">
        <v>1</v>
      </c>
      <c r="W206" s="3" t="s">
        <v>6</v>
      </c>
      <c r="X206" s="3">
        <v>0</v>
      </c>
      <c r="Y206" s="3">
        <v>0</v>
      </c>
      <c r="Z206" s="3">
        <v>0</v>
      </c>
      <c r="AA206" s="3">
        <v>0</v>
      </c>
      <c r="AB206" s="3">
        <v>0</v>
      </c>
      <c r="AC206" s="3">
        <v>0</v>
      </c>
      <c r="AD206" s="3">
        <v>0</v>
      </c>
      <c r="AE206" s="3">
        <v>0</v>
      </c>
      <c r="AF206" s="3">
        <v>0</v>
      </c>
      <c r="AG206" s="3">
        <v>0</v>
      </c>
      <c r="AH206" s="3" t="s">
        <v>17</v>
      </c>
      <c r="AI206" s="3" t="s">
        <v>776</v>
      </c>
      <c r="AK206" s="3" t="s">
        <v>214</v>
      </c>
    </row>
    <row r="207" spans="1:39" x14ac:dyDescent="0.25">
      <c r="A207" t="s">
        <v>1329</v>
      </c>
      <c r="B207" s="7">
        <v>44359</v>
      </c>
      <c r="C207" s="7" t="s">
        <v>844</v>
      </c>
      <c r="D207" s="68">
        <v>0.72083333333333333</v>
      </c>
      <c r="E207" s="3" t="s">
        <v>55</v>
      </c>
      <c r="F207" s="3" t="s">
        <v>8</v>
      </c>
      <c r="G207" s="3" t="s">
        <v>8</v>
      </c>
      <c r="H207" s="9">
        <v>39.417119341375802</v>
      </c>
      <c r="I207" s="9">
        <v>3.2616092236702898</v>
      </c>
      <c r="J207" s="3">
        <v>1</v>
      </c>
      <c r="K207" s="3">
        <v>1</v>
      </c>
      <c r="L207" s="3">
        <v>0</v>
      </c>
      <c r="M207" s="3">
        <v>0</v>
      </c>
      <c r="N207" s="3" t="s">
        <v>16</v>
      </c>
      <c r="O207" s="3">
        <v>0</v>
      </c>
      <c r="P207" s="3">
        <v>0</v>
      </c>
      <c r="Q207" s="3">
        <v>1</v>
      </c>
      <c r="R207" s="3">
        <v>0</v>
      </c>
      <c r="S207" s="3">
        <v>0</v>
      </c>
      <c r="T207" s="3">
        <v>0</v>
      </c>
      <c r="U207" s="3">
        <v>0</v>
      </c>
      <c r="V207" s="3">
        <v>1</v>
      </c>
      <c r="W207" s="3" t="s">
        <v>6</v>
      </c>
      <c r="X207" s="3">
        <v>1</v>
      </c>
      <c r="Y207" s="3">
        <v>0</v>
      </c>
      <c r="Z207" s="3">
        <v>0</v>
      </c>
      <c r="AA207" s="3">
        <v>0</v>
      </c>
      <c r="AB207" s="3">
        <v>0</v>
      </c>
      <c r="AC207" s="3">
        <v>0</v>
      </c>
      <c r="AD207" s="3">
        <v>1</v>
      </c>
      <c r="AE207" s="3">
        <v>0</v>
      </c>
      <c r="AF207" s="3">
        <v>0</v>
      </c>
      <c r="AG207" s="3">
        <v>0</v>
      </c>
      <c r="AH207" s="3" t="s">
        <v>775</v>
      </c>
      <c r="AI207" s="3" t="s">
        <v>80</v>
      </c>
      <c r="AK207" t="s">
        <v>272</v>
      </c>
      <c r="AL207" s="3" t="s">
        <v>760</v>
      </c>
      <c r="AM207" t="s">
        <v>22</v>
      </c>
    </row>
    <row r="208" spans="1:39" x14ac:dyDescent="0.25">
      <c r="A208" t="s">
        <v>1328</v>
      </c>
      <c r="B208" s="7">
        <v>44363</v>
      </c>
      <c r="C208" s="7" t="s">
        <v>844</v>
      </c>
      <c r="D208" s="68">
        <v>0.70486111111111116</v>
      </c>
      <c r="E208" s="3" t="s">
        <v>55</v>
      </c>
      <c r="F208" s="3" t="s">
        <v>8</v>
      </c>
      <c r="G208" s="3" t="s">
        <v>8</v>
      </c>
      <c r="H208" s="9">
        <v>39.417119341375802</v>
      </c>
      <c r="I208" s="9">
        <v>3.2616092236702898</v>
      </c>
      <c r="J208" s="3">
        <v>1</v>
      </c>
      <c r="K208" s="3">
        <v>0</v>
      </c>
      <c r="L208" s="3">
        <v>1</v>
      </c>
      <c r="M208" s="3">
        <v>0</v>
      </c>
      <c r="N208" s="3" t="s">
        <v>6</v>
      </c>
      <c r="O208" s="3">
        <v>0</v>
      </c>
      <c r="P208" s="3">
        <v>0</v>
      </c>
      <c r="Q208" s="3">
        <v>1</v>
      </c>
      <c r="R208" s="3">
        <v>0</v>
      </c>
      <c r="S208" s="3">
        <v>0</v>
      </c>
      <c r="T208" s="3">
        <v>0</v>
      </c>
      <c r="U208" s="3">
        <v>0</v>
      </c>
      <c r="V208" s="3">
        <v>1</v>
      </c>
      <c r="W208" s="3" t="s">
        <v>6</v>
      </c>
      <c r="X208" s="3">
        <v>0</v>
      </c>
      <c r="Y208" s="3">
        <v>0</v>
      </c>
      <c r="Z208" s="3">
        <v>0</v>
      </c>
      <c r="AA208" s="3">
        <v>0</v>
      </c>
      <c r="AB208" s="3">
        <v>0</v>
      </c>
      <c r="AC208" s="3">
        <v>0</v>
      </c>
      <c r="AD208" s="3">
        <v>0</v>
      </c>
      <c r="AE208" s="3">
        <v>0</v>
      </c>
      <c r="AF208" s="3">
        <v>0</v>
      </c>
      <c r="AG208" s="3">
        <v>0</v>
      </c>
      <c r="AH208" s="3" t="s">
        <v>775</v>
      </c>
      <c r="AI208" s="3" t="s">
        <v>80</v>
      </c>
      <c r="AK208" t="s">
        <v>271</v>
      </c>
      <c r="AL208" s="3" t="s">
        <v>761</v>
      </c>
      <c r="AM208" t="s">
        <v>22</v>
      </c>
    </row>
    <row r="209" spans="1:39" x14ac:dyDescent="0.25">
      <c r="A209" t="s">
        <v>969</v>
      </c>
      <c r="B209" s="8">
        <v>44372</v>
      </c>
      <c r="C209" s="8" t="s">
        <v>844</v>
      </c>
      <c r="D209" s="3" t="s">
        <v>6</v>
      </c>
      <c r="E209" s="3" t="s">
        <v>129</v>
      </c>
      <c r="F209" s="3" t="s">
        <v>78</v>
      </c>
      <c r="G209" s="3" t="s">
        <v>19</v>
      </c>
      <c r="H209" s="9">
        <v>39.990880068092302</v>
      </c>
      <c r="I209" s="9">
        <v>2.83451358666678E-2</v>
      </c>
      <c r="J209" s="3">
        <v>1</v>
      </c>
      <c r="K209" s="3">
        <v>1</v>
      </c>
      <c r="L209" s="3">
        <v>0</v>
      </c>
      <c r="M209" s="3">
        <v>0</v>
      </c>
      <c r="N209" s="3" t="s">
        <v>6</v>
      </c>
      <c r="O209" s="3">
        <v>0</v>
      </c>
      <c r="P209" s="3">
        <v>0</v>
      </c>
      <c r="Q209" s="3">
        <v>1</v>
      </c>
      <c r="R209" s="3">
        <v>0</v>
      </c>
      <c r="S209" s="3">
        <v>0</v>
      </c>
      <c r="T209" s="3">
        <v>0</v>
      </c>
      <c r="U209" s="3">
        <v>0</v>
      </c>
      <c r="V209" s="3">
        <v>1</v>
      </c>
      <c r="W209" s="3" t="s">
        <v>6</v>
      </c>
      <c r="X209" s="3">
        <v>0</v>
      </c>
      <c r="Y209" s="3">
        <v>0</v>
      </c>
      <c r="Z209" s="3">
        <v>0</v>
      </c>
      <c r="AA209" s="3">
        <v>0</v>
      </c>
      <c r="AB209" s="3">
        <v>0</v>
      </c>
      <c r="AC209" s="3">
        <v>0</v>
      </c>
      <c r="AD209" s="3">
        <v>0</v>
      </c>
      <c r="AE209" s="3">
        <v>0</v>
      </c>
      <c r="AF209" s="3">
        <v>0</v>
      </c>
      <c r="AG209" s="3">
        <v>0</v>
      </c>
      <c r="AH209" s="3" t="s">
        <v>17</v>
      </c>
      <c r="AI209" s="3" t="s">
        <v>778</v>
      </c>
      <c r="AK209" s="3" t="s">
        <v>212</v>
      </c>
      <c r="AL209" s="3" t="s">
        <v>258</v>
      </c>
    </row>
    <row r="210" spans="1:39" x14ac:dyDescent="0.25">
      <c r="A210" t="s">
        <v>1083</v>
      </c>
      <c r="B210" s="7">
        <v>44373</v>
      </c>
      <c r="C210" s="7" t="s">
        <v>844</v>
      </c>
      <c r="D210" s="3" t="s">
        <v>6</v>
      </c>
      <c r="E210" s="3" t="s">
        <v>482</v>
      </c>
      <c r="F210" s="3" t="s">
        <v>78</v>
      </c>
      <c r="G210" s="3" t="s">
        <v>19</v>
      </c>
      <c r="H210" s="9">
        <v>39.856580536514599</v>
      </c>
      <c r="I210" s="9">
        <v>9.2747029807010301E-3</v>
      </c>
      <c r="J210" s="3">
        <v>4</v>
      </c>
      <c r="K210" s="3">
        <v>4</v>
      </c>
      <c r="L210" s="3">
        <v>0</v>
      </c>
      <c r="M210" s="3">
        <v>0</v>
      </c>
      <c r="N210" s="3" t="s">
        <v>16</v>
      </c>
      <c r="O210" s="3">
        <v>0</v>
      </c>
      <c r="P210" s="3">
        <v>0</v>
      </c>
      <c r="Q210" s="3">
        <v>4</v>
      </c>
      <c r="R210" s="3">
        <v>0</v>
      </c>
      <c r="S210" s="3">
        <v>0</v>
      </c>
      <c r="T210" s="3">
        <v>0</v>
      </c>
      <c r="U210" s="3">
        <v>0</v>
      </c>
      <c r="V210" s="3">
        <v>4</v>
      </c>
      <c r="W210" s="3" t="s">
        <v>6</v>
      </c>
      <c r="X210" s="3">
        <v>0</v>
      </c>
      <c r="Y210" s="3">
        <v>0</v>
      </c>
      <c r="Z210" s="3">
        <v>0</v>
      </c>
      <c r="AA210" s="3">
        <v>0</v>
      </c>
      <c r="AB210" s="3">
        <v>0</v>
      </c>
      <c r="AC210" s="3">
        <v>0</v>
      </c>
      <c r="AD210" s="3">
        <v>0</v>
      </c>
      <c r="AE210" s="3">
        <v>0</v>
      </c>
      <c r="AF210" s="3">
        <v>0</v>
      </c>
      <c r="AG210" s="3">
        <v>0</v>
      </c>
      <c r="AH210" s="3" t="s">
        <v>17</v>
      </c>
      <c r="AI210" s="3" t="s">
        <v>780</v>
      </c>
      <c r="AK210" s="3" t="s">
        <v>461</v>
      </c>
    </row>
    <row r="211" spans="1:39" x14ac:dyDescent="0.25">
      <c r="A211" t="s">
        <v>972</v>
      </c>
      <c r="B211" s="8">
        <v>44390</v>
      </c>
      <c r="C211" s="8" t="s">
        <v>844</v>
      </c>
      <c r="D211" s="3" t="s">
        <v>6</v>
      </c>
      <c r="E211" s="3" t="s">
        <v>131</v>
      </c>
      <c r="F211" s="3" t="s">
        <v>8</v>
      </c>
      <c r="G211" s="3" t="s">
        <v>8</v>
      </c>
      <c r="J211" s="3">
        <v>1</v>
      </c>
      <c r="K211" s="6">
        <v>1</v>
      </c>
      <c r="L211" s="3">
        <v>0</v>
      </c>
      <c r="M211" s="3">
        <v>0</v>
      </c>
      <c r="N211" s="3" t="s">
        <v>16</v>
      </c>
      <c r="O211" s="3">
        <v>0</v>
      </c>
      <c r="P211" s="3">
        <v>1</v>
      </c>
      <c r="Q211" s="3">
        <v>0</v>
      </c>
      <c r="R211" s="3">
        <v>0</v>
      </c>
      <c r="S211" s="3">
        <v>0</v>
      </c>
      <c r="T211" s="3">
        <v>0</v>
      </c>
      <c r="U211" s="3">
        <v>0</v>
      </c>
      <c r="V211" s="3">
        <v>1</v>
      </c>
      <c r="W211" s="3" t="s">
        <v>6</v>
      </c>
      <c r="X211" s="3">
        <v>0</v>
      </c>
      <c r="Y211" s="3">
        <v>0</v>
      </c>
      <c r="Z211" s="3">
        <v>0</v>
      </c>
      <c r="AA211" s="3">
        <v>0</v>
      </c>
      <c r="AB211" s="3">
        <v>0</v>
      </c>
      <c r="AC211" s="3">
        <v>0</v>
      </c>
      <c r="AD211" s="3">
        <v>0</v>
      </c>
      <c r="AE211" s="3">
        <v>0</v>
      </c>
      <c r="AF211" s="3">
        <v>0</v>
      </c>
      <c r="AG211" s="3">
        <v>0</v>
      </c>
      <c r="AH211" s="3" t="s">
        <v>17</v>
      </c>
      <c r="AI211" s="3" t="s">
        <v>777</v>
      </c>
      <c r="AK211" s="3" t="s">
        <v>215</v>
      </c>
      <c r="AL211" s="3" t="s">
        <v>596</v>
      </c>
    </row>
    <row r="212" spans="1:39" x14ac:dyDescent="0.25">
      <c r="A212" t="s">
        <v>973</v>
      </c>
      <c r="B212" s="8">
        <v>44399</v>
      </c>
      <c r="C212" s="8" t="s">
        <v>844</v>
      </c>
      <c r="D212" s="3" t="s">
        <v>6</v>
      </c>
      <c r="E212" s="3" t="s">
        <v>132</v>
      </c>
      <c r="F212" s="3" t="s">
        <v>59</v>
      </c>
      <c r="G212" s="3" t="s">
        <v>20</v>
      </c>
      <c r="H212" s="9">
        <v>41.813114312211802</v>
      </c>
      <c r="I212" s="9">
        <v>3.0682473348539498</v>
      </c>
      <c r="J212" s="3">
        <v>1</v>
      </c>
      <c r="K212" s="3">
        <v>0</v>
      </c>
      <c r="L212" s="3">
        <v>0</v>
      </c>
      <c r="M212" s="3">
        <v>1</v>
      </c>
      <c r="N212" s="3" t="s">
        <v>6</v>
      </c>
      <c r="O212" s="3">
        <v>0</v>
      </c>
      <c r="P212" s="3">
        <v>0</v>
      </c>
      <c r="Q212" s="3">
        <v>1</v>
      </c>
      <c r="R212" s="3">
        <v>0</v>
      </c>
      <c r="S212" s="3">
        <v>0</v>
      </c>
      <c r="T212" s="3">
        <v>0</v>
      </c>
      <c r="U212" s="3">
        <v>0</v>
      </c>
      <c r="V212" s="3">
        <v>1</v>
      </c>
      <c r="W212" s="3" t="s">
        <v>6</v>
      </c>
      <c r="X212" s="3">
        <v>0</v>
      </c>
      <c r="Y212" s="3">
        <v>0</v>
      </c>
      <c r="Z212" s="3">
        <v>0</v>
      </c>
      <c r="AA212" s="3">
        <v>0</v>
      </c>
      <c r="AB212" s="3">
        <v>0</v>
      </c>
      <c r="AC212" s="3">
        <v>0</v>
      </c>
      <c r="AD212" s="3">
        <v>0</v>
      </c>
      <c r="AE212" s="3">
        <v>0</v>
      </c>
      <c r="AF212" s="3">
        <v>0</v>
      </c>
      <c r="AG212" s="3">
        <v>0</v>
      </c>
      <c r="AH212" s="3" t="s">
        <v>17</v>
      </c>
      <c r="AI212" s="3" t="s">
        <v>778</v>
      </c>
      <c r="AK212" s="3" t="s">
        <v>216</v>
      </c>
      <c r="AL212" s="3" t="s">
        <v>568</v>
      </c>
    </row>
    <row r="213" spans="1:39" x14ac:dyDescent="0.25">
      <c r="A213" t="s">
        <v>1084</v>
      </c>
      <c r="B213" s="7">
        <v>44399</v>
      </c>
      <c r="C213" s="7" t="s">
        <v>844</v>
      </c>
      <c r="D213" s="3" t="s">
        <v>6</v>
      </c>
      <c r="E213" s="3" t="s">
        <v>481</v>
      </c>
      <c r="F213" s="3" t="s">
        <v>78</v>
      </c>
      <c r="G213" s="3" t="s">
        <v>19</v>
      </c>
      <c r="H213" s="9">
        <v>39.922159499771197</v>
      </c>
      <c r="I213" s="9">
        <v>6.4273839702240695E-2</v>
      </c>
      <c r="J213" s="3">
        <v>3</v>
      </c>
      <c r="K213" s="3">
        <v>3</v>
      </c>
      <c r="L213" s="3">
        <v>0</v>
      </c>
      <c r="M213" s="3">
        <v>0</v>
      </c>
      <c r="N213" s="3" t="s">
        <v>16</v>
      </c>
      <c r="O213" s="3">
        <v>0</v>
      </c>
      <c r="P213" s="3">
        <v>3</v>
      </c>
      <c r="Q213" s="3">
        <v>0</v>
      </c>
      <c r="R213" s="3">
        <v>3</v>
      </c>
      <c r="S213" s="3">
        <v>0</v>
      </c>
      <c r="T213" s="3">
        <v>0</v>
      </c>
      <c r="U213" s="3">
        <v>0</v>
      </c>
      <c r="V213" s="3">
        <v>0</v>
      </c>
      <c r="W213" s="3" t="s">
        <v>6</v>
      </c>
      <c r="X213" s="3">
        <v>0</v>
      </c>
      <c r="Y213" s="3">
        <v>0</v>
      </c>
      <c r="Z213" s="3">
        <v>0</v>
      </c>
      <c r="AA213" s="3">
        <v>0</v>
      </c>
      <c r="AB213" s="3">
        <v>0</v>
      </c>
      <c r="AC213" s="3">
        <v>0</v>
      </c>
      <c r="AD213" s="3">
        <v>0</v>
      </c>
      <c r="AE213" s="3">
        <v>0</v>
      </c>
      <c r="AF213" s="3">
        <v>0</v>
      </c>
      <c r="AG213" s="3">
        <v>0</v>
      </c>
      <c r="AH213" s="3" t="s">
        <v>17</v>
      </c>
      <c r="AI213" s="3" t="s">
        <v>780</v>
      </c>
      <c r="AK213" s="3" t="s">
        <v>464</v>
      </c>
      <c r="AL213" s="3" t="s">
        <v>922</v>
      </c>
    </row>
    <row r="214" spans="1:39" x14ac:dyDescent="0.25">
      <c r="A214" t="s">
        <v>1086</v>
      </c>
      <c r="B214" s="7">
        <v>44402</v>
      </c>
      <c r="C214" s="7" t="s">
        <v>844</v>
      </c>
      <c r="D214" s="3" t="s">
        <v>6</v>
      </c>
      <c r="E214" s="3" t="s">
        <v>416</v>
      </c>
      <c r="F214" s="3" t="s">
        <v>78</v>
      </c>
      <c r="G214" s="3" t="s">
        <v>19</v>
      </c>
      <c r="H214" s="9">
        <v>40.244654133202502</v>
      </c>
      <c r="I214" s="9">
        <v>0.28733668868003198</v>
      </c>
      <c r="J214" s="3">
        <v>1</v>
      </c>
      <c r="K214" s="3">
        <v>1</v>
      </c>
      <c r="L214" s="3">
        <v>0</v>
      </c>
      <c r="M214" s="3">
        <v>0</v>
      </c>
      <c r="N214" s="3" t="s">
        <v>16</v>
      </c>
      <c r="O214" s="3">
        <v>0</v>
      </c>
      <c r="P214" s="3">
        <v>1</v>
      </c>
      <c r="Q214" s="3">
        <v>0</v>
      </c>
      <c r="R214" s="3">
        <v>1</v>
      </c>
      <c r="S214" s="3">
        <v>0</v>
      </c>
      <c r="T214" s="3">
        <v>0</v>
      </c>
      <c r="U214" s="3">
        <v>0</v>
      </c>
      <c r="V214" s="3">
        <v>0</v>
      </c>
      <c r="W214" s="3" t="s">
        <v>6</v>
      </c>
      <c r="X214" s="3">
        <v>0</v>
      </c>
      <c r="Y214" s="3">
        <v>0</v>
      </c>
      <c r="Z214" s="3">
        <v>0</v>
      </c>
      <c r="AA214" s="3">
        <v>0</v>
      </c>
      <c r="AB214" s="3">
        <v>0</v>
      </c>
      <c r="AC214" s="3">
        <v>0</v>
      </c>
      <c r="AD214" s="3">
        <v>0</v>
      </c>
      <c r="AE214" s="3">
        <v>0</v>
      </c>
      <c r="AF214" s="3">
        <v>0</v>
      </c>
      <c r="AG214" s="3">
        <v>0</v>
      </c>
      <c r="AH214" s="3" t="s">
        <v>17</v>
      </c>
      <c r="AI214" s="3" t="s">
        <v>780</v>
      </c>
      <c r="AK214" s="3" t="s">
        <v>466</v>
      </c>
    </row>
    <row r="215" spans="1:39" x14ac:dyDescent="0.25">
      <c r="A215" t="s">
        <v>1067</v>
      </c>
      <c r="B215" s="7">
        <v>44406</v>
      </c>
      <c r="C215" s="7" t="s">
        <v>844</v>
      </c>
      <c r="D215" s="3" t="s">
        <v>6</v>
      </c>
      <c r="E215" s="3" t="s">
        <v>437</v>
      </c>
      <c r="F215" s="3" t="s">
        <v>25</v>
      </c>
      <c r="G215" s="3" t="s">
        <v>19</v>
      </c>
      <c r="H215" s="9">
        <v>38.537533079249997</v>
      </c>
      <c r="I215" s="9">
        <v>-7.3859718853856504E-2</v>
      </c>
      <c r="J215" s="3">
        <v>1</v>
      </c>
      <c r="K215" s="3">
        <v>1</v>
      </c>
      <c r="L215" s="3">
        <v>0</v>
      </c>
      <c r="M215" s="3">
        <v>0</v>
      </c>
      <c r="N215" s="3" t="s">
        <v>6</v>
      </c>
      <c r="O215" s="3">
        <v>0</v>
      </c>
      <c r="P215" s="3">
        <v>0</v>
      </c>
      <c r="Q215" s="3">
        <v>1</v>
      </c>
      <c r="R215" s="3">
        <v>0</v>
      </c>
      <c r="S215" s="3">
        <v>0</v>
      </c>
      <c r="T215" s="3">
        <v>0</v>
      </c>
      <c r="U215" s="3">
        <v>0</v>
      </c>
      <c r="V215" s="3">
        <v>1</v>
      </c>
      <c r="W215" s="3" t="s">
        <v>6</v>
      </c>
      <c r="X215" s="3">
        <v>0</v>
      </c>
      <c r="Y215" s="3">
        <v>0</v>
      </c>
      <c r="Z215" s="3">
        <v>0</v>
      </c>
      <c r="AA215" s="3">
        <v>0</v>
      </c>
      <c r="AB215" s="3">
        <v>0</v>
      </c>
      <c r="AC215" s="3">
        <v>0</v>
      </c>
      <c r="AD215" s="3">
        <v>0</v>
      </c>
      <c r="AE215" s="3">
        <v>0</v>
      </c>
      <c r="AF215" s="3">
        <v>0</v>
      </c>
      <c r="AG215" s="3">
        <v>0</v>
      </c>
      <c r="AH215" s="3" t="s">
        <v>17</v>
      </c>
      <c r="AI215" s="3" t="s">
        <v>780</v>
      </c>
      <c r="AK215" s="3" t="s">
        <v>438</v>
      </c>
    </row>
    <row r="216" spans="1:39" x14ac:dyDescent="0.25">
      <c r="A216" t="s">
        <v>974</v>
      </c>
      <c r="B216" s="8">
        <v>44422</v>
      </c>
      <c r="C216" s="8" t="s">
        <v>844</v>
      </c>
      <c r="D216" s="3" t="s">
        <v>6</v>
      </c>
      <c r="E216" s="3" t="s">
        <v>133</v>
      </c>
      <c r="F216" s="3" t="s">
        <v>8</v>
      </c>
      <c r="G216" s="3" t="s">
        <v>8</v>
      </c>
      <c r="H216" s="9">
        <v>39.828433520588497</v>
      </c>
      <c r="I216" s="9">
        <v>4.20471519660369</v>
      </c>
      <c r="J216" s="3">
        <v>1</v>
      </c>
      <c r="K216" s="6">
        <v>1</v>
      </c>
      <c r="L216" s="3">
        <v>0</v>
      </c>
      <c r="M216" s="3">
        <v>0</v>
      </c>
      <c r="N216" s="3" t="s">
        <v>6</v>
      </c>
      <c r="O216" s="3">
        <v>0</v>
      </c>
      <c r="P216" s="3">
        <v>0</v>
      </c>
      <c r="Q216" s="3">
        <v>1</v>
      </c>
      <c r="R216" s="3">
        <v>0</v>
      </c>
      <c r="S216" s="3">
        <v>0</v>
      </c>
      <c r="T216" s="3">
        <v>0</v>
      </c>
      <c r="U216" s="3">
        <v>0</v>
      </c>
      <c r="V216" s="3">
        <v>1</v>
      </c>
      <c r="W216" s="3" t="s">
        <v>6</v>
      </c>
      <c r="X216" s="3">
        <v>1</v>
      </c>
      <c r="Y216" s="3">
        <v>0</v>
      </c>
      <c r="Z216" s="3">
        <v>0</v>
      </c>
      <c r="AA216" s="3">
        <v>0</v>
      </c>
      <c r="AB216" s="3">
        <v>0</v>
      </c>
      <c r="AC216" s="3">
        <v>0</v>
      </c>
      <c r="AD216" s="3">
        <v>0</v>
      </c>
      <c r="AE216" s="3">
        <v>0</v>
      </c>
      <c r="AF216" s="3">
        <v>0</v>
      </c>
      <c r="AG216" s="3">
        <v>1</v>
      </c>
      <c r="AH216" s="3" t="s">
        <v>17</v>
      </c>
      <c r="AI216" s="3" t="s">
        <v>776</v>
      </c>
      <c r="AK216" s="3" t="s">
        <v>217</v>
      </c>
      <c r="AL216" s="3" t="s">
        <v>259</v>
      </c>
    </row>
    <row r="217" spans="1:39" x14ac:dyDescent="0.25">
      <c r="A217" t="s">
        <v>1017</v>
      </c>
      <c r="B217" s="7">
        <v>44482</v>
      </c>
      <c r="C217" s="7" t="s">
        <v>844</v>
      </c>
      <c r="D217" s="3" t="s">
        <v>6</v>
      </c>
      <c r="E217" s="3" t="s">
        <v>134</v>
      </c>
      <c r="F217" s="3" t="s">
        <v>8</v>
      </c>
      <c r="G217" s="3" t="s">
        <v>8</v>
      </c>
      <c r="H217" s="9">
        <v>40.039515855427801</v>
      </c>
      <c r="I217" s="9">
        <v>4.1830371454740396</v>
      </c>
      <c r="J217" s="3">
        <v>1</v>
      </c>
      <c r="K217" s="3">
        <v>1</v>
      </c>
      <c r="L217" s="3">
        <v>0</v>
      </c>
      <c r="M217" s="3">
        <v>0</v>
      </c>
      <c r="N217" s="3" t="s">
        <v>66</v>
      </c>
      <c r="O217" s="3">
        <v>0</v>
      </c>
      <c r="P217" s="3">
        <v>1</v>
      </c>
      <c r="Q217" s="3">
        <v>0</v>
      </c>
      <c r="R217" s="3">
        <v>1</v>
      </c>
      <c r="S217" s="3">
        <v>0</v>
      </c>
      <c r="T217" s="3">
        <v>0</v>
      </c>
      <c r="U217" s="3">
        <v>0</v>
      </c>
      <c r="V217" s="3">
        <v>0</v>
      </c>
      <c r="W217" s="3" t="s">
        <v>6</v>
      </c>
      <c r="X217" s="3">
        <v>0</v>
      </c>
      <c r="Y217" s="3">
        <v>0</v>
      </c>
      <c r="Z217" s="3">
        <v>0</v>
      </c>
      <c r="AA217" s="3">
        <v>0</v>
      </c>
      <c r="AB217" s="3">
        <v>0</v>
      </c>
      <c r="AC217" s="3">
        <v>0</v>
      </c>
      <c r="AD217" s="3">
        <v>0</v>
      </c>
      <c r="AE217" s="3">
        <v>0</v>
      </c>
      <c r="AF217" s="3">
        <v>0</v>
      </c>
      <c r="AG217" s="3">
        <v>0</v>
      </c>
      <c r="AH217" s="3" t="s">
        <v>775</v>
      </c>
      <c r="AI217" s="3" t="s">
        <v>81</v>
      </c>
      <c r="AK217" s="3" t="s">
        <v>346</v>
      </c>
      <c r="AL217" s="3" t="s">
        <v>316</v>
      </c>
    </row>
    <row r="218" spans="1:39" x14ac:dyDescent="0.25">
      <c r="A218" t="s">
        <v>1222</v>
      </c>
      <c r="B218" s="7">
        <v>44633</v>
      </c>
      <c r="C218" s="7" t="s">
        <v>842</v>
      </c>
      <c r="D218" s="3" t="s">
        <v>6</v>
      </c>
      <c r="E218" s="3" t="s">
        <v>91</v>
      </c>
      <c r="F218" s="3" t="s">
        <v>59</v>
      </c>
      <c r="G218" s="3" t="s">
        <v>20</v>
      </c>
      <c r="H218" s="9">
        <v>42.373797852649602</v>
      </c>
      <c r="I218" s="9">
        <v>3.18187193802423</v>
      </c>
      <c r="J218" s="3">
        <v>1</v>
      </c>
      <c r="K218" s="3">
        <v>1</v>
      </c>
      <c r="L218" s="3">
        <v>0</v>
      </c>
      <c r="M218" s="3">
        <v>0</v>
      </c>
      <c r="N218" s="3" t="s">
        <v>16</v>
      </c>
      <c r="O218" s="3">
        <v>0</v>
      </c>
      <c r="P218" s="3">
        <v>1</v>
      </c>
      <c r="Q218" s="3">
        <v>0</v>
      </c>
      <c r="R218" s="3">
        <v>1</v>
      </c>
      <c r="S218" s="3">
        <v>0</v>
      </c>
      <c r="T218" s="3">
        <v>0</v>
      </c>
      <c r="U218" s="3">
        <v>0</v>
      </c>
      <c r="V218" s="3">
        <v>0</v>
      </c>
      <c r="W218" s="3" t="s">
        <v>6</v>
      </c>
      <c r="X218" s="3">
        <v>0</v>
      </c>
      <c r="Y218" s="3">
        <v>0</v>
      </c>
      <c r="Z218" s="3">
        <v>0</v>
      </c>
      <c r="AA218" s="3">
        <v>0</v>
      </c>
      <c r="AB218" s="3">
        <v>0</v>
      </c>
      <c r="AC218" s="3">
        <v>0</v>
      </c>
      <c r="AD218" s="3">
        <v>0</v>
      </c>
      <c r="AE218" s="3">
        <v>0</v>
      </c>
      <c r="AF218" s="3">
        <v>0</v>
      </c>
      <c r="AG218" s="3">
        <v>0</v>
      </c>
      <c r="AH218" s="3" t="s">
        <v>17</v>
      </c>
      <c r="AI218" s="3" t="s">
        <v>776</v>
      </c>
      <c r="AK218" s="3" t="s">
        <v>719</v>
      </c>
      <c r="AL218" s="3" t="s">
        <v>316</v>
      </c>
    </row>
    <row r="219" spans="1:39" x14ac:dyDescent="0.25">
      <c r="A219" t="s">
        <v>1018</v>
      </c>
      <c r="B219" s="7">
        <v>44743</v>
      </c>
      <c r="C219" s="7" t="s">
        <v>844</v>
      </c>
      <c r="D219" s="3" t="s">
        <v>6</v>
      </c>
      <c r="E219" s="3" t="s">
        <v>348</v>
      </c>
      <c r="F219" s="3" t="s">
        <v>59</v>
      </c>
      <c r="G219" s="3" t="s">
        <v>20</v>
      </c>
      <c r="H219" s="9">
        <v>42.1040491111157</v>
      </c>
      <c r="I219" s="9">
        <v>3.1968923984929201</v>
      </c>
      <c r="J219" s="3">
        <v>1</v>
      </c>
      <c r="K219" s="3">
        <v>0</v>
      </c>
      <c r="L219" s="3">
        <v>0</v>
      </c>
      <c r="M219" s="3">
        <v>1</v>
      </c>
      <c r="N219" s="3" t="s">
        <v>6</v>
      </c>
      <c r="O219" s="3">
        <v>0</v>
      </c>
      <c r="P219" s="3">
        <v>0</v>
      </c>
      <c r="Q219" s="3">
        <v>1</v>
      </c>
      <c r="R219" s="3">
        <v>0</v>
      </c>
      <c r="S219" s="3">
        <v>0</v>
      </c>
      <c r="T219" s="3">
        <v>0</v>
      </c>
      <c r="U219" s="3">
        <v>0</v>
      </c>
      <c r="V219" s="3">
        <v>1</v>
      </c>
      <c r="W219" s="3" t="s">
        <v>6</v>
      </c>
      <c r="X219" s="3">
        <v>0</v>
      </c>
      <c r="Y219" s="3">
        <v>0</v>
      </c>
      <c r="Z219" s="3">
        <v>0</v>
      </c>
      <c r="AA219" s="3">
        <v>0</v>
      </c>
      <c r="AB219" s="3">
        <v>0</v>
      </c>
      <c r="AC219" s="3">
        <v>0</v>
      </c>
      <c r="AD219" s="3">
        <v>0</v>
      </c>
      <c r="AE219" s="3">
        <v>0</v>
      </c>
      <c r="AF219" s="3">
        <v>0</v>
      </c>
      <c r="AG219" s="3">
        <v>0</v>
      </c>
      <c r="AH219" s="3" t="s">
        <v>775</v>
      </c>
      <c r="AI219" s="3" t="s">
        <v>81</v>
      </c>
      <c r="AK219" s="3" t="s">
        <v>347</v>
      </c>
      <c r="AL219" s="3" t="s">
        <v>316</v>
      </c>
    </row>
    <row r="220" spans="1:39" x14ac:dyDescent="0.25">
      <c r="A220" t="s">
        <v>1013</v>
      </c>
      <c r="B220" s="7">
        <v>44758</v>
      </c>
      <c r="C220" s="7" t="s">
        <v>844</v>
      </c>
      <c r="D220" s="3" t="s">
        <v>6</v>
      </c>
      <c r="E220" s="3" t="s">
        <v>135</v>
      </c>
      <c r="F220" s="3" t="s">
        <v>8</v>
      </c>
      <c r="G220" s="3" t="s">
        <v>8</v>
      </c>
      <c r="H220" s="9">
        <v>40.055998129650902</v>
      </c>
      <c r="I220" s="9">
        <v>3.19817946296059</v>
      </c>
      <c r="J220" s="3">
        <v>1</v>
      </c>
      <c r="K220" s="3">
        <v>1</v>
      </c>
      <c r="L220" s="3">
        <v>0</v>
      </c>
      <c r="M220" s="3">
        <v>0</v>
      </c>
      <c r="N220" s="3" t="s">
        <v>6</v>
      </c>
      <c r="O220" s="3">
        <v>0</v>
      </c>
      <c r="P220" s="3">
        <v>0</v>
      </c>
      <c r="Q220" s="3">
        <v>1</v>
      </c>
      <c r="R220" s="3">
        <v>0</v>
      </c>
      <c r="S220" s="3">
        <v>0</v>
      </c>
      <c r="T220" s="3">
        <v>0</v>
      </c>
      <c r="U220" s="3">
        <v>0</v>
      </c>
      <c r="V220" s="3">
        <v>1</v>
      </c>
      <c r="W220" s="3" t="s">
        <v>6</v>
      </c>
      <c r="X220" s="3">
        <v>0</v>
      </c>
      <c r="Y220" s="3">
        <v>0</v>
      </c>
      <c r="Z220" s="3">
        <v>0</v>
      </c>
      <c r="AA220" s="3">
        <v>0</v>
      </c>
      <c r="AB220" s="3">
        <v>0</v>
      </c>
      <c r="AC220" s="3">
        <v>0</v>
      </c>
      <c r="AD220" s="3">
        <v>0</v>
      </c>
      <c r="AE220" s="3">
        <v>0</v>
      </c>
      <c r="AF220" s="3">
        <v>0</v>
      </c>
      <c r="AG220" s="3">
        <v>0</v>
      </c>
      <c r="AH220" s="3" t="s">
        <v>775</v>
      </c>
      <c r="AI220" s="3" t="s">
        <v>81</v>
      </c>
      <c r="AK220" s="3" t="s">
        <v>341</v>
      </c>
    </row>
    <row r="221" spans="1:39" x14ac:dyDescent="0.25">
      <c r="A221" t="s">
        <v>1331</v>
      </c>
      <c r="B221" s="7">
        <v>44762</v>
      </c>
      <c r="C221" s="7" t="s">
        <v>844</v>
      </c>
      <c r="D221" s="68">
        <v>0.42152777777777778</v>
      </c>
      <c r="E221" s="3" t="s">
        <v>58</v>
      </c>
      <c r="F221" s="3" t="s">
        <v>59</v>
      </c>
      <c r="G221" s="3" t="s">
        <v>20</v>
      </c>
      <c r="H221" s="9">
        <v>42.386580000000002</v>
      </c>
      <c r="I221" s="9">
        <v>3.164809</v>
      </c>
      <c r="J221" s="3">
        <v>1</v>
      </c>
      <c r="K221" s="3">
        <v>1</v>
      </c>
      <c r="L221" s="3">
        <v>0</v>
      </c>
      <c r="M221" s="3">
        <v>0</v>
      </c>
      <c r="N221" s="3" t="s">
        <v>66</v>
      </c>
      <c r="O221" s="3">
        <v>0</v>
      </c>
      <c r="P221" s="3">
        <v>0</v>
      </c>
      <c r="Q221" s="3">
        <v>1</v>
      </c>
      <c r="R221" s="3">
        <v>0</v>
      </c>
      <c r="S221" s="3">
        <v>0</v>
      </c>
      <c r="T221" s="3">
        <v>0</v>
      </c>
      <c r="U221" s="3">
        <v>0</v>
      </c>
      <c r="V221" s="3">
        <v>1</v>
      </c>
      <c r="W221" s="3" t="s">
        <v>6</v>
      </c>
      <c r="X221" s="3">
        <v>0</v>
      </c>
      <c r="Y221" s="3">
        <v>0</v>
      </c>
      <c r="Z221" s="3">
        <v>0</v>
      </c>
      <c r="AA221" s="3">
        <v>0</v>
      </c>
      <c r="AB221" s="3">
        <v>0</v>
      </c>
      <c r="AC221" s="3">
        <v>0</v>
      </c>
      <c r="AD221" s="3">
        <v>0</v>
      </c>
      <c r="AE221" s="3">
        <v>0</v>
      </c>
      <c r="AF221" s="3">
        <v>0</v>
      </c>
      <c r="AG221" s="3">
        <v>0</v>
      </c>
      <c r="AH221" s="3" t="s">
        <v>775</v>
      </c>
      <c r="AI221" s="3" t="s">
        <v>80</v>
      </c>
      <c r="AK221" t="s">
        <v>274</v>
      </c>
      <c r="AL221" s="3" t="s">
        <v>22</v>
      </c>
      <c r="AM221" t="s">
        <v>22</v>
      </c>
    </row>
    <row r="222" spans="1:39" x14ac:dyDescent="0.25">
      <c r="A222" t="s">
        <v>975</v>
      </c>
      <c r="B222" s="8">
        <v>44762</v>
      </c>
      <c r="C222" s="8" t="s">
        <v>844</v>
      </c>
      <c r="D222" s="3" t="s">
        <v>6</v>
      </c>
      <c r="E222" s="3" t="s">
        <v>134</v>
      </c>
      <c r="F222" s="3" t="s">
        <v>8</v>
      </c>
      <c r="G222" s="3" t="s">
        <v>8</v>
      </c>
      <c r="H222" s="9">
        <v>39.933218315656603</v>
      </c>
      <c r="I222" s="9">
        <v>3.9718803512949701</v>
      </c>
      <c r="J222" s="3">
        <v>1</v>
      </c>
      <c r="K222" s="6">
        <v>1</v>
      </c>
      <c r="L222" s="3">
        <v>0</v>
      </c>
      <c r="M222" s="3">
        <v>0</v>
      </c>
      <c r="N222" s="3" t="s">
        <v>16</v>
      </c>
      <c r="O222" s="3">
        <v>1</v>
      </c>
      <c r="P222" s="3">
        <v>0</v>
      </c>
      <c r="Q222" s="3">
        <v>0</v>
      </c>
      <c r="R222" s="3">
        <v>0</v>
      </c>
      <c r="S222" s="3">
        <v>0</v>
      </c>
      <c r="T222" s="3">
        <v>0</v>
      </c>
      <c r="U222" s="3">
        <v>0</v>
      </c>
      <c r="V222" s="3">
        <v>1</v>
      </c>
      <c r="W222" s="3" t="s">
        <v>6</v>
      </c>
      <c r="X222" s="3">
        <v>1</v>
      </c>
      <c r="Y222" s="3">
        <v>0</v>
      </c>
      <c r="Z222" s="3">
        <v>0</v>
      </c>
      <c r="AA222" s="3">
        <v>0</v>
      </c>
      <c r="AB222" s="3">
        <v>0</v>
      </c>
      <c r="AC222" s="3">
        <v>0</v>
      </c>
      <c r="AD222" s="3">
        <v>0</v>
      </c>
      <c r="AE222" s="3">
        <v>0</v>
      </c>
      <c r="AF222" s="3">
        <v>0</v>
      </c>
      <c r="AG222" s="3">
        <v>1</v>
      </c>
      <c r="AH222" s="3" t="s">
        <v>17</v>
      </c>
      <c r="AI222" s="3" t="s">
        <v>777</v>
      </c>
      <c r="AK222" s="3" t="s">
        <v>218</v>
      </c>
      <c r="AL222" s="3" t="s">
        <v>260</v>
      </c>
    </row>
    <row r="223" spans="1:39" x14ac:dyDescent="0.25">
      <c r="A223" t="s">
        <v>1019</v>
      </c>
      <c r="B223" s="7">
        <v>44762</v>
      </c>
      <c r="C223" s="7" t="s">
        <v>844</v>
      </c>
      <c r="D223" s="3" t="s">
        <v>6</v>
      </c>
      <c r="E223" s="3" t="s">
        <v>349</v>
      </c>
      <c r="F223" s="3" t="s">
        <v>59</v>
      </c>
      <c r="G223" s="3" t="s">
        <v>20</v>
      </c>
      <c r="H223" s="9">
        <v>42.183610000908402</v>
      </c>
      <c r="I223" s="9">
        <v>3.1705214138231401</v>
      </c>
      <c r="J223" s="3">
        <v>1</v>
      </c>
      <c r="K223" s="3">
        <v>0</v>
      </c>
      <c r="L223" s="3">
        <v>0</v>
      </c>
      <c r="M223" s="3">
        <v>1</v>
      </c>
      <c r="N223" s="3" t="s">
        <v>6</v>
      </c>
      <c r="O223" s="3">
        <v>0</v>
      </c>
      <c r="P223" s="3">
        <v>0</v>
      </c>
      <c r="Q223" s="3">
        <v>1</v>
      </c>
      <c r="R223" s="3">
        <v>0</v>
      </c>
      <c r="S223" s="3">
        <v>0</v>
      </c>
      <c r="T223" s="3">
        <v>0</v>
      </c>
      <c r="U223" s="3">
        <v>0</v>
      </c>
      <c r="V223" s="3">
        <v>1</v>
      </c>
      <c r="W223" s="3" t="s">
        <v>6</v>
      </c>
      <c r="X223" s="3">
        <v>0</v>
      </c>
      <c r="Y223" s="3">
        <v>0</v>
      </c>
      <c r="Z223" s="3">
        <v>0</v>
      </c>
      <c r="AA223" s="3">
        <v>0</v>
      </c>
      <c r="AB223" s="3">
        <v>0</v>
      </c>
      <c r="AC223" s="3">
        <v>0</v>
      </c>
      <c r="AD223" s="3">
        <v>0</v>
      </c>
      <c r="AE223" s="3">
        <v>0</v>
      </c>
      <c r="AF223" s="3">
        <v>0</v>
      </c>
      <c r="AG223" s="3">
        <v>0</v>
      </c>
      <c r="AH223" s="3" t="s">
        <v>775</v>
      </c>
      <c r="AI223" s="3" t="s">
        <v>81</v>
      </c>
      <c r="AK223" s="3" t="s">
        <v>350</v>
      </c>
      <c r="AL223" s="3" t="s">
        <v>316</v>
      </c>
    </row>
    <row r="224" spans="1:39" x14ac:dyDescent="0.25">
      <c r="A224" t="s">
        <v>1104</v>
      </c>
      <c r="B224" s="7">
        <v>44766</v>
      </c>
      <c r="C224" s="7" t="s">
        <v>844</v>
      </c>
      <c r="D224" s="3" t="s">
        <v>6</v>
      </c>
      <c r="E224" s="3" t="s">
        <v>123</v>
      </c>
      <c r="F224" s="3" t="s">
        <v>23</v>
      </c>
      <c r="G224" s="3" t="s">
        <v>23</v>
      </c>
      <c r="H224" s="9">
        <v>37.537703269641199</v>
      </c>
      <c r="I224" s="9">
        <v>-1.1415961744989001</v>
      </c>
      <c r="J224" s="3">
        <v>2</v>
      </c>
      <c r="K224" s="3">
        <v>2</v>
      </c>
      <c r="L224" s="3">
        <v>0</v>
      </c>
      <c r="M224" s="3">
        <v>0</v>
      </c>
      <c r="N224" s="3" t="s">
        <v>16</v>
      </c>
      <c r="O224" s="3">
        <v>1</v>
      </c>
      <c r="P224" s="3">
        <v>1</v>
      </c>
      <c r="Q224" s="3">
        <v>0</v>
      </c>
      <c r="R224" s="3">
        <v>2</v>
      </c>
      <c r="S224" s="3">
        <v>0</v>
      </c>
      <c r="T224" s="3">
        <v>0</v>
      </c>
      <c r="U224" s="3">
        <v>0</v>
      </c>
      <c r="V224" s="3">
        <v>0</v>
      </c>
      <c r="W224" s="3" t="s">
        <v>6</v>
      </c>
      <c r="X224" s="3">
        <v>1</v>
      </c>
      <c r="Y224" s="3">
        <v>1</v>
      </c>
      <c r="Z224" s="3">
        <v>0</v>
      </c>
      <c r="AA224" s="3">
        <v>0</v>
      </c>
      <c r="AB224" s="3">
        <v>0</v>
      </c>
      <c r="AC224" s="3">
        <v>0</v>
      </c>
      <c r="AD224" s="3">
        <v>0</v>
      </c>
      <c r="AE224" s="3">
        <v>0</v>
      </c>
      <c r="AF224" s="3">
        <v>0</v>
      </c>
      <c r="AG224" s="3">
        <v>0</v>
      </c>
      <c r="AH224" s="3" t="s">
        <v>17</v>
      </c>
      <c r="AI224" s="3" t="s">
        <v>776</v>
      </c>
      <c r="AK224" s="3" t="s">
        <v>499</v>
      </c>
      <c r="AL224" s="3" t="s">
        <v>234</v>
      </c>
    </row>
    <row r="225" spans="1:38" x14ac:dyDescent="0.25">
      <c r="A225" t="s">
        <v>1009</v>
      </c>
      <c r="B225" s="7">
        <v>44770</v>
      </c>
      <c r="C225" s="7" t="s">
        <v>844</v>
      </c>
      <c r="D225" s="3" t="s">
        <v>6</v>
      </c>
      <c r="E225" s="3" t="s">
        <v>284</v>
      </c>
      <c r="F225" s="3" t="s">
        <v>25</v>
      </c>
      <c r="G225" s="3" t="s">
        <v>19</v>
      </c>
      <c r="H225" s="9">
        <v>38.5989131696873</v>
      </c>
      <c r="I225" s="9">
        <v>1.6041432809215199E-3</v>
      </c>
      <c r="J225" s="3">
        <v>2</v>
      </c>
      <c r="K225" s="3">
        <v>2</v>
      </c>
      <c r="L225" s="3">
        <v>0</v>
      </c>
      <c r="M225" s="3">
        <v>0</v>
      </c>
      <c r="N225" s="3" t="s">
        <v>16</v>
      </c>
      <c r="O225" s="3">
        <v>1</v>
      </c>
      <c r="P225" s="3">
        <v>1</v>
      </c>
      <c r="Q225" s="3">
        <v>0</v>
      </c>
      <c r="R225" s="3">
        <v>2</v>
      </c>
      <c r="S225" s="3">
        <v>0</v>
      </c>
      <c r="T225" s="3">
        <v>0</v>
      </c>
      <c r="U225" s="3">
        <v>0</v>
      </c>
      <c r="V225" s="3">
        <v>0</v>
      </c>
      <c r="W225" s="3" t="s">
        <v>6</v>
      </c>
      <c r="X225" s="3">
        <v>1</v>
      </c>
      <c r="Y225" s="3">
        <v>0</v>
      </c>
      <c r="Z225" s="3">
        <v>0</v>
      </c>
      <c r="AA225" s="3">
        <v>1</v>
      </c>
      <c r="AB225" s="3">
        <v>0</v>
      </c>
      <c r="AC225" s="3">
        <v>0</v>
      </c>
      <c r="AD225" s="3">
        <v>0</v>
      </c>
      <c r="AE225" s="3">
        <v>0</v>
      </c>
      <c r="AF225" s="3">
        <v>0</v>
      </c>
      <c r="AG225" s="3">
        <v>0</v>
      </c>
      <c r="AH225" s="3" t="s">
        <v>775</v>
      </c>
      <c r="AI225" s="3" t="s">
        <v>81</v>
      </c>
      <c r="AK225" s="3" t="s">
        <v>335</v>
      </c>
      <c r="AL225" s="3" t="s">
        <v>240</v>
      </c>
    </row>
    <row r="226" spans="1:38" x14ac:dyDescent="0.25">
      <c r="A226" t="s">
        <v>1059</v>
      </c>
      <c r="B226" s="7">
        <v>44770</v>
      </c>
      <c r="C226" s="7" t="s">
        <v>844</v>
      </c>
      <c r="D226" s="4">
        <v>0.8125</v>
      </c>
      <c r="E226" s="3" t="s">
        <v>423</v>
      </c>
      <c r="F226" s="3" t="s">
        <v>47</v>
      </c>
      <c r="G226" s="3" t="s">
        <v>21</v>
      </c>
      <c r="H226" s="9">
        <v>36.764581586241597</v>
      </c>
      <c r="I226" s="9">
        <v>-2.0939961960784901</v>
      </c>
      <c r="J226" s="3">
        <v>1</v>
      </c>
      <c r="K226" s="3">
        <v>1</v>
      </c>
      <c r="L226" s="3">
        <v>0</v>
      </c>
      <c r="M226" s="3">
        <v>0</v>
      </c>
      <c r="N226" s="3" t="s">
        <v>66</v>
      </c>
      <c r="O226" s="3">
        <v>0</v>
      </c>
      <c r="P226" s="3">
        <v>0</v>
      </c>
      <c r="Q226" s="3">
        <v>1</v>
      </c>
      <c r="R226" s="3">
        <v>0</v>
      </c>
      <c r="S226" s="3">
        <v>0</v>
      </c>
      <c r="T226" s="3">
        <v>0</v>
      </c>
      <c r="U226" s="3">
        <v>0</v>
      </c>
      <c r="V226" s="3">
        <v>1</v>
      </c>
      <c r="W226" s="3" t="s">
        <v>6</v>
      </c>
      <c r="X226" s="3">
        <v>0</v>
      </c>
      <c r="Y226" s="3">
        <v>0</v>
      </c>
      <c r="Z226" s="3">
        <v>0</v>
      </c>
      <c r="AA226" s="3">
        <v>0</v>
      </c>
      <c r="AB226" s="3">
        <v>0</v>
      </c>
      <c r="AC226" s="3">
        <v>0</v>
      </c>
      <c r="AD226" s="3">
        <v>0</v>
      </c>
      <c r="AE226" s="3">
        <v>0</v>
      </c>
      <c r="AF226" s="3">
        <v>0</v>
      </c>
      <c r="AG226" s="3">
        <v>0</v>
      </c>
      <c r="AH226" s="3" t="s">
        <v>17</v>
      </c>
      <c r="AI226" s="3" t="s">
        <v>780</v>
      </c>
      <c r="AK226" s="3" t="s">
        <v>422</v>
      </c>
    </row>
    <row r="227" spans="1:38" x14ac:dyDescent="0.25">
      <c r="A227" t="s">
        <v>1273</v>
      </c>
      <c r="B227" s="7">
        <v>44773</v>
      </c>
      <c r="C227" s="7" t="s">
        <v>844</v>
      </c>
      <c r="D227" s="3" t="s">
        <v>6</v>
      </c>
      <c r="E227" s="3" t="s">
        <v>830</v>
      </c>
      <c r="F227" s="3" t="s">
        <v>25</v>
      </c>
      <c r="G227" s="3" t="s">
        <v>19</v>
      </c>
      <c r="H227" s="9">
        <v>38.081927508602803</v>
      </c>
      <c r="I227" s="9">
        <v>-0.64027365890874499</v>
      </c>
      <c r="J227" s="3">
        <v>1</v>
      </c>
      <c r="K227" s="3">
        <v>1</v>
      </c>
      <c r="L227" s="3">
        <v>0</v>
      </c>
      <c r="M227" s="3">
        <v>0</v>
      </c>
      <c r="N227" s="3" t="s">
        <v>66</v>
      </c>
      <c r="O227" s="3">
        <v>0</v>
      </c>
      <c r="P227" s="3">
        <v>0</v>
      </c>
      <c r="Q227" s="3">
        <v>1</v>
      </c>
      <c r="R227" s="3">
        <v>1</v>
      </c>
      <c r="S227" s="3">
        <v>0</v>
      </c>
      <c r="T227" s="3">
        <v>0</v>
      </c>
      <c r="U227" s="3">
        <v>0</v>
      </c>
      <c r="V227" s="3">
        <v>0</v>
      </c>
      <c r="W227" s="3" t="s">
        <v>6</v>
      </c>
      <c r="X227" s="3">
        <v>0</v>
      </c>
      <c r="Y227" s="3">
        <v>0</v>
      </c>
      <c r="Z227" s="3">
        <v>0</v>
      </c>
      <c r="AA227" s="3">
        <v>0</v>
      </c>
      <c r="AB227" s="3">
        <v>0</v>
      </c>
      <c r="AC227" s="3">
        <v>0</v>
      </c>
      <c r="AD227" s="3">
        <v>0</v>
      </c>
      <c r="AE227" s="3">
        <v>0</v>
      </c>
      <c r="AF227" s="3">
        <v>0</v>
      </c>
      <c r="AG227" s="3">
        <v>0</v>
      </c>
      <c r="AH227" s="3" t="s">
        <v>17</v>
      </c>
      <c r="AI227" s="3" t="s">
        <v>781</v>
      </c>
      <c r="AK227" s="3" t="s">
        <v>831</v>
      </c>
    </row>
    <row r="228" spans="1:38" x14ac:dyDescent="0.25">
      <c r="A228" t="s">
        <v>1308</v>
      </c>
      <c r="B228" s="7">
        <v>44773</v>
      </c>
      <c r="C228" s="7" t="s">
        <v>844</v>
      </c>
      <c r="D228" s="3" t="s">
        <v>6</v>
      </c>
      <c r="E228" s="3" t="s">
        <v>109</v>
      </c>
      <c r="F228" s="3" t="s">
        <v>57</v>
      </c>
      <c r="G228" s="3" t="s">
        <v>21</v>
      </c>
      <c r="H228" s="9">
        <v>36.721990373250698</v>
      </c>
      <c r="I228" s="9">
        <v>-3.7372615269817002</v>
      </c>
      <c r="J228" s="3">
        <v>1</v>
      </c>
      <c r="K228" s="3">
        <v>1</v>
      </c>
      <c r="L228" s="3">
        <v>0</v>
      </c>
      <c r="M228" s="3">
        <v>0</v>
      </c>
      <c r="N228" s="3" t="s">
        <v>66</v>
      </c>
      <c r="O228" s="3">
        <v>0</v>
      </c>
      <c r="P228" s="3">
        <v>1</v>
      </c>
      <c r="Q228" s="3">
        <v>0</v>
      </c>
      <c r="R228" s="3">
        <v>1</v>
      </c>
      <c r="S228" s="3">
        <v>0</v>
      </c>
      <c r="T228" s="3">
        <v>0</v>
      </c>
      <c r="U228" s="3">
        <v>0</v>
      </c>
      <c r="V228" s="3">
        <v>0</v>
      </c>
      <c r="W228" s="3" t="s">
        <v>6</v>
      </c>
      <c r="X228" s="3">
        <v>1</v>
      </c>
      <c r="Y228" s="3">
        <v>0</v>
      </c>
      <c r="Z228" s="3">
        <v>1</v>
      </c>
      <c r="AA228" s="3">
        <v>0</v>
      </c>
      <c r="AB228" s="3">
        <v>0</v>
      </c>
      <c r="AC228" s="3">
        <v>0</v>
      </c>
      <c r="AD228" s="3">
        <v>0</v>
      </c>
      <c r="AE228" s="3">
        <v>0</v>
      </c>
      <c r="AF228" s="3">
        <v>0</v>
      </c>
      <c r="AG228" s="3">
        <v>0</v>
      </c>
      <c r="AH228" s="3" t="s">
        <v>17</v>
      </c>
      <c r="AI228" s="3" t="s">
        <v>776</v>
      </c>
      <c r="AK228" s="3" t="s">
        <v>907</v>
      </c>
      <c r="AL228" s="3" t="s">
        <v>906</v>
      </c>
    </row>
    <row r="229" spans="1:38" x14ac:dyDescent="0.25">
      <c r="A229" t="s">
        <v>1043</v>
      </c>
      <c r="B229" s="7">
        <v>44774</v>
      </c>
      <c r="C229" s="7" t="s">
        <v>844</v>
      </c>
      <c r="D229" s="3" t="s">
        <v>6</v>
      </c>
      <c r="E229" s="3" t="s">
        <v>395</v>
      </c>
      <c r="F229" s="3" t="s">
        <v>57</v>
      </c>
      <c r="G229" s="3" t="s">
        <v>21</v>
      </c>
      <c r="H229" s="9">
        <v>36.704725706077603</v>
      </c>
      <c r="I229" s="9">
        <v>-3.5831266844684801</v>
      </c>
      <c r="J229" s="3">
        <v>1</v>
      </c>
      <c r="K229" s="3">
        <v>1</v>
      </c>
      <c r="L229" s="3">
        <v>0</v>
      </c>
      <c r="M229" s="3">
        <v>0</v>
      </c>
      <c r="N229" s="3" t="s">
        <v>16</v>
      </c>
      <c r="O229" s="3">
        <v>0</v>
      </c>
      <c r="P229" s="3">
        <v>1</v>
      </c>
      <c r="Q229" s="3">
        <v>0</v>
      </c>
      <c r="R229" s="3">
        <v>1</v>
      </c>
      <c r="S229" s="3">
        <v>0</v>
      </c>
      <c r="T229" s="3">
        <v>0</v>
      </c>
      <c r="U229" s="3">
        <v>0</v>
      </c>
      <c r="V229" s="3">
        <v>0</v>
      </c>
      <c r="W229" s="3" t="s">
        <v>6</v>
      </c>
      <c r="X229" s="3">
        <v>1</v>
      </c>
      <c r="Y229" s="3">
        <v>0</v>
      </c>
      <c r="Z229" s="3">
        <v>0</v>
      </c>
      <c r="AA229" s="3">
        <v>1</v>
      </c>
      <c r="AB229" s="3">
        <v>0</v>
      </c>
      <c r="AC229" s="3">
        <v>0</v>
      </c>
      <c r="AD229" s="3">
        <v>0</v>
      </c>
      <c r="AE229" s="3">
        <v>0</v>
      </c>
      <c r="AF229" s="3">
        <v>0</v>
      </c>
      <c r="AG229" s="3">
        <v>0</v>
      </c>
      <c r="AH229" s="3" t="s">
        <v>17</v>
      </c>
      <c r="AI229" s="3" t="s">
        <v>777</v>
      </c>
      <c r="AK229" s="3" t="s">
        <v>394</v>
      </c>
      <c r="AL229" s="3" t="s">
        <v>240</v>
      </c>
    </row>
    <row r="230" spans="1:38" x14ac:dyDescent="0.25">
      <c r="A230" t="s">
        <v>1020</v>
      </c>
      <c r="B230" s="7">
        <v>44780</v>
      </c>
      <c r="C230" s="7" t="s">
        <v>844</v>
      </c>
      <c r="D230" s="3" t="s">
        <v>6</v>
      </c>
      <c r="E230" s="3" t="s">
        <v>349</v>
      </c>
      <c r="F230" s="3" t="s">
        <v>59</v>
      </c>
      <c r="G230" s="3" t="s">
        <v>20</v>
      </c>
      <c r="H230" s="9">
        <v>42.183610000908402</v>
      </c>
      <c r="I230" s="9">
        <v>3.1705214138231401</v>
      </c>
      <c r="J230" s="3">
        <v>1</v>
      </c>
      <c r="K230" s="3">
        <v>1</v>
      </c>
      <c r="L230" s="3">
        <v>0</v>
      </c>
      <c r="M230" s="3">
        <v>0</v>
      </c>
      <c r="N230" s="3" t="s">
        <v>16</v>
      </c>
      <c r="O230" s="3">
        <v>0</v>
      </c>
      <c r="P230" s="3">
        <v>1</v>
      </c>
      <c r="Q230" s="3">
        <v>0</v>
      </c>
      <c r="R230" s="3">
        <v>1</v>
      </c>
      <c r="S230" s="3">
        <v>0</v>
      </c>
      <c r="T230" s="3">
        <v>0</v>
      </c>
      <c r="U230" s="3">
        <v>0</v>
      </c>
      <c r="V230" s="3">
        <v>0</v>
      </c>
      <c r="W230" s="3" t="s">
        <v>6</v>
      </c>
      <c r="X230" s="3">
        <v>0</v>
      </c>
      <c r="Y230" s="3">
        <v>0</v>
      </c>
      <c r="Z230" s="3">
        <v>0</v>
      </c>
      <c r="AA230" s="3">
        <v>0</v>
      </c>
      <c r="AB230" s="3">
        <v>0</v>
      </c>
      <c r="AC230" s="3">
        <v>0</v>
      </c>
      <c r="AD230" s="3">
        <v>0</v>
      </c>
      <c r="AE230" s="3">
        <v>0</v>
      </c>
      <c r="AF230" s="3">
        <v>0</v>
      </c>
      <c r="AG230" s="3">
        <v>0</v>
      </c>
      <c r="AH230" s="3" t="s">
        <v>775</v>
      </c>
      <c r="AI230" s="3" t="s">
        <v>81</v>
      </c>
      <c r="AK230" s="3" t="s">
        <v>351</v>
      </c>
      <c r="AL230" s="3" t="s">
        <v>316</v>
      </c>
    </row>
    <row r="231" spans="1:38" x14ac:dyDescent="0.25">
      <c r="A231" t="s">
        <v>995</v>
      </c>
      <c r="B231" s="7">
        <v>44781</v>
      </c>
      <c r="C231" s="7" t="s">
        <v>844</v>
      </c>
      <c r="D231" s="3" t="s">
        <v>6</v>
      </c>
      <c r="E231" s="3" t="s">
        <v>307</v>
      </c>
      <c r="F231" s="3" t="s">
        <v>8</v>
      </c>
      <c r="G231" s="3" t="s">
        <v>8</v>
      </c>
      <c r="H231" s="9">
        <v>39.869666859454199</v>
      </c>
      <c r="I231" s="9">
        <v>3.1253617597585599</v>
      </c>
      <c r="J231" s="3">
        <v>1</v>
      </c>
      <c r="K231" s="3">
        <v>1</v>
      </c>
      <c r="L231" s="3">
        <v>0</v>
      </c>
      <c r="M231" s="3">
        <v>0</v>
      </c>
      <c r="N231" s="3" t="s">
        <v>16</v>
      </c>
      <c r="O231" s="3">
        <v>0</v>
      </c>
      <c r="P231" s="3">
        <v>0</v>
      </c>
      <c r="Q231" s="3">
        <v>1</v>
      </c>
      <c r="R231" s="3">
        <v>0</v>
      </c>
      <c r="S231" s="3">
        <v>0</v>
      </c>
      <c r="T231" s="3">
        <v>0</v>
      </c>
      <c r="U231" s="3">
        <v>0</v>
      </c>
      <c r="V231" s="3">
        <v>1</v>
      </c>
      <c r="W231" s="3" t="s">
        <v>6</v>
      </c>
      <c r="X231" s="3">
        <v>1</v>
      </c>
      <c r="Y231" s="3">
        <v>0</v>
      </c>
      <c r="Z231" s="3">
        <v>0</v>
      </c>
      <c r="AA231" s="3">
        <v>0</v>
      </c>
      <c r="AB231" s="3">
        <v>0</v>
      </c>
      <c r="AC231" s="3">
        <v>0</v>
      </c>
      <c r="AD231" s="3">
        <v>1</v>
      </c>
      <c r="AE231" s="3">
        <v>0</v>
      </c>
      <c r="AF231" s="3">
        <v>0</v>
      </c>
      <c r="AG231" s="3">
        <v>0</v>
      </c>
      <c r="AH231" s="3" t="s">
        <v>775</v>
      </c>
      <c r="AI231" s="3" t="s">
        <v>81</v>
      </c>
      <c r="AK231" s="3" t="s">
        <v>306</v>
      </c>
      <c r="AL231" s="3" t="s">
        <v>308</v>
      </c>
    </row>
    <row r="232" spans="1:38" x14ac:dyDescent="0.25">
      <c r="A232" t="s">
        <v>1008</v>
      </c>
      <c r="B232" s="7">
        <v>44781</v>
      </c>
      <c r="C232" s="7" t="s">
        <v>844</v>
      </c>
      <c r="D232" s="3" t="s">
        <v>6</v>
      </c>
      <c r="E232" s="3" t="s">
        <v>25</v>
      </c>
      <c r="F232" s="3" t="s">
        <v>25</v>
      </c>
      <c r="G232" s="3" t="s">
        <v>19</v>
      </c>
      <c r="H232" s="9">
        <v>38.273150539517196</v>
      </c>
      <c r="I232" s="9">
        <v>-0.48769055932637101</v>
      </c>
      <c r="J232" s="3">
        <v>1</v>
      </c>
      <c r="K232" s="3">
        <v>1</v>
      </c>
      <c r="L232" s="3">
        <v>0</v>
      </c>
      <c r="M232" s="3">
        <v>0</v>
      </c>
      <c r="N232" s="3" t="s">
        <v>16</v>
      </c>
      <c r="O232" s="3">
        <v>0</v>
      </c>
      <c r="P232" s="3">
        <v>0</v>
      </c>
      <c r="Q232" s="3">
        <v>1</v>
      </c>
      <c r="R232" s="3">
        <v>1</v>
      </c>
      <c r="S232" s="3">
        <v>0</v>
      </c>
      <c r="T232" s="3">
        <v>0</v>
      </c>
      <c r="U232" s="3">
        <v>0</v>
      </c>
      <c r="V232" s="3">
        <v>0</v>
      </c>
      <c r="W232" s="3" t="s">
        <v>6</v>
      </c>
      <c r="X232" s="3">
        <v>0</v>
      </c>
      <c r="Y232" s="3">
        <v>0</v>
      </c>
      <c r="Z232" s="3">
        <v>0</v>
      </c>
      <c r="AA232" s="3">
        <v>0</v>
      </c>
      <c r="AB232" s="3">
        <v>0</v>
      </c>
      <c r="AC232" s="3">
        <v>0</v>
      </c>
      <c r="AD232" s="3">
        <v>0</v>
      </c>
      <c r="AE232" s="3">
        <v>0</v>
      </c>
      <c r="AF232" s="3">
        <v>0</v>
      </c>
      <c r="AG232" s="3">
        <v>0</v>
      </c>
      <c r="AH232" s="3" t="s">
        <v>775</v>
      </c>
      <c r="AI232" s="3" t="s">
        <v>81</v>
      </c>
      <c r="AK232" s="3" t="s">
        <v>334</v>
      </c>
      <c r="AL232" s="3" t="s">
        <v>316</v>
      </c>
    </row>
    <row r="233" spans="1:38" x14ac:dyDescent="0.25">
      <c r="A233" t="s">
        <v>1078</v>
      </c>
      <c r="B233" s="7">
        <v>44785</v>
      </c>
      <c r="C233" s="7" t="s">
        <v>844</v>
      </c>
      <c r="D233" s="3" t="s">
        <v>6</v>
      </c>
      <c r="E233" s="3" t="s">
        <v>478</v>
      </c>
      <c r="F233" s="3" t="s">
        <v>59</v>
      </c>
      <c r="G233" s="3" t="s">
        <v>20</v>
      </c>
      <c r="H233" s="9">
        <v>41.682309401638904</v>
      </c>
      <c r="I233" s="9">
        <v>2.8165017277837099</v>
      </c>
      <c r="J233" s="3">
        <v>1</v>
      </c>
      <c r="K233" s="3">
        <v>1</v>
      </c>
      <c r="L233" s="3">
        <v>0</v>
      </c>
      <c r="M233" s="3">
        <v>0</v>
      </c>
      <c r="N233" s="3" t="s">
        <v>66</v>
      </c>
      <c r="O233" s="3">
        <v>0</v>
      </c>
      <c r="P233" s="3">
        <v>1</v>
      </c>
      <c r="Q233" s="3">
        <v>0</v>
      </c>
      <c r="R233" s="3">
        <v>1</v>
      </c>
      <c r="S233" s="3">
        <v>0</v>
      </c>
      <c r="T233" s="3">
        <v>0</v>
      </c>
      <c r="U233" s="3">
        <v>0</v>
      </c>
      <c r="V233" s="3">
        <v>0</v>
      </c>
      <c r="W233" s="3" t="s">
        <v>6</v>
      </c>
      <c r="X233" s="3">
        <v>0</v>
      </c>
      <c r="Y233" s="3">
        <v>0</v>
      </c>
      <c r="Z233" s="3">
        <v>0</v>
      </c>
      <c r="AA233" s="3">
        <v>0</v>
      </c>
      <c r="AB233" s="3">
        <v>0</v>
      </c>
      <c r="AC233" s="3">
        <v>0</v>
      </c>
      <c r="AD233" s="3">
        <v>0</v>
      </c>
      <c r="AE233" s="3">
        <v>0</v>
      </c>
      <c r="AF233" s="3">
        <v>0</v>
      </c>
      <c r="AG233" s="3">
        <v>0</v>
      </c>
      <c r="AH233" s="3" t="s">
        <v>17</v>
      </c>
      <c r="AI233" s="3" t="s">
        <v>777</v>
      </c>
      <c r="AK233" s="3" t="s">
        <v>456</v>
      </c>
    </row>
    <row r="234" spans="1:38" x14ac:dyDescent="0.25">
      <c r="A234" t="s">
        <v>1107</v>
      </c>
      <c r="B234" s="7">
        <v>44785</v>
      </c>
      <c r="C234" s="7" t="s">
        <v>844</v>
      </c>
      <c r="D234" s="3" t="s">
        <v>6</v>
      </c>
      <c r="E234" s="3" t="s">
        <v>502</v>
      </c>
      <c r="F234" s="3" t="s">
        <v>24</v>
      </c>
      <c r="G234" s="3" t="s">
        <v>20</v>
      </c>
      <c r="H234" s="9">
        <v>41.5992040971677</v>
      </c>
      <c r="I234" s="9">
        <v>2.6248800725142298</v>
      </c>
      <c r="J234" s="3">
        <v>1</v>
      </c>
      <c r="K234" s="3">
        <v>1</v>
      </c>
      <c r="L234" s="3">
        <v>0</v>
      </c>
      <c r="M234" s="3">
        <v>0</v>
      </c>
      <c r="N234" s="3" t="s">
        <v>66</v>
      </c>
      <c r="O234" s="3">
        <v>0</v>
      </c>
      <c r="P234" s="3">
        <v>1</v>
      </c>
      <c r="Q234" s="3">
        <v>0</v>
      </c>
      <c r="R234" s="3">
        <v>1</v>
      </c>
      <c r="S234" s="3">
        <v>0</v>
      </c>
      <c r="T234" s="3">
        <v>0</v>
      </c>
      <c r="U234" s="3">
        <v>0</v>
      </c>
      <c r="V234" s="3">
        <v>0</v>
      </c>
      <c r="W234" s="3" t="s">
        <v>6</v>
      </c>
      <c r="X234" s="3">
        <v>0</v>
      </c>
      <c r="Y234" s="3">
        <v>0</v>
      </c>
      <c r="Z234" s="3">
        <v>0</v>
      </c>
      <c r="AA234" s="3">
        <v>0</v>
      </c>
      <c r="AB234" s="3">
        <v>0</v>
      </c>
      <c r="AC234" s="3">
        <v>0</v>
      </c>
      <c r="AD234" s="3">
        <v>0</v>
      </c>
      <c r="AE234" s="3">
        <v>0</v>
      </c>
      <c r="AF234" s="3">
        <v>0</v>
      </c>
      <c r="AG234" s="3">
        <v>0</v>
      </c>
      <c r="AH234" s="3" t="s">
        <v>17</v>
      </c>
      <c r="AI234" s="3" t="s">
        <v>776</v>
      </c>
      <c r="AK234" s="3" t="s">
        <v>503</v>
      </c>
      <c r="AL234" s="3" t="s">
        <v>333</v>
      </c>
    </row>
    <row r="235" spans="1:38" x14ac:dyDescent="0.25">
      <c r="A235" t="s">
        <v>1006</v>
      </c>
      <c r="B235" s="7">
        <v>44787</v>
      </c>
      <c r="C235" s="7" t="s">
        <v>844</v>
      </c>
      <c r="D235" s="3" t="s">
        <v>6</v>
      </c>
      <c r="E235" s="3" t="s">
        <v>124</v>
      </c>
      <c r="F235" s="3" t="s">
        <v>23</v>
      </c>
      <c r="G235" s="3" t="s">
        <v>23</v>
      </c>
      <c r="H235" s="9">
        <v>37.554167289137801</v>
      </c>
      <c r="I235" s="9">
        <v>-1.23874398048171</v>
      </c>
      <c r="J235" s="3">
        <v>1</v>
      </c>
      <c r="K235" s="3">
        <v>1</v>
      </c>
      <c r="L235" s="3">
        <v>0</v>
      </c>
      <c r="M235" s="3">
        <v>0</v>
      </c>
      <c r="N235" s="3" t="s">
        <v>66</v>
      </c>
      <c r="O235" s="3">
        <v>0</v>
      </c>
      <c r="P235" s="3">
        <v>1</v>
      </c>
      <c r="Q235" s="3">
        <v>0</v>
      </c>
      <c r="R235" s="3">
        <v>1</v>
      </c>
      <c r="S235" s="3">
        <v>0</v>
      </c>
      <c r="T235" s="3">
        <v>0</v>
      </c>
      <c r="U235" s="3">
        <v>0</v>
      </c>
      <c r="V235" s="3">
        <v>0</v>
      </c>
      <c r="W235" s="3" t="s">
        <v>6</v>
      </c>
      <c r="X235" s="3">
        <v>0</v>
      </c>
      <c r="Y235" s="3">
        <v>0</v>
      </c>
      <c r="Z235" s="3">
        <v>0</v>
      </c>
      <c r="AA235" s="3">
        <v>0</v>
      </c>
      <c r="AB235" s="3">
        <v>0</v>
      </c>
      <c r="AC235" s="3">
        <v>0</v>
      </c>
      <c r="AD235" s="3">
        <v>0</v>
      </c>
      <c r="AE235" s="3">
        <v>0</v>
      </c>
      <c r="AF235" s="3">
        <v>0</v>
      </c>
      <c r="AG235" s="3">
        <v>0</v>
      </c>
      <c r="AH235" s="3" t="s">
        <v>775</v>
      </c>
      <c r="AI235" s="3" t="s">
        <v>81</v>
      </c>
      <c r="AK235" s="3" t="s">
        <v>331</v>
      </c>
    </row>
    <row r="236" spans="1:38" x14ac:dyDescent="0.25">
      <c r="A236" t="s">
        <v>1012</v>
      </c>
      <c r="B236" s="7">
        <v>44787</v>
      </c>
      <c r="C236" s="7" t="s">
        <v>844</v>
      </c>
      <c r="D236" s="3" t="s">
        <v>6</v>
      </c>
      <c r="E236" s="3" t="s">
        <v>135</v>
      </c>
      <c r="F236" s="3" t="s">
        <v>8</v>
      </c>
      <c r="G236" s="3" t="s">
        <v>8</v>
      </c>
      <c r="H236" s="9">
        <v>39.903763755694101</v>
      </c>
      <c r="I236" s="9">
        <v>2.55365258076541</v>
      </c>
      <c r="J236" s="3">
        <v>1</v>
      </c>
      <c r="K236" s="3">
        <v>1</v>
      </c>
      <c r="L236" s="3">
        <v>0</v>
      </c>
      <c r="M236" s="3">
        <v>0</v>
      </c>
      <c r="N236" s="3" t="s">
        <v>66</v>
      </c>
      <c r="O236" s="3">
        <v>0</v>
      </c>
      <c r="P236" s="3">
        <v>1</v>
      </c>
      <c r="Q236" s="3">
        <v>0</v>
      </c>
      <c r="R236" s="3">
        <v>1</v>
      </c>
      <c r="S236" s="3">
        <v>0</v>
      </c>
      <c r="T236" s="3">
        <v>0</v>
      </c>
      <c r="U236" s="3">
        <v>0</v>
      </c>
      <c r="V236" s="3">
        <v>0</v>
      </c>
      <c r="W236" s="3" t="s">
        <v>6</v>
      </c>
      <c r="X236" s="3">
        <v>1</v>
      </c>
      <c r="Y236" s="3">
        <v>0</v>
      </c>
      <c r="Z236" s="3">
        <v>0</v>
      </c>
      <c r="AA236" s="3">
        <v>1</v>
      </c>
      <c r="AB236" s="3">
        <v>0</v>
      </c>
      <c r="AC236" s="3">
        <v>0</v>
      </c>
      <c r="AD236" s="3">
        <v>0</v>
      </c>
      <c r="AE236" s="3">
        <v>0</v>
      </c>
      <c r="AF236" s="3">
        <v>0</v>
      </c>
      <c r="AG236" s="3">
        <v>0</v>
      </c>
      <c r="AH236" s="3" t="s">
        <v>775</v>
      </c>
      <c r="AI236" s="3" t="s">
        <v>81</v>
      </c>
      <c r="AK236" s="3" t="s">
        <v>340</v>
      </c>
      <c r="AL236" s="3" t="s">
        <v>240</v>
      </c>
    </row>
    <row r="237" spans="1:38" x14ac:dyDescent="0.25">
      <c r="A237" t="s">
        <v>1058</v>
      </c>
      <c r="B237" s="7">
        <v>44787</v>
      </c>
      <c r="C237" s="7" t="s">
        <v>844</v>
      </c>
      <c r="D237" s="4">
        <v>0.70833333333333337</v>
      </c>
      <c r="E237" s="3" t="s">
        <v>69</v>
      </c>
      <c r="F237" s="3" t="s">
        <v>69</v>
      </c>
      <c r="G237" s="3" t="s">
        <v>20</v>
      </c>
      <c r="H237" s="9">
        <v>41.011800205503597</v>
      </c>
      <c r="I237" s="9">
        <v>1.2859726906148801</v>
      </c>
      <c r="J237" s="3">
        <v>1</v>
      </c>
      <c r="K237" s="3">
        <v>1</v>
      </c>
      <c r="L237" s="3">
        <v>0</v>
      </c>
      <c r="M237" s="3">
        <v>0</v>
      </c>
      <c r="N237" s="3" t="s">
        <v>16</v>
      </c>
      <c r="O237" s="3">
        <v>0</v>
      </c>
      <c r="P237" s="3">
        <v>0</v>
      </c>
      <c r="Q237" s="3">
        <v>1</v>
      </c>
      <c r="R237" s="3">
        <v>0</v>
      </c>
      <c r="S237" s="3">
        <v>0</v>
      </c>
      <c r="T237" s="3">
        <v>0</v>
      </c>
      <c r="U237" s="3">
        <v>0</v>
      </c>
      <c r="V237" s="3">
        <v>1</v>
      </c>
      <c r="W237" s="3" t="s">
        <v>6</v>
      </c>
      <c r="X237" s="3">
        <v>1</v>
      </c>
      <c r="Y237" s="3">
        <v>0</v>
      </c>
      <c r="Z237" s="3">
        <v>0</v>
      </c>
      <c r="AA237" s="3">
        <v>0</v>
      </c>
      <c r="AB237" s="3">
        <v>0</v>
      </c>
      <c r="AC237" s="3">
        <v>0</v>
      </c>
      <c r="AD237" s="3">
        <v>0</v>
      </c>
      <c r="AE237" s="3">
        <v>0</v>
      </c>
      <c r="AF237" s="3">
        <v>0</v>
      </c>
      <c r="AG237" s="3">
        <v>1</v>
      </c>
      <c r="AH237" s="3" t="s">
        <v>17</v>
      </c>
      <c r="AI237" s="3" t="s">
        <v>776</v>
      </c>
      <c r="AK237" s="3" t="s">
        <v>420</v>
      </c>
      <c r="AL237" s="3" t="s">
        <v>421</v>
      </c>
    </row>
    <row r="238" spans="1:38" x14ac:dyDescent="0.25">
      <c r="A238" t="s">
        <v>1241</v>
      </c>
      <c r="B238" s="7">
        <v>44787</v>
      </c>
      <c r="C238" s="7" t="s">
        <v>844</v>
      </c>
      <c r="D238" s="3" t="s">
        <v>6</v>
      </c>
      <c r="E238" s="3" t="s">
        <v>92</v>
      </c>
      <c r="F238" s="3" t="s">
        <v>24</v>
      </c>
      <c r="G238" s="3" t="s">
        <v>20</v>
      </c>
      <c r="H238" s="9">
        <v>41.442559737553402</v>
      </c>
      <c r="I238" s="9">
        <v>2.2513431106928001</v>
      </c>
      <c r="J238" s="3">
        <v>1</v>
      </c>
      <c r="K238" s="3">
        <v>1</v>
      </c>
      <c r="L238" s="3">
        <v>0</v>
      </c>
      <c r="M238" s="3">
        <v>0</v>
      </c>
      <c r="N238" s="3" t="s">
        <v>6</v>
      </c>
      <c r="O238" s="3">
        <v>0</v>
      </c>
      <c r="P238" s="3">
        <v>0</v>
      </c>
      <c r="Q238" s="3">
        <v>1</v>
      </c>
      <c r="R238" s="3">
        <v>1</v>
      </c>
      <c r="S238" s="3">
        <v>0</v>
      </c>
      <c r="T238" s="3">
        <v>0</v>
      </c>
      <c r="U238" s="3">
        <v>0</v>
      </c>
      <c r="V238" s="3">
        <v>0</v>
      </c>
      <c r="W238" s="3" t="s">
        <v>6</v>
      </c>
      <c r="X238" s="3">
        <v>0</v>
      </c>
      <c r="Y238" s="3">
        <v>0</v>
      </c>
      <c r="Z238" s="3">
        <v>0</v>
      </c>
      <c r="AA238" s="3">
        <v>0</v>
      </c>
      <c r="AB238" s="3">
        <v>0</v>
      </c>
      <c r="AC238" s="3">
        <v>0</v>
      </c>
      <c r="AD238" s="3">
        <v>0</v>
      </c>
      <c r="AE238" s="3">
        <v>0</v>
      </c>
      <c r="AF238" s="3">
        <v>0</v>
      </c>
      <c r="AG238" s="3">
        <v>0</v>
      </c>
      <c r="AH238" s="3" t="s">
        <v>17</v>
      </c>
      <c r="AI238" s="3" t="s">
        <v>776</v>
      </c>
      <c r="AK238" s="3" t="s">
        <v>743</v>
      </c>
      <c r="AL238" s="3" t="s">
        <v>316</v>
      </c>
    </row>
    <row r="239" spans="1:38" x14ac:dyDescent="0.25">
      <c r="A239" t="s">
        <v>1055</v>
      </c>
      <c r="B239" s="7">
        <v>44788</v>
      </c>
      <c r="C239" s="7" t="s">
        <v>844</v>
      </c>
      <c r="D239" s="3" t="s">
        <v>6</v>
      </c>
      <c r="E239" s="3" t="s">
        <v>74</v>
      </c>
      <c r="F239" s="3" t="s">
        <v>23</v>
      </c>
      <c r="G239" s="3" t="s">
        <v>23</v>
      </c>
      <c r="H239" s="9">
        <v>37.397267703082797</v>
      </c>
      <c r="I239" s="9">
        <v>-1.5760570628222199</v>
      </c>
      <c r="J239" s="3">
        <v>1</v>
      </c>
      <c r="K239" s="3">
        <v>1</v>
      </c>
      <c r="L239" s="3">
        <v>0</v>
      </c>
      <c r="M239" s="3">
        <v>0</v>
      </c>
      <c r="N239" s="3" t="s">
        <v>66</v>
      </c>
      <c r="O239" s="3">
        <v>0</v>
      </c>
      <c r="P239" s="3">
        <v>1</v>
      </c>
      <c r="Q239" s="3">
        <v>0</v>
      </c>
      <c r="R239" s="3">
        <v>1</v>
      </c>
      <c r="S239" s="3">
        <v>0</v>
      </c>
      <c r="T239" s="3">
        <v>0</v>
      </c>
      <c r="U239" s="3">
        <v>0</v>
      </c>
      <c r="V239" s="3">
        <v>0</v>
      </c>
      <c r="W239" s="3" t="s">
        <v>6</v>
      </c>
      <c r="X239" s="3">
        <v>0</v>
      </c>
      <c r="Y239" s="3">
        <v>0</v>
      </c>
      <c r="Z239" s="3">
        <v>0</v>
      </c>
      <c r="AA239" s="3">
        <v>0</v>
      </c>
      <c r="AB239" s="3">
        <v>0</v>
      </c>
      <c r="AC239" s="3">
        <v>0</v>
      </c>
      <c r="AD239" s="3">
        <v>0</v>
      </c>
      <c r="AE239" s="3">
        <v>0</v>
      </c>
      <c r="AF239" s="3">
        <v>0</v>
      </c>
      <c r="AG239" s="3">
        <v>0</v>
      </c>
      <c r="AH239" s="3" t="s">
        <v>17</v>
      </c>
      <c r="AI239" s="3" t="s">
        <v>778</v>
      </c>
      <c r="AK239" s="3" t="s">
        <v>415</v>
      </c>
    </row>
    <row r="240" spans="1:38" x14ac:dyDescent="0.25">
      <c r="A240" t="s">
        <v>1105</v>
      </c>
      <c r="B240" s="7">
        <v>44799</v>
      </c>
      <c r="C240" s="7" t="s">
        <v>844</v>
      </c>
      <c r="D240" s="3" t="s">
        <v>6</v>
      </c>
      <c r="E240" s="3" t="s">
        <v>89</v>
      </c>
      <c r="F240" s="3" t="s">
        <v>47</v>
      </c>
      <c r="G240" s="3" t="s">
        <v>21</v>
      </c>
      <c r="H240" s="9">
        <v>36.7423353454585</v>
      </c>
      <c r="I240" s="9">
        <v>-2.1078587253399101</v>
      </c>
      <c r="J240" s="3">
        <v>1</v>
      </c>
      <c r="K240" s="3">
        <v>1</v>
      </c>
      <c r="L240" s="3">
        <v>0</v>
      </c>
      <c r="M240" s="3">
        <v>0</v>
      </c>
      <c r="N240" s="3" t="s">
        <v>16</v>
      </c>
      <c r="O240" s="3">
        <v>0</v>
      </c>
      <c r="P240" s="3">
        <v>0</v>
      </c>
      <c r="Q240" s="3">
        <v>1</v>
      </c>
      <c r="R240" s="3">
        <v>1</v>
      </c>
      <c r="S240" s="3">
        <v>0</v>
      </c>
      <c r="T240" s="3">
        <v>0</v>
      </c>
      <c r="U240" s="3">
        <v>0</v>
      </c>
      <c r="V240" s="3">
        <v>0</v>
      </c>
      <c r="W240" s="3" t="s">
        <v>6</v>
      </c>
      <c r="X240" s="3">
        <v>0</v>
      </c>
      <c r="Y240" s="3">
        <v>0</v>
      </c>
      <c r="Z240" s="3">
        <v>0</v>
      </c>
      <c r="AA240" s="3">
        <v>0</v>
      </c>
      <c r="AB240" s="3">
        <v>0</v>
      </c>
      <c r="AC240" s="3">
        <v>0</v>
      </c>
      <c r="AD240" s="3">
        <v>0</v>
      </c>
      <c r="AE240" s="3">
        <v>0</v>
      </c>
      <c r="AF240" s="3">
        <v>0</v>
      </c>
      <c r="AG240" s="3">
        <v>0</v>
      </c>
      <c r="AH240" s="3" t="s">
        <v>17</v>
      </c>
      <c r="AI240" s="3" t="s">
        <v>776</v>
      </c>
      <c r="AK240" s="3" t="s">
        <v>500</v>
      </c>
    </row>
    <row r="241" spans="1:38" x14ac:dyDescent="0.25">
      <c r="A241" t="s">
        <v>1309</v>
      </c>
      <c r="B241" s="7">
        <v>44800</v>
      </c>
      <c r="C241" s="7" t="s">
        <v>844</v>
      </c>
      <c r="D241" s="3" t="s">
        <v>6</v>
      </c>
      <c r="E241" s="3" t="s">
        <v>423</v>
      </c>
      <c r="F241" s="3" t="s">
        <v>47</v>
      </c>
      <c r="G241" s="3" t="s">
        <v>21</v>
      </c>
      <c r="H241" s="9">
        <v>36.762662539949197</v>
      </c>
      <c r="I241" s="9">
        <v>-2.09430826385546</v>
      </c>
      <c r="J241" s="3">
        <v>1</v>
      </c>
      <c r="K241" s="3">
        <v>1</v>
      </c>
      <c r="L241" s="3">
        <v>0</v>
      </c>
      <c r="M241" s="3">
        <v>0</v>
      </c>
      <c r="N241" s="3" t="s">
        <v>16</v>
      </c>
      <c r="O241" s="3">
        <v>0</v>
      </c>
      <c r="P241" s="3">
        <v>1</v>
      </c>
      <c r="Q241" s="3">
        <v>0</v>
      </c>
      <c r="R241" s="3">
        <v>0</v>
      </c>
      <c r="S241" s="3">
        <v>1</v>
      </c>
      <c r="T241" s="3">
        <v>0</v>
      </c>
      <c r="U241" s="3">
        <v>0</v>
      </c>
      <c r="V241" s="3">
        <v>0</v>
      </c>
      <c r="W241" s="3" t="s">
        <v>6</v>
      </c>
      <c r="X241" s="3">
        <v>1</v>
      </c>
      <c r="Y241" s="3">
        <v>0</v>
      </c>
      <c r="Z241" s="3">
        <v>0</v>
      </c>
      <c r="AA241" s="3">
        <v>0</v>
      </c>
      <c r="AB241" s="3">
        <v>0</v>
      </c>
      <c r="AC241" s="3">
        <v>0</v>
      </c>
      <c r="AD241" s="3">
        <v>0</v>
      </c>
      <c r="AE241" s="3">
        <v>0</v>
      </c>
      <c r="AF241" s="3">
        <v>0</v>
      </c>
      <c r="AG241" s="3">
        <v>1</v>
      </c>
      <c r="AH241" s="3" t="s">
        <v>17</v>
      </c>
      <c r="AI241" s="3" t="s">
        <v>776</v>
      </c>
      <c r="AK241" s="3" t="s">
        <v>908</v>
      </c>
      <c r="AL241" s="3" t="s">
        <v>909</v>
      </c>
    </row>
    <row r="242" spans="1:38" x14ac:dyDescent="0.25">
      <c r="A242" t="s">
        <v>1054</v>
      </c>
      <c r="B242" s="7">
        <v>44804</v>
      </c>
      <c r="C242" s="7" t="s">
        <v>844</v>
      </c>
      <c r="D242" s="3" t="s">
        <v>6</v>
      </c>
      <c r="E242" s="3" t="s">
        <v>414</v>
      </c>
      <c r="F242" s="3" t="s">
        <v>23</v>
      </c>
      <c r="G242" s="3" t="s">
        <v>23</v>
      </c>
      <c r="H242" s="9">
        <v>37.502321000954197</v>
      </c>
      <c r="I242" s="9">
        <v>-1.4141352078805101</v>
      </c>
      <c r="J242" s="3">
        <v>1</v>
      </c>
      <c r="K242" s="3">
        <v>1</v>
      </c>
      <c r="L242" s="3">
        <v>0</v>
      </c>
      <c r="M242" s="3">
        <v>0</v>
      </c>
      <c r="N242" s="3" t="s">
        <v>66</v>
      </c>
      <c r="O242" s="3">
        <v>0</v>
      </c>
      <c r="P242" s="3">
        <v>1</v>
      </c>
      <c r="Q242" s="3">
        <v>0</v>
      </c>
      <c r="R242" s="3">
        <v>1</v>
      </c>
      <c r="S242" s="3">
        <v>0</v>
      </c>
      <c r="T242" s="3">
        <v>0</v>
      </c>
      <c r="U242" s="3">
        <v>0</v>
      </c>
      <c r="V242" s="3">
        <v>0</v>
      </c>
      <c r="W242" s="3" t="s">
        <v>6</v>
      </c>
      <c r="X242" s="3">
        <v>0</v>
      </c>
      <c r="Y242" s="3">
        <v>0</v>
      </c>
      <c r="Z242" s="3">
        <v>0</v>
      </c>
      <c r="AA242" s="3">
        <v>0</v>
      </c>
      <c r="AB242" s="3">
        <v>0</v>
      </c>
      <c r="AC242" s="3">
        <v>0</v>
      </c>
      <c r="AD242" s="3">
        <v>0</v>
      </c>
      <c r="AE242" s="3">
        <v>0</v>
      </c>
      <c r="AF242" s="3">
        <v>0</v>
      </c>
      <c r="AG242" s="3">
        <v>0</v>
      </c>
      <c r="AH242" s="3" t="s">
        <v>17</v>
      </c>
      <c r="AI242" s="3" t="s">
        <v>778</v>
      </c>
      <c r="AK242" s="3" t="s">
        <v>413</v>
      </c>
    </row>
    <row r="243" spans="1:38" x14ac:dyDescent="0.25">
      <c r="A243" t="s">
        <v>976</v>
      </c>
      <c r="B243" s="8">
        <v>44819</v>
      </c>
      <c r="C243" s="8" t="s">
        <v>844</v>
      </c>
      <c r="D243" s="3" t="s">
        <v>6</v>
      </c>
      <c r="E243" s="3" t="s">
        <v>135</v>
      </c>
      <c r="F243" s="3" t="s">
        <v>8</v>
      </c>
      <c r="G243" s="3" t="s">
        <v>8</v>
      </c>
      <c r="H243" s="9">
        <v>39.890379089494203</v>
      </c>
      <c r="I243" s="9">
        <v>3.1256834686985799</v>
      </c>
      <c r="J243" s="3">
        <v>1</v>
      </c>
      <c r="K243" s="6">
        <v>1</v>
      </c>
      <c r="L243" s="3">
        <v>0</v>
      </c>
      <c r="M243" s="3">
        <v>0</v>
      </c>
      <c r="N243" s="3" t="s">
        <v>16</v>
      </c>
      <c r="O243" s="3">
        <v>0</v>
      </c>
      <c r="P243" s="3">
        <v>0</v>
      </c>
      <c r="Q243" s="3">
        <v>1</v>
      </c>
      <c r="R243" s="3">
        <v>0</v>
      </c>
      <c r="S243" s="3">
        <v>0</v>
      </c>
      <c r="T243" s="3">
        <v>0</v>
      </c>
      <c r="U243" s="3">
        <v>0</v>
      </c>
      <c r="V243" s="3">
        <v>1</v>
      </c>
      <c r="W243" s="3" t="s">
        <v>6</v>
      </c>
      <c r="X243" s="3">
        <v>0</v>
      </c>
      <c r="Y243" s="3">
        <v>0</v>
      </c>
      <c r="Z243" s="3">
        <v>0</v>
      </c>
      <c r="AA243" s="3">
        <v>0</v>
      </c>
      <c r="AB243" s="3">
        <v>0</v>
      </c>
      <c r="AC243" s="3">
        <v>0</v>
      </c>
      <c r="AD243" s="3">
        <v>0</v>
      </c>
      <c r="AE243" s="3">
        <v>0</v>
      </c>
      <c r="AF243" s="3">
        <v>0</v>
      </c>
      <c r="AG243" s="3">
        <v>0</v>
      </c>
      <c r="AH243" s="3" t="s">
        <v>17</v>
      </c>
      <c r="AI243" s="3" t="s">
        <v>777</v>
      </c>
      <c r="AK243" s="3" t="s">
        <v>219</v>
      </c>
    </row>
    <row r="244" spans="1:38" x14ac:dyDescent="0.25">
      <c r="A244" t="s">
        <v>1268</v>
      </c>
      <c r="B244" s="7">
        <v>44892</v>
      </c>
      <c r="C244" s="7" t="s">
        <v>843</v>
      </c>
      <c r="D244" s="3" t="s">
        <v>6</v>
      </c>
      <c r="F244" s="3" t="s">
        <v>54</v>
      </c>
      <c r="G244" s="3" t="s">
        <v>21</v>
      </c>
      <c r="J244" s="3">
        <v>1</v>
      </c>
      <c r="K244" s="3">
        <v>1</v>
      </c>
      <c r="L244" s="3">
        <v>0</v>
      </c>
      <c r="M244" s="3">
        <v>0</v>
      </c>
      <c r="N244" s="3" t="s">
        <v>16</v>
      </c>
      <c r="O244" s="3">
        <v>1</v>
      </c>
      <c r="P244" s="3">
        <v>0</v>
      </c>
      <c r="Q244" s="3">
        <v>0</v>
      </c>
      <c r="R244" s="3">
        <v>1</v>
      </c>
      <c r="S244" s="3">
        <v>0</v>
      </c>
      <c r="T244" s="3">
        <v>0</v>
      </c>
      <c r="U244" s="3">
        <v>0</v>
      </c>
      <c r="V244" s="3">
        <v>0</v>
      </c>
      <c r="W244" s="3" t="s">
        <v>6</v>
      </c>
      <c r="X244" s="3">
        <v>0</v>
      </c>
      <c r="Y244" s="3">
        <v>0</v>
      </c>
      <c r="Z244" s="3">
        <v>0</v>
      </c>
      <c r="AA244" s="3">
        <v>0</v>
      </c>
      <c r="AB244" s="3">
        <v>0</v>
      </c>
      <c r="AC244" s="3">
        <v>0</v>
      </c>
      <c r="AD244" s="3">
        <v>0</v>
      </c>
      <c r="AE244" s="3">
        <v>0</v>
      </c>
      <c r="AF244" s="3">
        <v>0</v>
      </c>
      <c r="AG244" s="3">
        <v>0</v>
      </c>
      <c r="AH244" s="3" t="s">
        <v>17</v>
      </c>
      <c r="AI244" s="3" t="s">
        <v>781</v>
      </c>
      <c r="AK244" s="3" t="s">
        <v>818</v>
      </c>
      <c r="AL244" s="3" t="s">
        <v>819</v>
      </c>
    </row>
    <row r="245" spans="1:38" x14ac:dyDescent="0.25">
      <c r="A245" t="s">
        <v>978</v>
      </c>
      <c r="B245" s="8">
        <v>44907</v>
      </c>
      <c r="C245" s="8" t="s">
        <v>841</v>
      </c>
      <c r="D245" s="3" t="s">
        <v>6</v>
      </c>
      <c r="E245" s="3" t="s">
        <v>136</v>
      </c>
      <c r="F245" s="3" t="s">
        <v>25</v>
      </c>
      <c r="G245" s="3" t="s">
        <v>19</v>
      </c>
      <c r="H245" s="9">
        <v>38.799420065428798</v>
      </c>
      <c r="I245" s="9">
        <v>0.195238488444619</v>
      </c>
      <c r="J245" s="3">
        <v>1</v>
      </c>
      <c r="K245" s="6">
        <v>1</v>
      </c>
      <c r="L245" s="3">
        <v>0</v>
      </c>
      <c r="M245" s="3">
        <v>0</v>
      </c>
      <c r="N245" s="3" t="s">
        <v>66</v>
      </c>
      <c r="O245" s="3">
        <v>0</v>
      </c>
      <c r="P245" s="3">
        <v>1</v>
      </c>
      <c r="Q245" s="3">
        <v>0</v>
      </c>
      <c r="R245" s="3">
        <v>1</v>
      </c>
      <c r="S245" s="3">
        <v>0</v>
      </c>
      <c r="T245" s="3">
        <v>0</v>
      </c>
      <c r="U245" s="3">
        <v>0</v>
      </c>
      <c r="V245" s="3">
        <v>0</v>
      </c>
      <c r="W245" s="3" t="s">
        <v>6</v>
      </c>
      <c r="X245" s="3">
        <v>1</v>
      </c>
      <c r="Y245" s="3">
        <v>0</v>
      </c>
      <c r="Z245" s="3">
        <v>0</v>
      </c>
      <c r="AA245" s="3">
        <v>1</v>
      </c>
      <c r="AB245" s="3">
        <v>0</v>
      </c>
      <c r="AC245" s="3">
        <v>0</v>
      </c>
      <c r="AD245" s="3">
        <v>0</v>
      </c>
      <c r="AE245" s="3">
        <v>0</v>
      </c>
      <c r="AF245" s="3">
        <v>0</v>
      </c>
      <c r="AG245" s="3">
        <v>0</v>
      </c>
      <c r="AH245" s="3" t="s">
        <v>17</v>
      </c>
      <c r="AI245" s="3" t="s">
        <v>777</v>
      </c>
      <c r="AK245" s="3" t="s">
        <v>221</v>
      </c>
      <c r="AL245" s="3" t="s">
        <v>240</v>
      </c>
    </row>
    <row r="246" spans="1:38" x14ac:dyDescent="0.25">
      <c r="A246" t="s">
        <v>1230</v>
      </c>
      <c r="B246" s="7">
        <v>45120</v>
      </c>
      <c r="C246" s="7" t="s">
        <v>844</v>
      </c>
      <c r="D246" s="3" t="s">
        <v>6</v>
      </c>
      <c r="E246" s="3" t="s">
        <v>729</v>
      </c>
      <c r="F246" s="3" t="s">
        <v>6</v>
      </c>
      <c r="G246" s="3" t="s">
        <v>6</v>
      </c>
      <c r="J246" s="3">
        <v>1</v>
      </c>
      <c r="K246" s="3">
        <v>1</v>
      </c>
      <c r="L246" s="3">
        <v>0</v>
      </c>
      <c r="M246" s="3">
        <v>0</v>
      </c>
      <c r="N246" s="3" t="s">
        <v>16</v>
      </c>
      <c r="O246" s="3">
        <v>0</v>
      </c>
      <c r="P246" s="3">
        <v>1</v>
      </c>
      <c r="Q246" s="3">
        <v>0</v>
      </c>
      <c r="R246" s="3">
        <v>1</v>
      </c>
      <c r="S246" s="3">
        <v>0</v>
      </c>
      <c r="T246" s="3">
        <v>0</v>
      </c>
      <c r="U246" s="3">
        <v>0</v>
      </c>
      <c r="V246" s="3">
        <v>0</v>
      </c>
      <c r="W246" s="3" t="s">
        <v>6</v>
      </c>
      <c r="X246" s="3">
        <v>1</v>
      </c>
      <c r="Y246" s="3">
        <v>0</v>
      </c>
      <c r="Z246" s="3">
        <v>0</v>
      </c>
      <c r="AA246" s="3">
        <v>1</v>
      </c>
      <c r="AB246" s="3">
        <v>0</v>
      </c>
      <c r="AC246" s="3">
        <v>0</v>
      </c>
      <c r="AD246" s="3">
        <v>1</v>
      </c>
      <c r="AE246" s="3">
        <v>0</v>
      </c>
      <c r="AF246" s="3">
        <v>0</v>
      </c>
      <c r="AG246" s="3">
        <v>0</v>
      </c>
      <c r="AH246" s="3" t="s">
        <v>17</v>
      </c>
      <c r="AI246" s="3" t="s">
        <v>776</v>
      </c>
      <c r="AK246" s="3" t="s">
        <v>730</v>
      </c>
      <c r="AL246" s="3" t="s">
        <v>731</v>
      </c>
    </row>
    <row r="247" spans="1:38" x14ac:dyDescent="0.25">
      <c r="A247" t="s">
        <v>1039</v>
      </c>
      <c r="B247" s="7">
        <v>45122</v>
      </c>
      <c r="C247" s="7" t="s">
        <v>844</v>
      </c>
      <c r="D247" s="3" t="s">
        <v>6</v>
      </c>
      <c r="E247" s="3" t="s">
        <v>387</v>
      </c>
      <c r="F247" s="3" t="s">
        <v>57</v>
      </c>
      <c r="G247" s="3" t="s">
        <v>21</v>
      </c>
      <c r="H247" s="9">
        <v>36.7266293578895</v>
      </c>
      <c r="I247" s="9">
        <v>-3.7198457012157502</v>
      </c>
      <c r="J247" s="3">
        <v>1</v>
      </c>
      <c r="K247" s="3">
        <v>1</v>
      </c>
      <c r="L247" s="3">
        <v>0</v>
      </c>
      <c r="M247" s="3">
        <v>0</v>
      </c>
      <c r="N247" s="3" t="s">
        <v>16</v>
      </c>
      <c r="O247" s="3">
        <v>0</v>
      </c>
      <c r="P247" s="3">
        <v>1</v>
      </c>
      <c r="Q247" s="3">
        <v>0</v>
      </c>
      <c r="R247" s="3">
        <v>1</v>
      </c>
      <c r="S247" s="3">
        <v>0</v>
      </c>
      <c r="T247" s="3">
        <v>0</v>
      </c>
      <c r="U247" s="3">
        <v>0</v>
      </c>
      <c r="V247" s="3">
        <v>0</v>
      </c>
      <c r="W247" s="3" t="s">
        <v>6</v>
      </c>
      <c r="X247" s="3">
        <v>1</v>
      </c>
      <c r="Y247" s="3">
        <v>0</v>
      </c>
      <c r="Z247" s="3">
        <v>0</v>
      </c>
      <c r="AA247" s="3">
        <v>1</v>
      </c>
      <c r="AB247" s="3">
        <v>0</v>
      </c>
      <c r="AC247" s="3">
        <v>0</v>
      </c>
      <c r="AD247" s="3">
        <v>0</v>
      </c>
      <c r="AE247" s="3">
        <v>0</v>
      </c>
      <c r="AF247" s="3">
        <v>0</v>
      </c>
      <c r="AG247" s="3">
        <v>0</v>
      </c>
      <c r="AH247" s="3" t="s">
        <v>17</v>
      </c>
      <c r="AI247" s="3" t="s">
        <v>777</v>
      </c>
      <c r="AK247" s="3" t="s">
        <v>388</v>
      </c>
      <c r="AL247" s="3" t="s">
        <v>240</v>
      </c>
    </row>
    <row r="248" spans="1:38" x14ac:dyDescent="0.25">
      <c r="A248" t="s">
        <v>1142</v>
      </c>
      <c r="B248" s="7">
        <v>45127</v>
      </c>
      <c r="C248" s="7" t="s">
        <v>844</v>
      </c>
      <c r="D248" s="3" t="s">
        <v>6</v>
      </c>
      <c r="E248" s="3" t="s">
        <v>405</v>
      </c>
      <c r="F248" s="3" t="s">
        <v>24</v>
      </c>
      <c r="G248" s="3" t="s">
        <v>20</v>
      </c>
      <c r="H248" s="9">
        <v>41.454660455716201</v>
      </c>
      <c r="I248" s="9">
        <v>2.2606209429900002</v>
      </c>
      <c r="J248" s="3">
        <v>1</v>
      </c>
      <c r="K248" s="3">
        <v>1</v>
      </c>
      <c r="L248" s="3">
        <v>0</v>
      </c>
      <c r="M248" s="3">
        <v>0</v>
      </c>
      <c r="N248" s="3" t="s">
        <v>6</v>
      </c>
      <c r="O248" s="3">
        <v>0</v>
      </c>
      <c r="P248" s="3">
        <v>0</v>
      </c>
      <c r="Q248" s="3">
        <v>1</v>
      </c>
      <c r="R248" s="3">
        <v>1</v>
      </c>
      <c r="S248" s="3">
        <v>0</v>
      </c>
      <c r="T248" s="3">
        <v>0</v>
      </c>
      <c r="U248" s="3">
        <v>0</v>
      </c>
      <c r="V248" s="3">
        <v>0</v>
      </c>
      <c r="W248" s="3" t="s">
        <v>6</v>
      </c>
      <c r="X248" s="3">
        <v>0</v>
      </c>
      <c r="Y248" s="3">
        <v>0</v>
      </c>
      <c r="Z248" s="3">
        <v>0</v>
      </c>
      <c r="AA248" s="3">
        <v>0</v>
      </c>
      <c r="AB248" s="3">
        <v>0</v>
      </c>
      <c r="AC248" s="3">
        <v>0</v>
      </c>
      <c r="AD248" s="3">
        <v>0</v>
      </c>
      <c r="AE248" s="3">
        <v>0</v>
      </c>
      <c r="AF248" s="3">
        <v>0</v>
      </c>
      <c r="AG248" s="3">
        <v>0</v>
      </c>
      <c r="AH248" s="3" t="s">
        <v>17</v>
      </c>
      <c r="AI248" s="3" t="s">
        <v>780</v>
      </c>
      <c r="AK248" s="3" t="s">
        <v>630</v>
      </c>
    </row>
    <row r="249" spans="1:38" x14ac:dyDescent="0.25">
      <c r="A249" t="s">
        <v>1024</v>
      </c>
      <c r="B249" s="7">
        <v>45137</v>
      </c>
      <c r="C249" s="7" t="s">
        <v>844</v>
      </c>
      <c r="D249" s="3" t="s">
        <v>6</v>
      </c>
      <c r="E249" s="3" t="s">
        <v>359</v>
      </c>
      <c r="F249" s="3" t="s">
        <v>25</v>
      </c>
      <c r="G249" s="3" t="s">
        <v>19</v>
      </c>
      <c r="H249" s="9">
        <v>37.976692680319502</v>
      </c>
      <c r="I249" s="9">
        <v>-0.66900059539321799</v>
      </c>
      <c r="J249" s="3">
        <v>1</v>
      </c>
      <c r="K249" s="3">
        <v>1</v>
      </c>
      <c r="L249" s="3">
        <v>0</v>
      </c>
      <c r="M249" s="3">
        <v>0</v>
      </c>
      <c r="N249" s="3" t="s">
        <v>16</v>
      </c>
      <c r="O249" s="3">
        <v>0</v>
      </c>
      <c r="P249" s="3">
        <v>0</v>
      </c>
      <c r="Q249" s="3">
        <v>1</v>
      </c>
      <c r="R249" s="3">
        <v>1</v>
      </c>
      <c r="S249" s="3">
        <v>0</v>
      </c>
      <c r="T249" s="3">
        <v>0</v>
      </c>
      <c r="U249" s="3">
        <v>0</v>
      </c>
      <c r="V249" s="3">
        <v>0</v>
      </c>
      <c r="W249" s="3" t="s">
        <v>6</v>
      </c>
      <c r="X249" s="3">
        <v>0</v>
      </c>
      <c r="Y249" s="3">
        <v>0</v>
      </c>
      <c r="Z249" s="3">
        <v>0</v>
      </c>
      <c r="AA249" s="3">
        <v>0</v>
      </c>
      <c r="AB249" s="3">
        <v>0</v>
      </c>
      <c r="AC249" s="3">
        <v>0</v>
      </c>
      <c r="AD249" s="3">
        <v>0</v>
      </c>
      <c r="AE249" s="3">
        <v>0</v>
      </c>
      <c r="AF249" s="3">
        <v>0</v>
      </c>
      <c r="AG249" s="3">
        <v>0</v>
      </c>
      <c r="AH249" s="3" t="s">
        <v>17</v>
      </c>
      <c r="AI249" s="3" t="s">
        <v>780</v>
      </c>
      <c r="AK249" s="3" t="s">
        <v>360</v>
      </c>
    </row>
    <row r="250" spans="1:38" x14ac:dyDescent="0.25">
      <c r="A250" t="s">
        <v>1011</v>
      </c>
      <c r="B250" s="7">
        <v>45145</v>
      </c>
      <c r="C250" s="7" t="s">
        <v>844</v>
      </c>
      <c r="D250" s="3" t="s">
        <v>6</v>
      </c>
      <c r="F250" s="3" t="s">
        <v>8</v>
      </c>
      <c r="G250" s="3" t="s">
        <v>8</v>
      </c>
      <c r="H250" s="9">
        <v>38.7809037427985</v>
      </c>
      <c r="I250" s="9">
        <v>1.2454564551743199</v>
      </c>
      <c r="J250" s="3">
        <v>1</v>
      </c>
      <c r="K250" s="3">
        <v>1</v>
      </c>
      <c r="L250" s="3">
        <v>0</v>
      </c>
      <c r="M250" s="3">
        <v>0</v>
      </c>
      <c r="N250" s="3" t="s">
        <v>6</v>
      </c>
      <c r="O250" s="3">
        <v>0</v>
      </c>
      <c r="P250" s="3">
        <v>0</v>
      </c>
      <c r="Q250" s="3">
        <v>1</v>
      </c>
      <c r="R250" s="3">
        <v>0</v>
      </c>
      <c r="S250" s="3">
        <v>0</v>
      </c>
      <c r="T250" s="3">
        <v>0</v>
      </c>
      <c r="U250" s="3">
        <v>0</v>
      </c>
      <c r="V250" s="3">
        <v>1</v>
      </c>
      <c r="W250" s="3" t="s">
        <v>6</v>
      </c>
      <c r="X250" s="3">
        <v>0</v>
      </c>
      <c r="Y250" s="3">
        <v>0</v>
      </c>
      <c r="Z250" s="3">
        <v>0</v>
      </c>
      <c r="AA250" s="3">
        <v>0</v>
      </c>
      <c r="AB250" s="3">
        <v>0</v>
      </c>
      <c r="AC250" s="3">
        <v>0</v>
      </c>
      <c r="AD250" s="3">
        <v>0</v>
      </c>
      <c r="AE250" s="3">
        <v>0</v>
      </c>
      <c r="AF250" s="3">
        <v>0</v>
      </c>
      <c r="AG250" s="3">
        <v>0</v>
      </c>
      <c r="AH250" s="3" t="s">
        <v>775</v>
      </c>
      <c r="AI250" s="3" t="s">
        <v>81</v>
      </c>
      <c r="AK250" s="3" t="s">
        <v>339</v>
      </c>
    </row>
    <row r="251" spans="1:38" x14ac:dyDescent="0.25">
      <c r="A251" t="s">
        <v>1044</v>
      </c>
      <c r="B251" s="7">
        <v>45147</v>
      </c>
      <c r="C251" s="7" t="s">
        <v>844</v>
      </c>
      <c r="D251" s="3" t="s">
        <v>6</v>
      </c>
      <c r="E251" s="3" t="s">
        <v>138</v>
      </c>
      <c r="F251" s="3" t="s">
        <v>23</v>
      </c>
      <c r="G251" s="3" t="s">
        <v>23</v>
      </c>
      <c r="H251" s="9">
        <v>37.635023936520597</v>
      </c>
      <c r="I251" s="9">
        <v>-0.68364829118596704</v>
      </c>
      <c r="J251" s="3">
        <v>1</v>
      </c>
      <c r="K251" s="3">
        <v>1</v>
      </c>
      <c r="L251" s="3">
        <v>0</v>
      </c>
      <c r="M251" s="3">
        <v>0</v>
      </c>
      <c r="N251" s="3" t="s">
        <v>16</v>
      </c>
      <c r="O251" s="3">
        <v>0</v>
      </c>
      <c r="P251" s="3">
        <v>1</v>
      </c>
      <c r="Q251" s="3">
        <v>0</v>
      </c>
      <c r="R251" s="3">
        <v>1</v>
      </c>
      <c r="S251" s="3">
        <v>0</v>
      </c>
      <c r="T251" s="3">
        <v>0</v>
      </c>
      <c r="U251" s="3">
        <v>0</v>
      </c>
      <c r="V251" s="3">
        <v>0</v>
      </c>
      <c r="W251" s="3" t="s">
        <v>6</v>
      </c>
      <c r="X251" s="3">
        <v>1</v>
      </c>
      <c r="Y251" s="3">
        <v>0</v>
      </c>
      <c r="Z251" s="3">
        <v>0</v>
      </c>
      <c r="AA251" s="3">
        <v>1</v>
      </c>
      <c r="AB251" s="3">
        <v>0</v>
      </c>
      <c r="AC251" s="3">
        <v>0</v>
      </c>
      <c r="AD251" s="3">
        <v>0</v>
      </c>
      <c r="AE251" s="3">
        <v>0</v>
      </c>
      <c r="AF251" s="3">
        <v>0</v>
      </c>
      <c r="AG251" s="3">
        <v>0</v>
      </c>
      <c r="AH251" s="3" t="s">
        <v>17</v>
      </c>
      <c r="AI251" s="3" t="s">
        <v>777</v>
      </c>
      <c r="AK251" s="3" t="s">
        <v>396</v>
      </c>
      <c r="AL251" s="3" t="s">
        <v>287</v>
      </c>
    </row>
    <row r="252" spans="1:38" x14ac:dyDescent="0.25">
      <c r="A252" t="s">
        <v>1226</v>
      </c>
      <c r="B252" s="7">
        <v>45151</v>
      </c>
      <c r="C252" s="7" t="s">
        <v>844</v>
      </c>
      <c r="D252" s="3" t="s">
        <v>6</v>
      </c>
      <c r="E252" s="3" t="s">
        <v>723</v>
      </c>
      <c r="F252" s="3" t="s">
        <v>59</v>
      </c>
      <c r="G252" s="3" t="s">
        <v>20</v>
      </c>
      <c r="H252" s="9">
        <v>41.775555367509298</v>
      </c>
      <c r="I252" s="9">
        <v>3.0436606272026201</v>
      </c>
      <c r="J252" s="3">
        <v>2</v>
      </c>
      <c r="K252" s="3">
        <v>2</v>
      </c>
      <c r="L252" s="3">
        <v>0</v>
      </c>
      <c r="M252" s="3">
        <v>0</v>
      </c>
      <c r="N252" s="3" t="s">
        <v>6</v>
      </c>
      <c r="O252" s="3">
        <v>0</v>
      </c>
      <c r="P252" s="3">
        <v>1</v>
      </c>
      <c r="Q252" s="3">
        <v>1</v>
      </c>
      <c r="R252" s="3">
        <v>2</v>
      </c>
      <c r="S252" s="3">
        <v>0</v>
      </c>
      <c r="T252" s="3">
        <v>0</v>
      </c>
      <c r="U252" s="3">
        <v>0</v>
      </c>
      <c r="V252" s="3">
        <v>0</v>
      </c>
      <c r="W252" s="3" t="s">
        <v>6</v>
      </c>
      <c r="X252" s="3">
        <v>0</v>
      </c>
      <c r="Y252" s="3">
        <v>0</v>
      </c>
      <c r="Z252" s="3">
        <v>0</v>
      </c>
      <c r="AA252" s="3">
        <v>0</v>
      </c>
      <c r="AB252" s="3">
        <v>0</v>
      </c>
      <c r="AC252" s="3">
        <v>0</v>
      </c>
      <c r="AD252" s="3">
        <v>0</v>
      </c>
      <c r="AE252" s="3">
        <v>0</v>
      </c>
      <c r="AF252" s="3">
        <v>0</v>
      </c>
      <c r="AG252" s="3">
        <v>0</v>
      </c>
      <c r="AH252" s="3" t="s">
        <v>17</v>
      </c>
      <c r="AI252" s="3" t="s">
        <v>776</v>
      </c>
      <c r="AK252" s="3" t="s">
        <v>724</v>
      </c>
    </row>
    <row r="253" spans="1:38" x14ac:dyDescent="0.25">
      <c r="A253" t="s">
        <v>1209</v>
      </c>
      <c r="B253" s="7">
        <v>45156</v>
      </c>
      <c r="C253" s="7" t="s">
        <v>844</v>
      </c>
      <c r="D253" s="3" t="s">
        <v>6</v>
      </c>
      <c r="E253" s="3" t="s">
        <v>130</v>
      </c>
      <c r="F253" s="3" t="s">
        <v>59</v>
      </c>
      <c r="G253" s="3" t="s">
        <v>20</v>
      </c>
      <c r="H253" s="9">
        <v>42.238266880638903</v>
      </c>
      <c r="I253" s="9">
        <v>3.3883772083013701</v>
      </c>
      <c r="J253" s="3">
        <v>1</v>
      </c>
      <c r="K253" s="3">
        <v>1</v>
      </c>
      <c r="L253" s="3">
        <v>0</v>
      </c>
      <c r="M253" s="3">
        <v>0</v>
      </c>
      <c r="N253" s="3" t="s">
        <v>6</v>
      </c>
      <c r="O253" s="3">
        <v>0</v>
      </c>
      <c r="P253" s="3">
        <v>0</v>
      </c>
      <c r="Q253" s="3">
        <v>1</v>
      </c>
      <c r="R253" s="3">
        <v>1</v>
      </c>
      <c r="S253" s="3">
        <v>0</v>
      </c>
      <c r="T253" s="3">
        <v>0</v>
      </c>
      <c r="U253" s="3">
        <v>0</v>
      </c>
      <c r="V253" s="3">
        <v>0</v>
      </c>
      <c r="W253" s="3" t="s">
        <v>6</v>
      </c>
      <c r="X253" s="3">
        <v>0</v>
      </c>
      <c r="Y253" s="3">
        <v>0</v>
      </c>
      <c r="Z253" s="3">
        <v>0</v>
      </c>
      <c r="AA253" s="3">
        <v>0</v>
      </c>
      <c r="AB253" s="3">
        <v>0</v>
      </c>
      <c r="AC253" s="3">
        <v>0</v>
      </c>
      <c r="AD253" s="3">
        <v>0</v>
      </c>
      <c r="AE253" s="3">
        <v>0</v>
      </c>
      <c r="AF253" s="3">
        <v>0</v>
      </c>
      <c r="AG253" s="3">
        <v>0</v>
      </c>
      <c r="AH253" s="3" t="s">
        <v>775</v>
      </c>
      <c r="AI253" s="3" t="s">
        <v>81</v>
      </c>
      <c r="AK253" s="3" t="s">
        <v>699</v>
      </c>
    </row>
    <row r="254" spans="1:38" x14ac:dyDescent="0.25">
      <c r="A254" t="s">
        <v>1292</v>
      </c>
      <c r="B254" s="7">
        <v>45156</v>
      </c>
      <c r="C254" s="7" t="s">
        <v>844</v>
      </c>
      <c r="D254" s="3" t="s">
        <v>6</v>
      </c>
      <c r="E254" s="3" t="s">
        <v>871</v>
      </c>
      <c r="F254" s="3" t="s">
        <v>57</v>
      </c>
      <c r="G254" s="3" t="s">
        <v>21</v>
      </c>
      <c r="H254" s="9">
        <v>36.696428223398499</v>
      </c>
      <c r="I254" s="9">
        <v>-3.4093329179515299</v>
      </c>
      <c r="J254" s="3">
        <v>1</v>
      </c>
      <c r="K254" s="3">
        <v>1</v>
      </c>
      <c r="L254" s="3">
        <v>0</v>
      </c>
      <c r="M254" s="3">
        <v>0</v>
      </c>
      <c r="N254" s="3" t="s">
        <v>66</v>
      </c>
      <c r="O254" s="3">
        <v>0</v>
      </c>
      <c r="P254" s="3">
        <v>1</v>
      </c>
      <c r="Q254" s="3">
        <v>0</v>
      </c>
      <c r="R254" s="3">
        <v>1</v>
      </c>
      <c r="S254" s="3">
        <v>0</v>
      </c>
      <c r="T254" s="3">
        <v>0</v>
      </c>
      <c r="U254" s="3">
        <v>0</v>
      </c>
      <c r="V254" s="3">
        <v>0</v>
      </c>
      <c r="W254" s="3" t="s">
        <v>6</v>
      </c>
      <c r="X254" s="3">
        <v>0</v>
      </c>
      <c r="Y254" s="3">
        <v>0</v>
      </c>
      <c r="Z254" s="3">
        <v>0</v>
      </c>
      <c r="AA254" s="3">
        <v>0</v>
      </c>
      <c r="AB254" s="3">
        <v>0</v>
      </c>
      <c r="AC254" s="3">
        <v>0</v>
      </c>
      <c r="AD254" s="3">
        <v>0</v>
      </c>
      <c r="AE254" s="3">
        <v>0</v>
      </c>
      <c r="AF254" s="3">
        <v>0</v>
      </c>
      <c r="AG254" s="3">
        <v>0</v>
      </c>
      <c r="AH254" s="3" t="s">
        <v>17</v>
      </c>
      <c r="AI254" s="3" t="s">
        <v>776</v>
      </c>
      <c r="AK254" s="3" t="s">
        <v>872</v>
      </c>
      <c r="AL254" s="3" t="s">
        <v>316</v>
      </c>
    </row>
    <row r="255" spans="1:38" x14ac:dyDescent="0.25">
      <c r="A255" t="s">
        <v>985</v>
      </c>
      <c r="B255" s="8">
        <v>45159</v>
      </c>
      <c r="C255" s="8" t="s">
        <v>844</v>
      </c>
      <c r="D255" s="3" t="s">
        <v>6</v>
      </c>
      <c r="E255" s="3" t="s">
        <v>92</v>
      </c>
      <c r="F255" s="3" t="s">
        <v>24</v>
      </c>
      <c r="G255" s="3" t="s">
        <v>20</v>
      </c>
      <c r="H255" s="9">
        <v>41.440147077501003</v>
      </c>
      <c r="I255" s="9">
        <v>2.24728485917099</v>
      </c>
      <c r="J255" s="3">
        <v>1</v>
      </c>
      <c r="K255" s="6">
        <v>1</v>
      </c>
      <c r="L255" s="3">
        <v>0</v>
      </c>
      <c r="M255" s="3">
        <v>0</v>
      </c>
      <c r="N255" s="3" t="s">
        <v>6</v>
      </c>
      <c r="O255" s="3">
        <v>0</v>
      </c>
      <c r="P255" s="3">
        <v>1</v>
      </c>
      <c r="Q255" s="3">
        <v>0</v>
      </c>
      <c r="R255" s="3">
        <v>0</v>
      </c>
      <c r="S255" s="3">
        <v>0</v>
      </c>
      <c r="T255" s="3">
        <v>0</v>
      </c>
      <c r="U255" s="3">
        <v>0</v>
      </c>
      <c r="V255" s="3">
        <v>1</v>
      </c>
      <c r="W255" s="3" t="s">
        <v>6</v>
      </c>
      <c r="X255" s="3">
        <v>0</v>
      </c>
      <c r="Y255" s="3">
        <v>0</v>
      </c>
      <c r="Z255" s="3">
        <v>0</v>
      </c>
      <c r="AA255" s="3">
        <v>0</v>
      </c>
      <c r="AB255" s="3">
        <v>0</v>
      </c>
      <c r="AC255" s="3">
        <v>0</v>
      </c>
      <c r="AD255" s="3">
        <v>0</v>
      </c>
      <c r="AE255" s="3">
        <v>0</v>
      </c>
      <c r="AF255" s="3">
        <v>0</v>
      </c>
      <c r="AG255" s="3">
        <v>0</v>
      </c>
      <c r="AH255" s="3" t="s">
        <v>17</v>
      </c>
      <c r="AI255" s="3" t="s">
        <v>776</v>
      </c>
      <c r="AK255" s="3" t="s">
        <v>228</v>
      </c>
    </row>
    <row r="256" spans="1:38" x14ac:dyDescent="0.25">
      <c r="A256" t="s">
        <v>996</v>
      </c>
      <c r="B256" s="7">
        <v>45169</v>
      </c>
      <c r="C256" s="7" t="s">
        <v>844</v>
      </c>
      <c r="D256" s="3" t="s">
        <v>6</v>
      </c>
      <c r="E256" s="3" t="s">
        <v>314</v>
      </c>
      <c r="F256" s="3" t="s">
        <v>54</v>
      </c>
      <c r="G256" s="3" t="s">
        <v>21</v>
      </c>
      <c r="H256" s="9">
        <v>36.726233280363402</v>
      </c>
      <c r="I256" s="9">
        <v>-4.0773922507176099</v>
      </c>
      <c r="J256" s="3">
        <v>1</v>
      </c>
      <c r="K256" s="3">
        <v>1</v>
      </c>
      <c r="L256" s="3">
        <v>0</v>
      </c>
      <c r="M256" s="3">
        <v>0</v>
      </c>
      <c r="N256" s="3" t="s">
        <v>16</v>
      </c>
      <c r="O256" s="3">
        <v>0</v>
      </c>
      <c r="P256" s="3">
        <v>0</v>
      </c>
      <c r="Q256" s="3">
        <v>1</v>
      </c>
      <c r="R256" s="3">
        <v>0</v>
      </c>
      <c r="S256" s="3">
        <v>0</v>
      </c>
      <c r="T256" s="3">
        <v>0</v>
      </c>
      <c r="U256" s="3">
        <v>0</v>
      </c>
      <c r="V256" s="3">
        <v>1</v>
      </c>
      <c r="W256" s="3" t="s">
        <v>6</v>
      </c>
      <c r="X256" s="3">
        <v>0</v>
      </c>
      <c r="Y256" s="3">
        <v>0</v>
      </c>
      <c r="Z256" s="3">
        <v>0</v>
      </c>
      <c r="AA256" s="3">
        <v>0</v>
      </c>
      <c r="AB256" s="3">
        <v>0</v>
      </c>
      <c r="AC256" s="3">
        <v>0</v>
      </c>
      <c r="AD256" s="3">
        <v>0</v>
      </c>
      <c r="AE256" s="3">
        <v>0</v>
      </c>
      <c r="AF256" s="3">
        <v>0</v>
      </c>
      <c r="AG256" s="3">
        <v>0</v>
      </c>
      <c r="AH256" s="3" t="s">
        <v>775</v>
      </c>
      <c r="AI256" s="3" t="s">
        <v>81</v>
      </c>
      <c r="AK256" s="3" t="s">
        <v>315</v>
      </c>
      <c r="AL256" s="3" t="s">
        <v>316</v>
      </c>
    </row>
    <row r="257" spans="1:39" x14ac:dyDescent="0.25">
      <c r="A257" t="s">
        <v>979</v>
      </c>
      <c r="B257" s="8">
        <v>45170</v>
      </c>
      <c r="C257" s="8" t="s">
        <v>844</v>
      </c>
      <c r="D257" s="3" t="s">
        <v>6</v>
      </c>
      <c r="E257" s="3" t="s">
        <v>92</v>
      </c>
      <c r="F257" s="3" t="s">
        <v>24</v>
      </c>
      <c r="G257" s="3" t="s">
        <v>20</v>
      </c>
      <c r="H257" s="9">
        <v>41.440147077501003</v>
      </c>
      <c r="I257" s="9">
        <v>2.24728485917099</v>
      </c>
      <c r="J257" s="3">
        <v>1</v>
      </c>
      <c r="K257" s="6">
        <v>1</v>
      </c>
      <c r="L257" s="3">
        <v>0</v>
      </c>
      <c r="M257" s="3">
        <v>0</v>
      </c>
      <c r="N257" s="3" t="s">
        <v>16</v>
      </c>
      <c r="O257" s="3">
        <v>0</v>
      </c>
      <c r="P257" s="3">
        <v>0</v>
      </c>
      <c r="Q257" s="3">
        <v>1</v>
      </c>
      <c r="R257" s="3">
        <v>0</v>
      </c>
      <c r="S257" s="3">
        <v>0</v>
      </c>
      <c r="T257" s="3">
        <v>0</v>
      </c>
      <c r="U257" s="3">
        <v>0</v>
      </c>
      <c r="V257" s="3">
        <v>1</v>
      </c>
      <c r="W257" s="3" t="s">
        <v>6</v>
      </c>
      <c r="X257" s="3">
        <v>0</v>
      </c>
      <c r="Y257" s="3">
        <v>0</v>
      </c>
      <c r="Z257" s="3">
        <v>0</v>
      </c>
      <c r="AA257" s="3">
        <v>0</v>
      </c>
      <c r="AB257" s="3">
        <v>0</v>
      </c>
      <c r="AC257" s="3">
        <v>0</v>
      </c>
      <c r="AD257" s="3">
        <v>0</v>
      </c>
      <c r="AE257" s="3">
        <v>0</v>
      </c>
      <c r="AF257" s="3">
        <v>0</v>
      </c>
      <c r="AG257" s="3">
        <v>0</v>
      </c>
      <c r="AH257" s="3" t="s">
        <v>17</v>
      </c>
      <c r="AI257" s="3" t="s">
        <v>776</v>
      </c>
      <c r="AK257" s="3" t="s">
        <v>222</v>
      </c>
      <c r="AL257" s="3" t="s">
        <v>140</v>
      </c>
    </row>
    <row r="258" spans="1:39" x14ac:dyDescent="0.25">
      <c r="A258" t="s">
        <v>986</v>
      </c>
      <c r="B258" s="8">
        <v>45206</v>
      </c>
      <c r="C258" s="8" t="s">
        <v>844</v>
      </c>
      <c r="D258" s="3" t="s">
        <v>6</v>
      </c>
      <c r="E258" s="3" t="s">
        <v>138</v>
      </c>
      <c r="F258" s="3" t="s">
        <v>23</v>
      </c>
      <c r="G258" s="3" t="s">
        <v>23</v>
      </c>
      <c r="H258" s="9">
        <v>37.635274078202599</v>
      </c>
      <c r="I258" s="9">
        <v>-0.68694669515902596</v>
      </c>
      <c r="J258" s="3">
        <v>1</v>
      </c>
      <c r="K258" s="6">
        <v>1</v>
      </c>
      <c r="L258" s="3">
        <v>0</v>
      </c>
      <c r="M258" s="3">
        <v>0</v>
      </c>
      <c r="N258" s="3" t="s">
        <v>16</v>
      </c>
      <c r="O258" s="3">
        <v>0</v>
      </c>
      <c r="P258" s="3">
        <v>1</v>
      </c>
      <c r="Q258" s="3">
        <v>0</v>
      </c>
      <c r="R258" s="3">
        <v>0</v>
      </c>
      <c r="S258" s="3">
        <v>0</v>
      </c>
      <c r="T258" s="3">
        <v>0</v>
      </c>
      <c r="U258" s="3">
        <v>0</v>
      </c>
      <c r="V258" s="3">
        <v>1</v>
      </c>
      <c r="W258" s="3" t="s">
        <v>6</v>
      </c>
      <c r="X258" s="3">
        <v>0</v>
      </c>
      <c r="Y258" s="3">
        <v>0</v>
      </c>
      <c r="Z258" s="3">
        <v>0</v>
      </c>
      <c r="AA258" s="3">
        <v>0</v>
      </c>
      <c r="AB258" s="3">
        <v>0</v>
      </c>
      <c r="AC258" s="3">
        <v>0</v>
      </c>
      <c r="AD258" s="3">
        <v>0</v>
      </c>
      <c r="AE258" s="3">
        <v>0</v>
      </c>
      <c r="AF258" s="3">
        <v>0</v>
      </c>
      <c r="AG258" s="3">
        <v>0</v>
      </c>
      <c r="AH258" s="3" t="s">
        <v>17</v>
      </c>
      <c r="AI258" s="3" t="s">
        <v>776</v>
      </c>
      <c r="AK258" s="3" t="s">
        <v>229</v>
      </c>
      <c r="AL258" s="3" t="s">
        <v>140</v>
      </c>
    </row>
    <row r="259" spans="1:39" x14ac:dyDescent="0.25">
      <c r="A259" t="s">
        <v>1318</v>
      </c>
      <c r="B259" s="7">
        <v>45396</v>
      </c>
      <c r="C259" s="7" t="s">
        <v>842</v>
      </c>
      <c r="D259" s="68">
        <v>0.52847222222222223</v>
      </c>
      <c r="F259" s="3" t="s">
        <v>25</v>
      </c>
      <c r="G259" s="3" t="s">
        <v>19</v>
      </c>
      <c r="H259" s="9">
        <v>38.601385999999998</v>
      </c>
      <c r="I259" s="9">
        <v>0.37447999999999998</v>
      </c>
      <c r="J259" s="3">
        <v>2</v>
      </c>
      <c r="K259" s="3">
        <v>2</v>
      </c>
      <c r="L259" s="3">
        <v>0</v>
      </c>
      <c r="M259" s="3">
        <v>0</v>
      </c>
      <c r="N259" s="3" t="s">
        <v>6</v>
      </c>
      <c r="O259" s="3">
        <v>0</v>
      </c>
      <c r="P259" s="3">
        <v>0</v>
      </c>
      <c r="Q259" s="3">
        <v>2</v>
      </c>
      <c r="R259" s="3">
        <v>0</v>
      </c>
      <c r="S259" s="3">
        <v>0</v>
      </c>
      <c r="T259" s="3">
        <v>0</v>
      </c>
      <c r="U259" s="3">
        <v>0</v>
      </c>
      <c r="V259" s="3">
        <v>2</v>
      </c>
      <c r="W259" s="3" t="s">
        <v>6</v>
      </c>
      <c r="X259" s="3">
        <v>0</v>
      </c>
      <c r="Y259" s="3">
        <v>0</v>
      </c>
      <c r="Z259" s="3">
        <v>0</v>
      </c>
      <c r="AA259" s="3">
        <v>0</v>
      </c>
      <c r="AB259" s="3">
        <v>0</v>
      </c>
      <c r="AC259" s="3">
        <v>0</v>
      </c>
      <c r="AD259" s="3">
        <v>0</v>
      </c>
      <c r="AE259" s="3">
        <v>0</v>
      </c>
      <c r="AF259" s="3">
        <v>0</v>
      </c>
      <c r="AG259" s="3">
        <v>0</v>
      </c>
      <c r="AH259" s="3" t="s">
        <v>775</v>
      </c>
      <c r="AI259" s="3" t="s">
        <v>80</v>
      </c>
      <c r="AK259" t="s">
        <v>265</v>
      </c>
      <c r="AL259" s="3" t="s">
        <v>29</v>
      </c>
      <c r="AM259" t="s">
        <v>22</v>
      </c>
    </row>
    <row r="260" spans="1:39" x14ac:dyDescent="0.25">
      <c r="A260" t="s">
        <v>1249</v>
      </c>
      <c r="B260" s="7">
        <v>45425</v>
      </c>
      <c r="C260" s="7" t="s">
        <v>842</v>
      </c>
      <c r="D260" s="3" t="s">
        <v>6</v>
      </c>
      <c r="F260" s="3" t="s">
        <v>25</v>
      </c>
      <c r="G260" s="3" t="s">
        <v>19</v>
      </c>
      <c r="H260" s="9">
        <v>38.089506411945997</v>
      </c>
      <c r="I260" s="9">
        <v>-0.492400877923032</v>
      </c>
      <c r="J260" s="3">
        <v>1</v>
      </c>
      <c r="K260" s="3">
        <v>1</v>
      </c>
      <c r="L260" s="3">
        <v>0</v>
      </c>
      <c r="M260" s="3">
        <v>0</v>
      </c>
      <c r="N260" s="3" t="s">
        <v>6</v>
      </c>
      <c r="O260" s="3">
        <v>0</v>
      </c>
      <c r="P260" s="3">
        <v>0</v>
      </c>
      <c r="Q260" s="3">
        <v>1</v>
      </c>
      <c r="R260" s="3">
        <v>1</v>
      </c>
      <c r="S260" s="3">
        <v>0</v>
      </c>
      <c r="T260" s="3">
        <v>0</v>
      </c>
      <c r="U260" s="3">
        <v>0</v>
      </c>
      <c r="V260" s="3">
        <v>0</v>
      </c>
      <c r="W260" s="3" t="s">
        <v>6</v>
      </c>
      <c r="X260" s="3">
        <v>1</v>
      </c>
      <c r="Y260" s="3">
        <v>0</v>
      </c>
      <c r="Z260" s="3">
        <v>0</v>
      </c>
      <c r="AA260" s="3">
        <v>1</v>
      </c>
      <c r="AB260" s="3">
        <v>0</v>
      </c>
      <c r="AC260" s="3">
        <v>0</v>
      </c>
      <c r="AD260" s="3">
        <v>1</v>
      </c>
      <c r="AE260" s="3">
        <v>0</v>
      </c>
      <c r="AF260" s="3">
        <v>0</v>
      </c>
      <c r="AG260" s="3">
        <v>0</v>
      </c>
      <c r="AH260" s="3" t="s">
        <v>775</v>
      </c>
      <c r="AI260" s="3" t="s">
        <v>81</v>
      </c>
      <c r="AK260" s="3" t="s">
        <v>757</v>
      </c>
      <c r="AL260" s="3" t="s">
        <v>756</v>
      </c>
    </row>
    <row r="261" spans="1:39" x14ac:dyDescent="0.25">
      <c r="A261" t="s">
        <v>994</v>
      </c>
      <c r="B261" s="7">
        <v>45437</v>
      </c>
      <c r="C261" s="7" t="s">
        <v>842</v>
      </c>
      <c r="D261" s="3" t="s">
        <v>6</v>
      </c>
      <c r="E261" s="3" t="s">
        <v>299</v>
      </c>
      <c r="F261" s="3" t="s">
        <v>8</v>
      </c>
      <c r="G261" s="3" t="s">
        <v>8</v>
      </c>
      <c r="H261" s="9">
        <v>39.101475631648803</v>
      </c>
      <c r="I261" s="9">
        <v>1.5014522297998201</v>
      </c>
      <c r="J261" s="3">
        <v>1</v>
      </c>
      <c r="K261" s="3">
        <v>1</v>
      </c>
      <c r="L261" s="3">
        <v>0</v>
      </c>
      <c r="M261" s="3">
        <v>0</v>
      </c>
      <c r="N261" s="3" t="s">
        <v>66</v>
      </c>
      <c r="O261" s="3">
        <v>0</v>
      </c>
      <c r="P261" s="3">
        <v>0</v>
      </c>
      <c r="Q261" s="3">
        <v>1</v>
      </c>
      <c r="R261" s="3">
        <v>0</v>
      </c>
      <c r="S261" s="3">
        <v>0</v>
      </c>
      <c r="T261" s="3">
        <v>0</v>
      </c>
      <c r="U261" s="3">
        <v>0</v>
      </c>
      <c r="V261" s="3">
        <v>1</v>
      </c>
      <c r="W261" s="3" t="s">
        <v>6</v>
      </c>
      <c r="X261" s="3">
        <v>0</v>
      </c>
      <c r="Y261" s="3">
        <v>0</v>
      </c>
      <c r="Z261" s="3">
        <v>0</v>
      </c>
      <c r="AA261" s="3">
        <v>0</v>
      </c>
      <c r="AB261" s="3">
        <v>0</v>
      </c>
      <c r="AC261" s="3">
        <v>0</v>
      </c>
      <c r="AD261" s="3">
        <v>0</v>
      </c>
      <c r="AE261" s="3">
        <v>0</v>
      </c>
      <c r="AF261" s="3">
        <v>0</v>
      </c>
      <c r="AG261" s="3">
        <v>0</v>
      </c>
      <c r="AH261" s="3" t="s">
        <v>775</v>
      </c>
      <c r="AI261" s="3" t="s">
        <v>81</v>
      </c>
      <c r="AK261" s="3" t="s">
        <v>300</v>
      </c>
    </row>
    <row r="262" spans="1:39" x14ac:dyDescent="0.25">
      <c r="A262" t="s">
        <v>1210</v>
      </c>
      <c r="B262" s="7">
        <v>45465</v>
      </c>
      <c r="C262" s="7" t="s">
        <v>844</v>
      </c>
      <c r="D262" s="3" t="s">
        <v>6</v>
      </c>
      <c r="E262" s="3" t="s">
        <v>700</v>
      </c>
      <c r="F262" s="3" t="s">
        <v>25</v>
      </c>
      <c r="G262" s="3" t="s">
        <v>19</v>
      </c>
      <c r="H262" s="9">
        <v>38.1801543288326</v>
      </c>
      <c r="I262" s="9">
        <v>-0.56312822050300204</v>
      </c>
      <c r="J262" s="3">
        <v>1</v>
      </c>
      <c r="K262" s="3">
        <v>1</v>
      </c>
      <c r="L262" s="3">
        <v>0</v>
      </c>
      <c r="M262" s="3">
        <v>0</v>
      </c>
      <c r="N262" s="3" t="s">
        <v>16</v>
      </c>
      <c r="O262" s="3">
        <v>0</v>
      </c>
      <c r="P262" s="3">
        <v>1</v>
      </c>
      <c r="Q262" s="3">
        <v>0</v>
      </c>
      <c r="R262" s="3">
        <v>1</v>
      </c>
      <c r="S262" s="3">
        <v>0</v>
      </c>
      <c r="T262" s="3">
        <v>0</v>
      </c>
      <c r="U262" s="3">
        <v>0</v>
      </c>
      <c r="V262" s="3">
        <v>0</v>
      </c>
      <c r="W262" s="3" t="s">
        <v>6</v>
      </c>
      <c r="X262" s="3">
        <v>0</v>
      </c>
      <c r="Y262" s="3">
        <v>0</v>
      </c>
      <c r="Z262" s="3">
        <v>0</v>
      </c>
      <c r="AA262" s="3">
        <v>0</v>
      </c>
      <c r="AB262" s="3">
        <v>0</v>
      </c>
      <c r="AC262" s="3">
        <v>0</v>
      </c>
      <c r="AD262" s="3">
        <v>0</v>
      </c>
      <c r="AE262" s="3">
        <v>0</v>
      </c>
      <c r="AF262" s="3">
        <v>0</v>
      </c>
      <c r="AG262" s="3">
        <v>0</v>
      </c>
      <c r="AH262" s="3" t="s">
        <v>775</v>
      </c>
      <c r="AI262" s="3" t="s">
        <v>81</v>
      </c>
      <c r="AK262" s="3" t="s">
        <v>701</v>
      </c>
      <c r="AL262" s="3" t="s">
        <v>316</v>
      </c>
    </row>
    <row r="263" spans="1:39" x14ac:dyDescent="0.25">
      <c r="A263" t="s">
        <v>1323</v>
      </c>
      <c r="B263" s="7">
        <v>45466</v>
      </c>
      <c r="C263" s="7" t="s">
        <v>844</v>
      </c>
      <c r="D263" s="68">
        <v>0.57847222222222217</v>
      </c>
      <c r="E263" s="3" t="s">
        <v>51</v>
      </c>
      <c r="F263" s="3" t="s">
        <v>25</v>
      </c>
      <c r="G263" s="3" t="s">
        <v>19</v>
      </c>
      <c r="H263" s="9">
        <v>38.350378999999997</v>
      </c>
      <c r="I263" s="9">
        <v>-0.42453299999999999</v>
      </c>
      <c r="J263" s="3">
        <v>1</v>
      </c>
      <c r="K263" s="3">
        <v>1</v>
      </c>
      <c r="L263" s="3">
        <v>0</v>
      </c>
      <c r="M263" s="3">
        <v>0</v>
      </c>
      <c r="N263" s="3" t="s">
        <v>6</v>
      </c>
      <c r="O263" s="3">
        <v>0</v>
      </c>
      <c r="P263" s="3">
        <v>0</v>
      </c>
      <c r="Q263" s="3">
        <v>1</v>
      </c>
      <c r="R263" s="3">
        <v>0</v>
      </c>
      <c r="S263" s="3">
        <v>0</v>
      </c>
      <c r="T263" s="3">
        <v>0</v>
      </c>
      <c r="U263" s="3">
        <v>0</v>
      </c>
      <c r="V263" s="3">
        <v>1</v>
      </c>
      <c r="W263" s="3" t="s">
        <v>6</v>
      </c>
      <c r="X263" s="3">
        <v>0</v>
      </c>
      <c r="Y263" s="3">
        <v>0</v>
      </c>
      <c r="Z263" s="3">
        <v>0</v>
      </c>
      <c r="AA263" s="3">
        <v>0</v>
      </c>
      <c r="AB263" s="3">
        <v>0</v>
      </c>
      <c r="AC263" s="3">
        <v>0</v>
      </c>
      <c r="AD263" s="3">
        <v>0</v>
      </c>
      <c r="AE263" s="3">
        <v>0</v>
      </c>
      <c r="AF263" s="3">
        <v>0</v>
      </c>
      <c r="AG263" s="3">
        <v>0</v>
      </c>
      <c r="AH263" s="3" t="s">
        <v>775</v>
      </c>
      <c r="AI263" s="3" t="s">
        <v>80</v>
      </c>
      <c r="AK263" t="s">
        <v>270</v>
      </c>
      <c r="AL263" s="3" t="s">
        <v>22</v>
      </c>
      <c r="AM263" t="s">
        <v>22</v>
      </c>
    </row>
    <row r="264" spans="1:39" x14ac:dyDescent="0.25">
      <c r="A264" t="s">
        <v>1289</v>
      </c>
      <c r="B264" s="7">
        <v>45467</v>
      </c>
      <c r="C264" s="7" t="s">
        <v>844</v>
      </c>
      <c r="D264" s="3" t="s">
        <v>6</v>
      </c>
      <c r="E264" s="3" t="s">
        <v>109</v>
      </c>
      <c r="F264" s="3" t="s">
        <v>57</v>
      </c>
      <c r="G264" s="3" t="s">
        <v>21</v>
      </c>
      <c r="H264" s="9">
        <v>36.732050597531703</v>
      </c>
      <c r="I264" s="9">
        <v>-3.7438035361698301</v>
      </c>
      <c r="J264" s="3">
        <v>1</v>
      </c>
      <c r="K264" s="3">
        <v>1</v>
      </c>
      <c r="L264" s="3">
        <v>0</v>
      </c>
      <c r="M264" s="3">
        <v>0</v>
      </c>
      <c r="N264" s="3" t="s">
        <v>66</v>
      </c>
      <c r="O264" s="3">
        <v>0</v>
      </c>
      <c r="P264" s="3">
        <v>1</v>
      </c>
      <c r="Q264" s="3">
        <v>0</v>
      </c>
      <c r="R264" s="3">
        <v>1</v>
      </c>
      <c r="S264" s="3">
        <v>0</v>
      </c>
      <c r="T264" s="3">
        <v>0</v>
      </c>
      <c r="U264" s="3">
        <v>0</v>
      </c>
      <c r="V264" s="3">
        <v>0</v>
      </c>
      <c r="W264" s="3" t="s">
        <v>6</v>
      </c>
      <c r="X264" s="3">
        <v>0</v>
      </c>
      <c r="Y264" s="3">
        <v>0</v>
      </c>
      <c r="Z264" s="3">
        <v>0</v>
      </c>
      <c r="AA264" s="3">
        <v>0</v>
      </c>
      <c r="AB264" s="3">
        <v>0</v>
      </c>
      <c r="AC264" s="3">
        <v>0</v>
      </c>
      <c r="AD264" s="3">
        <v>0</v>
      </c>
      <c r="AE264" s="3">
        <v>0</v>
      </c>
      <c r="AF264" s="3">
        <v>0</v>
      </c>
      <c r="AG264" s="3">
        <v>0</v>
      </c>
      <c r="AH264" s="3" t="s">
        <v>17</v>
      </c>
      <c r="AI264" s="3" t="s">
        <v>776</v>
      </c>
      <c r="AK264" s="3" t="s">
        <v>867</v>
      </c>
      <c r="AL264" s="3" t="s">
        <v>868</v>
      </c>
    </row>
    <row r="265" spans="1:39" x14ac:dyDescent="0.25">
      <c r="A265" t="s">
        <v>1007</v>
      </c>
      <c r="B265" s="7">
        <v>45470</v>
      </c>
      <c r="C265" s="7" t="s">
        <v>844</v>
      </c>
      <c r="D265" s="3" t="s">
        <v>6</v>
      </c>
      <c r="E265" s="3" t="s">
        <v>128</v>
      </c>
      <c r="F265" s="3" t="s">
        <v>23</v>
      </c>
      <c r="G265" s="3" t="s">
        <v>23</v>
      </c>
      <c r="H265" s="9">
        <v>37.5317477482795</v>
      </c>
      <c r="I265" s="9">
        <v>-0.99420425527443201</v>
      </c>
      <c r="J265" s="3">
        <v>1</v>
      </c>
      <c r="K265" s="3">
        <v>1</v>
      </c>
      <c r="L265" s="3">
        <v>0</v>
      </c>
      <c r="M265" s="3">
        <v>0</v>
      </c>
      <c r="N265" s="3" t="s">
        <v>66</v>
      </c>
      <c r="O265" s="3">
        <v>0</v>
      </c>
      <c r="P265" s="3">
        <v>1</v>
      </c>
      <c r="Q265" s="3">
        <v>0</v>
      </c>
      <c r="R265" s="3">
        <v>1</v>
      </c>
      <c r="S265" s="3">
        <v>0</v>
      </c>
      <c r="T265" s="3">
        <v>0</v>
      </c>
      <c r="U265" s="3">
        <v>0</v>
      </c>
      <c r="V265" s="3">
        <v>0</v>
      </c>
      <c r="W265" s="3" t="s">
        <v>6</v>
      </c>
      <c r="X265" s="3">
        <v>1</v>
      </c>
      <c r="Y265" s="3">
        <v>0</v>
      </c>
      <c r="Z265" s="3">
        <v>0</v>
      </c>
      <c r="AA265" s="3">
        <v>0</v>
      </c>
      <c r="AB265" s="3">
        <v>0</v>
      </c>
      <c r="AC265" s="3">
        <v>0</v>
      </c>
      <c r="AD265" s="3">
        <v>0</v>
      </c>
      <c r="AE265" s="3">
        <v>0</v>
      </c>
      <c r="AF265" s="3">
        <v>0</v>
      </c>
      <c r="AG265" s="3">
        <v>1</v>
      </c>
      <c r="AH265" s="3" t="s">
        <v>775</v>
      </c>
      <c r="AI265" s="3" t="s">
        <v>81</v>
      </c>
      <c r="AK265" s="3" t="s">
        <v>332</v>
      </c>
      <c r="AL265" s="3" t="s">
        <v>333</v>
      </c>
    </row>
    <row r="266" spans="1:39" x14ac:dyDescent="0.25">
      <c r="A266" t="s">
        <v>1112</v>
      </c>
      <c r="B266" s="7">
        <v>45477</v>
      </c>
      <c r="C266" s="7" t="s">
        <v>844</v>
      </c>
      <c r="D266" s="3" t="s">
        <v>6</v>
      </c>
      <c r="E266" s="3" t="s">
        <v>512</v>
      </c>
      <c r="F266" s="3" t="s">
        <v>25</v>
      </c>
      <c r="G266" s="3" t="s">
        <v>19</v>
      </c>
      <c r="H266" s="9">
        <v>38.347069579997601</v>
      </c>
      <c r="I266" s="9">
        <v>-0.47494107552926701</v>
      </c>
      <c r="J266" s="3">
        <v>1</v>
      </c>
      <c r="K266" s="3">
        <v>1</v>
      </c>
      <c r="L266" s="3">
        <v>0</v>
      </c>
      <c r="M266" s="3">
        <v>0</v>
      </c>
      <c r="N266" s="3" t="s">
        <v>66</v>
      </c>
      <c r="O266" s="3">
        <v>0</v>
      </c>
      <c r="P266" s="3">
        <v>1</v>
      </c>
      <c r="Q266" s="3">
        <v>0</v>
      </c>
      <c r="R266" s="3">
        <v>1</v>
      </c>
      <c r="S266" s="3">
        <v>0</v>
      </c>
      <c r="T266" s="3">
        <v>0</v>
      </c>
      <c r="U266" s="3">
        <v>0</v>
      </c>
      <c r="V266" s="3">
        <v>0</v>
      </c>
      <c r="W266" s="3" t="s">
        <v>6</v>
      </c>
      <c r="X266" s="3">
        <v>0</v>
      </c>
      <c r="Y266" s="3">
        <v>0</v>
      </c>
      <c r="Z266" s="3">
        <v>0</v>
      </c>
      <c r="AA266" s="3">
        <v>0</v>
      </c>
      <c r="AB266" s="3">
        <v>0</v>
      </c>
      <c r="AC266" s="3">
        <v>0</v>
      </c>
      <c r="AD266" s="3">
        <v>0</v>
      </c>
      <c r="AE266" s="3">
        <v>0</v>
      </c>
      <c r="AF266" s="3">
        <v>0</v>
      </c>
      <c r="AG266" s="3">
        <v>0</v>
      </c>
      <c r="AH266" s="3" t="s">
        <v>17</v>
      </c>
      <c r="AI266" s="3" t="s">
        <v>781</v>
      </c>
      <c r="AK266" s="3" t="s">
        <v>513</v>
      </c>
      <c r="AL266" s="3" t="s">
        <v>249</v>
      </c>
    </row>
    <row r="267" spans="1:39" x14ac:dyDescent="0.25">
      <c r="A267" t="s">
        <v>1215</v>
      </c>
      <c r="B267" s="7">
        <v>45480</v>
      </c>
      <c r="C267" s="7" t="s">
        <v>844</v>
      </c>
      <c r="D267" s="3" t="s">
        <v>6</v>
      </c>
      <c r="F267" s="3" t="s">
        <v>25</v>
      </c>
      <c r="G267" s="3" t="s">
        <v>19</v>
      </c>
      <c r="H267" s="9">
        <v>38.549122408396698</v>
      </c>
      <c r="I267" s="9">
        <v>9.8065713921237599E-2</v>
      </c>
      <c r="J267" s="3">
        <v>1</v>
      </c>
      <c r="K267" s="3">
        <v>1</v>
      </c>
      <c r="L267" s="3">
        <v>0</v>
      </c>
      <c r="M267" s="3">
        <v>0</v>
      </c>
      <c r="N267" s="3" t="s">
        <v>66</v>
      </c>
      <c r="O267" s="3">
        <v>0</v>
      </c>
      <c r="P267" s="3">
        <v>1</v>
      </c>
      <c r="Q267" s="3">
        <v>0</v>
      </c>
      <c r="R267" s="3">
        <v>1</v>
      </c>
      <c r="S267" s="3">
        <v>0</v>
      </c>
      <c r="T267" s="3">
        <v>0</v>
      </c>
      <c r="U267" s="3">
        <v>0</v>
      </c>
      <c r="V267" s="3">
        <v>0</v>
      </c>
      <c r="W267" s="3" t="s">
        <v>6</v>
      </c>
      <c r="X267" s="3">
        <v>0</v>
      </c>
      <c r="Y267" s="3">
        <v>0</v>
      </c>
      <c r="Z267" s="3">
        <v>0</v>
      </c>
      <c r="AA267" s="3">
        <v>0</v>
      </c>
      <c r="AB267" s="3">
        <v>0</v>
      </c>
      <c r="AC267" s="3">
        <v>0</v>
      </c>
      <c r="AD267" s="3">
        <v>0</v>
      </c>
      <c r="AE267" s="3">
        <v>0</v>
      </c>
      <c r="AF267" s="3">
        <v>0</v>
      </c>
      <c r="AG267" s="3">
        <v>0</v>
      </c>
      <c r="AH267" s="3" t="s">
        <v>775</v>
      </c>
      <c r="AI267" s="3" t="s">
        <v>81</v>
      </c>
      <c r="AK267" s="3" t="s">
        <v>709</v>
      </c>
    </row>
    <row r="268" spans="1:39" x14ac:dyDescent="0.25">
      <c r="A268" t="s">
        <v>1279</v>
      </c>
      <c r="B268" s="7">
        <v>45481</v>
      </c>
      <c r="C268" s="7" t="s">
        <v>844</v>
      </c>
      <c r="D268" s="3" t="s">
        <v>6</v>
      </c>
      <c r="E268" s="3" t="s">
        <v>26</v>
      </c>
      <c r="F268" s="3" t="s">
        <v>78</v>
      </c>
      <c r="G268" s="3" t="s">
        <v>19</v>
      </c>
      <c r="H268" s="9">
        <v>39.8980030651907</v>
      </c>
      <c r="I268" s="9">
        <v>0.68848261399748301</v>
      </c>
      <c r="J268" s="3">
        <v>1</v>
      </c>
      <c r="K268" s="3">
        <v>1</v>
      </c>
      <c r="L268" s="3">
        <v>0</v>
      </c>
      <c r="M268" s="3">
        <v>0</v>
      </c>
      <c r="N268" s="3" t="s">
        <v>66</v>
      </c>
      <c r="O268" s="3">
        <v>0</v>
      </c>
      <c r="P268" s="3">
        <v>1</v>
      </c>
      <c r="Q268" s="3">
        <v>0</v>
      </c>
      <c r="R268" s="3">
        <v>1</v>
      </c>
      <c r="S268" s="3">
        <v>0</v>
      </c>
      <c r="T268" s="3">
        <v>0</v>
      </c>
      <c r="U268" s="3">
        <v>0</v>
      </c>
      <c r="V268" s="3">
        <v>0</v>
      </c>
      <c r="W268" s="3" t="s">
        <v>6</v>
      </c>
      <c r="X268" s="3">
        <v>1</v>
      </c>
      <c r="Y268" s="3">
        <v>0</v>
      </c>
      <c r="Z268" s="3">
        <v>0</v>
      </c>
      <c r="AA268" s="3">
        <v>1</v>
      </c>
      <c r="AB268" s="3">
        <v>0</v>
      </c>
      <c r="AC268" s="3">
        <v>0</v>
      </c>
      <c r="AD268" s="3">
        <v>0</v>
      </c>
      <c r="AE268" s="3">
        <v>0</v>
      </c>
      <c r="AF268" s="3">
        <v>0</v>
      </c>
      <c r="AG268" s="3">
        <v>0</v>
      </c>
      <c r="AH268" s="3" t="s">
        <v>17</v>
      </c>
      <c r="AI268" s="3" t="s">
        <v>776</v>
      </c>
      <c r="AK268" s="3" t="s">
        <v>849</v>
      </c>
      <c r="AL268" s="3" t="s">
        <v>286</v>
      </c>
    </row>
    <row r="269" spans="1:39" x14ac:dyDescent="0.25">
      <c r="A269" t="s">
        <v>1283</v>
      </c>
      <c r="B269" s="7">
        <v>45482</v>
      </c>
      <c r="C269" s="7" t="s">
        <v>844</v>
      </c>
      <c r="D269" s="3" t="s">
        <v>6</v>
      </c>
      <c r="E269" s="3" t="s">
        <v>854</v>
      </c>
      <c r="F269" s="3" t="s">
        <v>25</v>
      </c>
      <c r="G269" s="3" t="s">
        <v>19</v>
      </c>
      <c r="H269" s="9">
        <v>38.250069899520099</v>
      </c>
      <c r="I269" s="9">
        <v>-0.51554988667863799</v>
      </c>
      <c r="J269" s="3">
        <v>1</v>
      </c>
      <c r="K269" s="3">
        <v>1</v>
      </c>
      <c r="L269" s="3">
        <v>0</v>
      </c>
      <c r="M269" s="3">
        <v>0</v>
      </c>
      <c r="N269" s="3" t="s">
        <v>66</v>
      </c>
      <c r="O269" s="3">
        <v>0</v>
      </c>
      <c r="P269" s="3">
        <v>0</v>
      </c>
      <c r="Q269" s="3">
        <v>1</v>
      </c>
      <c r="R269" s="3">
        <v>1</v>
      </c>
      <c r="S269" s="3">
        <v>0</v>
      </c>
      <c r="T269" s="3">
        <v>0</v>
      </c>
      <c r="U269" s="3">
        <v>0</v>
      </c>
      <c r="V269" s="3">
        <v>0</v>
      </c>
      <c r="W269" s="3" t="s">
        <v>6</v>
      </c>
      <c r="X269" s="3">
        <v>0</v>
      </c>
      <c r="Y269" s="3">
        <v>0</v>
      </c>
      <c r="Z269" s="3">
        <v>0</v>
      </c>
      <c r="AA269" s="3">
        <v>0</v>
      </c>
      <c r="AB269" s="3">
        <v>0</v>
      </c>
      <c r="AC269" s="3">
        <v>0</v>
      </c>
      <c r="AD269" s="3">
        <v>0</v>
      </c>
      <c r="AE269" s="3">
        <v>0</v>
      </c>
      <c r="AF269" s="3">
        <v>0</v>
      </c>
      <c r="AG269" s="3">
        <v>0</v>
      </c>
      <c r="AH269" s="3" t="s">
        <v>17</v>
      </c>
      <c r="AI269" s="3" t="s">
        <v>776</v>
      </c>
      <c r="AK269" s="3" t="s">
        <v>855</v>
      </c>
      <c r="AL269" s="3" t="s">
        <v>856</v>
      </c>
    </row>
    <row r="270" spans="1:39" x14ac:dyDescent="0.25">
      <c r="A270" t="s">
        <v>1270</v>
      </c>
      <c r="B270" s="7">
        <v>45483</v>
      </c>
      <c r="C270" s="7" t="s">
        <v>844</v>
      </c>
      <c r="D270" s="3" t="s">
        <v>6</v>
      </c>
      <c r="E270" s="3" t="s">
        <v>822</v>
      </c>
      <c r="F270" s="3" t="s">
        <v>23</v>
      </c>
      <c r="G270" s="3" t="s">
        <v>23</v>
      </c>
      <c r="H270" s="9">
        <v>37.569991813277497</v>
      </c>
      <c r="I270" s="9">
        <v>-1.25335819146843</v>
      </c>
      <c r="J270" s="3">
        <v>1</v>
      </c>
      <c r="K270" s="3">
        <v>1</v>
      </c>
      <c r="L270" s="3">
        <v>0</v>
      </c>
      <c r="M270" s="3">
        <v>0</v>
      </c>
      <c r="N270" s="3" t="s">
        <v>16</v>
      </c>
      <c r="O270" s="3">
        <v>0</v>
      </c>
      <c r="P270" s="3">
        <v>1</v>
      </c>
      <c r="Q270" s="3">
        <v>0</v>
      </c>
      <c r="R270" s="3">
        <v>0</v>
      </c>
      <c r="S270" s="3">
        <v>0</v>
      </c>
      <c r="T270" s="3">
        <v>0</v>
      </c>
      <c r="U270" s="3">
        <v>0</v>
      </c>
      <c r="V270" s="3">
        <v>1</v>
      </c>
      <c r="W270" s="3" t="s">
        <v>6</v>
      </c>
      <c r="X270" s="3">
        <v>1</v>
      </c>
      <c r="Y270" s="3">
        <v>0</v>
      </c>
      <c r="Z270" s="3">
        <v>0</v>
      </c>
      <c r="AA270" s="3">
        <v>1</v>
      </c>
      <c r="AB270" s="3">
        <v>0</v>
      </c>
      <c r="AC270" s="3">
        <v>0</v>
      </c>
      <c r="AD270" s="3">
        <v>0</v>
      </c>
      <c r="AE270" s="3">
        <v>0</v>
      </c>
      <c r="AF270" s="3">
        <v>0</v>
      </c>
      <c r="AG270" s="3">
        <v>0</v>
      </c>
      <c r="AH270" s="3" t="s">
        <v>17</v>
      </c>
      <c r="AI270" s="3" t="s">
        <v>781</v>
      </c>
      <c r="AK270" s="3" t="s">
        <v>824</v>
      </c>
      <c r="AL270" s="3" t="s">
        <v>823</v>
      </c>
    </row>
    <row r="271" spans="1:39" x14ac:dyDescent="0.25">
      <c r="A271" t="s">
        <v>1094</v>
      </c>
      <c r="B271" s="7">
        <v>45486</v>
      </c>
      <c r="C271" s="7" t="s">
        <v>844</v>
      </c>
      <c r="D271" s="3" t="s">
        <v>6</v>
      </c>
      <c r="E271" s="3" t="s">
        <v>506</v>
      </c>
      <c r="F271" s="3" t="s">
        <v>24</v>
      </c>
      <c r="G271" s="3" t="s">
        <v>20</v>
      </c>
      <c r="H271" s="9">
        <v>41.6434587931276</v>
      </c>
      <c r="I271" s="9">
        <v>2.7491340779860001</v>
      </c>
      <c r="J271" s="3">
        <v>1</v>
      </c>
      <c r="K271" s="3">
        <v>1</v>
      </c>
      <c r="L271" s="3">
        <v>0</v>
      </c>
      <c r="M271" s="3">
        <v>0</v>
      </c>
      <c r="N271" s="3" t="s">
        <v>66</v>
      </c>
      <c r="O271" s="3">
        <v>0</v>
      </c>
      <c r="P271" s="3">
        <v>1</v>
      </c>
      <c r="Q271" s="3">
        <v>0</v>
      </c>
      <c r="R271" s="3">
        <v>1</v>
      </c>
      <c r="S271" s="3">
        <v>0</v>
      </c>
      <c r="T271" s="3">
        <v>0</v>
      </c>
      <c r="U271" s="3">
        <v>0</v>
      </c>
      <c r="V271" s="3">
        <v>0</v>
      </c>
      <c r="W271" s="3" t="s">
        <v>6</v>
      </c>
      <c r="X271" s="3">
        <v>0</v>
      </c>
      <c r="Y271" s="3">
        <v>0</v>
      </c>
      <c r="Z271" s="3">
        <v>0</v>
      </c>
      <c r="AA271" s="3">
        <v>0</v>
      </c>
      <c r="AB271" s="3">
        <v>0</v>
      </c>
      <c r="AC271" s="3">
        <v>0</v>
      </c>
      <c r="AD271" s="3">
        <v>0</v>
      </c>
      <c r="AE271" s="3">
        <v>0</v>
      </c>
      <c r="AF271" s="3">
        <v>0</v>
      </c>
      <c r="AG271" s="3">
        <v>0</v>
      </c>
      <c r="AH271" s="3" t="s">
        <v>17</v>
      </c>
      <c r="AI271" s="3" t="s">
        <v>776</v>
      </c>
      <c r="AK271" s="3" t="s">
        <v>487</v>
      </c>
    </row>
    <row r="272" spans="1:39" x14ac:dyDescent="0.25">
      <c r="A272" t="s">
        <v>1262</v>
      </c>
      <c r="B272" s="7">
        <v>45486</v>
      </c>
      <c r="C272" s="7" t="s">
        <v>844</v>
      </c>
      <c r="D272" s="3" t="s">
        <v>6</v>
      </c>
      <c r="E272" s="3" t="s">
        <v>803</v>
      </c>
      <c r="F272" s="3" t="s">
        <v>47</v>
      </c>
      <c r="G272" s="3" t="s">
        <v>21</v>
      </c>
      <c r="H272" s="9">
        <v>36.922247184304297</v>
      </c>
      <c r="I272" s="9">
        <v>-1.95305643261991</v>
      </c>
      <c r="J272" s="3">
        <v>1</v>
      </c>
      <c r="K272" s="3">
        <v>1</v>
      </c>
      <c r="L272" s="3">
        <v>0</v>
      </c>
      <c r="M272" s="3">
        <v>0</v>
      </c>
      <c r="N272" s="3" t="s">
        <v>6</v>
      </c>
      <c r="O272" s="3">
        <v>0</v>
      </c>
      <c r="P272" s="3">
        <v>0</v>
      </c>
      <c r="Q272" s="3">
        <v>1</v>
      </c>
      <c r="R272" s="3">
        <v>0</v>
      </c>
      <c r="S272" s="3">
        <v>0</v>
      </c>
      <c r="T272" s="3">
        <v>0</v>
      </c>
      <c r="U272" s="3">
        <v>0</v>
      </c>
      <c r="V272" s="3">
        <v>1</v>
      </c>
      <c r="W272" s="3" t="s">
        <v>6</v>
      </c>
      <c r="X272" s="3">
        <v>0</v>
      </c>
      <c r="Y272" s="3">
        <v>0</v>
      </c>
      <c r="Z272" s="3">
        <v>0</v>
      </c>
      <c r="AA272" s="3">
        <v>0</v>
      </c>
      <c r="AB272" s="3">
        <v>0</v>
      </c>
      <c r="AC272" s="3">
        <v>0</v>
      </c>
      <c r="AD272" s="3">
        <v>0</v>
      </c>
      <c r="AE272" s="3">
        <v>0</v>
      </c>
      <c r="AF272" s="3">
        <v>0</v>
      </c>
      <c r="AG272" s="3">
        <v>0</v>
      </c>
      <c r="AH272" s="3" t="s">
        <v>17</v>
      </c>
      <c r="AI272" s="3" t="s">
        <v>776</v>
      </c>
      <c r="AK272" s="3" t="s">
        <v>804</v>
      </c>
    </row>
    <row r="273" spans="1:39" x14ac:dyDescent="0.25">
      <c r="A273" t="s">
        <v>1211</v>
      </c>
      <c r="B273" s="7">
        <v>45487</v>
      </c>
      <c r="C273" s="7" t="s">
        <v>844</v>
      </c>
      <c r="D273" s="3" t="s">
        <v>6</v>
      </c>
      <c r="E273" s="3" t="s">
        <v>74</v>
      </c>
      <c r="F273" s="3" t="s">
        <v>23</v>
      </c>
      <c r="G273" s="3" t="s">
        <v>23</v>
      </c>
      <c r="H273" s="9">
        <v>37.392828824748499</v>
      </c>
      <c r="I273" s="9">
        <v>-1.5975640149150601</v>
      </c>
      <c r="J273" s="3">
        <v>1</v>
      </c>
      <c r="K273" s="3">
        <v>1</v>
      </c>
      <c r="L273" s="3">
        <v>0</v>
      </c>
      <c r="M273" s="3">
        <v>0</v>
      </c>
      <c r="N273" s="3" t="s">
        <v>66</v>
      </c>
      <c r="O273" s="3">
        <v>0</v>
      </c>
      <c r="P273" s="3">
        <v>1</v>
      </c>
      <c r="Q273" s="3">
        <v>0</v>
      </c>
      <c r="R273" s="3">
        <v>1</v>
      </c>
      <c r="S273" s="3">
        <v>0</v>
      </c>
      <c r="T273" s="3">
        <v>0</v>
      </c>
      <c r="U273" s="3">
        <v>0</v>
      </c>
      <c r="V273" s="3">
        <v>0</v>
      </c>
      <c r="W273" s="3" t="s">
        <v>6</v>
      </c>
      <c r="X273" s="3">
        <v>1</v>
      </c>
      <c r="Y273" s="3">
        <v>0</v>
      </c>
      <c r="Z273" s="3">
        <v>0</v>
      </c>
      <c r="AA273" s="3">
        <v>1</v>
      </c>
      <c r="AB273" s="3">
        <v>0</v>
      </c>
      <c r="AC273" s="3">
        <v>0</v>
      </c>
      <c r="AD273" s="3">
        <v>0</v>
      </c>
      <c r="AE273" s="3">
        <v>0</v>
      </c>
      <c r="AF273" s="3">
        <v>0</v>
      </c>
      <c r="AG273" s="3">
        <v>0</v>
      </c>
      <c r="AH273" s="3" t="s">
        <v>775</v>
      </c>
      <c r="AI273" s="3" t="s">
        <v>81</v>
      </c>
      <c r="AK273" s="3" t="s">
        <v>703</v>
      </c>
      <c r="AL273" s="3" t="s">
        <v>702</v>
      </c>
    </row>
    <row r="274" spans="1:39" x14ac:dyDescent="0.25">
      <c r="A274" t="s">
        <v>1247</v>
      </c>
      <c r="B274" s="7">
        <v>45487</v>
      </c>
      <c r="C274" s="7" t="s">
        <v>844</v>
      </c>
      <c r="D274" s="3" t="s">
        <v>6</v>
      </c>
      <c r="E274" s="3" t="s">
        <v>753</v>
      </c>
      <c r="F274" s="3" t="s">
        <v>8</v>
      </c>
      <c r="G274" s="3" t="s">
        <v>8</v>
      </c>
      <c r="H274" s="9">
        <v>39.805454647006499</v>
      </c>
      <c r="I274" s="9">
        <v>4.2896227053737199</v>
      </c>
      <c r="J274" s="3">
        <v>1</v>
      </c>
      <c r="K274" s="3">
        <v>1</v>
      </c>
      <c r="L274" s="3">
        <v>0</v>
      </c>
      <c r="M274" s="3">
        <v>0</v>
      </c>
      <c r="N274" s="3" t="s">
        <v>6</v>
      </c>
      <c r="O274" s="3">
        <v>0</v>
      </c>
      <c r="P274" s="3">
        <v>0</v>
      </c>
      <c r="Q274" s="3">
        <v>1</v>
      </c>
      <c r="R274" s="3">
        <v>1</v>
      </c>
      <c r="S274" s="3">
        <v>0</v>
      </c>
      <c r="T274" s="3">
        <v>0</v>
      </c>
      <c r="U274" s="3">
        <v>0</v>
      </c>
      <c r="V274" s="3">
        <v>0</v>
      </c>
      <c r="W274" s="3" t="s">
        <v>6</v>
      </c>
      <c r="X274" s="3">
        <v>1</v>
      </c>
      <c r="Y274" s="3">
        <v>0</v>
      </c>
      <c r="Z274" s="3">
        <v>0</v>
      </c>
      <c r="AA274" s="3">
        <v>0</v>
      </c>
      <c r="AB274" s="3">
        <v>0</v>
      </c>
      <c r="AC274" s="3">
        <v>0</v>
      </c>
      <c r="AD274" s="3">
        <v>0</v>
      </c>
      <c r="AE274" s="3">
        <v>0</v>
      </c>
      <c r="AF274" s="3">
        <v>0</v>
      </c>
      <c r="AG274" s="3">
        <v>1</v>
      </c>
      <c r="AH274" s="3" t="s">
        <v>775</v>
      </c>
      <c r="AI274" s="3" t="s">
        <v>81</v>
      </c>
      <c r="AK274" s="3" t="s">
        <v>752</v>
      </c>
      <c r="AL274" s="3" t="s">
        <v>754</v>
      </c>
    </row>
    <row r="275" spans="1:39" x14ac:dyDescent="0.25">
      <c r="A275" t="s">
        <v>1261</v>
      </c>
      <c r="B275" s="7">
        <v>45487</v>
      </c>
      <c r="C275" s="7" t="s">
        <v>844</v>
      </c>
      <c r="D275" s="3" t="s">
        <v>6</v>
      </c>
      <c r="E275" s="3" t="s">
        <v>802</v>
      </c>
      <c r="F275" s="3" t="s">
        <v>25</v>
      </c>
      <c r="G275" s="3" t="s">
        <v>19</v>
      </c>
      <c r="H275" s="9">
        <v>37.894352883848804</v>
      </c>
      <c r="I275" s="9">
        <v>-0.75104544321791999</v>
      </c>
      <c r="J275" s="3">
        <v>1</v>
      </c>
      <c r="K275" s="3">
        <v>1</v>
      </c>
      <c r="L275" s="3">
        <v>0</v>
      </c>
      <c r="M275" s="3">
        <v>0</v>
      </c>
      <c r="N275" s="3" t="s">
        <v>16</v>
      </c>
      <c r="O275" s="3">
        <v>0</v>
      </c>
      <c r="P275" s="3">
        <v>1</v>
      </c>
      <c r="Q275" s="3">
        <v>0</v>
      </c>
      <c r="R275" s="3">
        <v>1</v>
      </c>
      <c r="S275" s="3">
        <v>0</v>
      </c>
      <c r="T275" s="3">
        <v>0</v>
      </c>
      <c r="U275" s="3">
        <v>0</v>
      </c>
      <c r="V275" s="3">
        <v>0</v>
      </c>
      <c r="W275" s="3" t="s">
        <v>6</v>
      </c>
      <c r="X275" s="3">
        <v>0</v>
      </c>
      <c r="Y275" s="3">
        <v>0</v>
      </c>
      <c r="Z275" s="3">
        <v>0</v>
      </c>
      <c r="AA275" s="3">
        <v>0</v>
      </c>
      <c r="AB275" s="3">
        <v>0</v>
      </c>
      <c r="AC275" s="3">
        <v>0</v>
      </c>
      <c r="AD275" s="3">
        <v>0</v>
      </c>
      <c r="AE275" s="3">
        <v>0</v>
      </c>
      <c r="AF275" s="3">
        <v>0</v>
      </c>
      <c r="AG275" s="3">
        <v>0</v>
      </c>
      <c r="AH275" s="3" t="s">
        <v>17</v>
      </c>
      <c r="AI275" s="3" t="s">
        <v>776</v>
      </c>
      <c r="AK275" s="3" t="s">
        <v>804</v>
      </c>
    </row>
    <row r="276" spans="1:39" x14ac:dyDescent="0.25">
      <c r="A276" t="s">
        <v>1322</v>
      </c>
      <c r="B276" s="7">
        <v>45488</v>
      </c>
      <c r="C276" s="7" t="s">
        <v>844</v>
      </c>
      <c r="D276" s="68">
        <v>0.84861111111111109</v>
      </c>
      <c r="E276" s="3" t="s">
        <v>50</v>
      </c>
      <c r="F276" s="3" t="s">
        <v>25</v>
      </c>
      <c r="G276" s="3" t="s">
        <v>19</v>
      </c>
      <c r="H276" s="9">
        <v>38.283183999999999</v>
      </c>
      <c r="I276" s="9">
        <v>-0.51951899999999995</v>
      </c>
      <c r="J276" s="3">
        <v>1</v>
      </c>
      <c r="K276" s="3">
        <v>1</v>
      </c>
      <c r="L276" s="3">
        <v>0</v>
      </c>
      <c r="M276" s="3">
        <v>0</v>
      </c>
      <c r="N276" s="3" t="s">
        <v>6</v>
      </c>
      <c r="O276" s="3">
        <v>0</v>
      </c>
      <c r="P276" s="3">
        <v>0</v>
      </c>
      <c r="Q276" s="3">
        <v>1</v>
      </c>
      <c r="R276" s="3">
        <v>0</v>
      </c>
      <c r="S276" s="3">
        <v>0</v>
      </c>
      <c r="T276" s="3">
        <v>0</v>
      </c>
      <c r="U276" s="3">
        <v>0</v>
      </c>
      <c r="V276" s="3">
        <v>1</v>
      </c>
      <c r="W276" s="3" t="s">
        <v>6</v>
      </c>
      <c r="X276" s="3">
        <v>0</v>
      </c>
      <c r="Y276" s="3">
        <v>0</v>
      </c>
      <c r="Z276" s="3">
        <v>0</v>
      </c>
      <c r="AA276" s="3">
        <v>0</v>
      </c>
      <c r="AB276" s="3">
        <v>0</v>
      </c>
      <c r="AC276" s="3">
        <v>0</v>
      </c>
      <c r="AD276" s="3">
        <v>0</v>
      </c>
      <c r="AE276" s="3">
        <v>0</v>
      </c>
      <c r="AF276" s="3">
        <v>0</v>
      </c>
      <c r="AG276" s="3">
        <v>0</v>
      </c>
      <c r="AH276" s="3" t="s">
        <v>775</v>
      </c>
      <c r="AI276" s="3" t="s">
        <v>80</v>
      </c>
      <c r="AK276" t="s">
        <v>269</v>
      </c>
      <c r="AL276" s="3" t="s">
        <v>22</v>
      </c>
      <c r="AM276" t="s">
        <v>22</v>
      </c>
    </row>
    <row r="277" spans="1:39" x14ac:dyDescent="0.25">
      <c r="A277" t="s">
        <v>1047</v>
      </c>
      <c r="B277" s="7">
        <v>45488</v>
      </c>
      <c r="C277" s="7" t="s">
        <v>844</v>
      </c>
      <c r="D277" s="3" t="s">
        <v>6</v>
      </c>
      <c r="E277" s="3" t="s">
        <v>54</v>
      </c>
      <c r="F277" s="3" t="s">
        <v>54</v>
      </c>
      <c r="G277" s="3" t="s">
        <v>21</v>
      </c>
      <c r="H277" s="9">
        <v>36.612088902084203</v>
      </c>
      <c r="I277" s="9">
        <v>-4.3371198628652303</v>
      </c>
      <c r="J277" s="3">
        <v>1</v>
      </c>
      <c r="K277" s="3">
        <v>1</v>
      </c>
      <c r="L277" s="3">
        <v>0</v>
      </c>
      <c r="M277" s="3">
        <v>0</v>
      </c>
      <c r="N277" s="3" t="s">
        <v>66</v>
      </c>
      <c r="O277" s="3">
        <v>0</v>
      </c>
      <c r="P277" s="3">
        <v>1</v>
      </c>
      <c r="Q277" s="3">
        <v>0</v>
      </c>
      <c r="R277" s="3">
        <v>0</v>
      </c>
      <c r="S277" s="3">
        <v>0</v>
      </c>
      <c r="T277" s="3">
        <v>0</v>
      </c>
      <c r="U277" s="3">
        <v>0</v>
      </c>
      <c r="V277" s="3">
        <v>1</v>
      </c>
      <c r="W277" s="3" t="s">
        <v>6</v>
      </c>
      <c r="X277" s="3">
        <v>1</v>
      </c>
      <c r="Y277" s="3">
        <v>0</v>
      </c>
      <c r="Z277" s="3">
        <v>0</v>
      </c>
      <c r="AA277" s="3">
        <v>1</v>
      </c>
      <c r="AB277" s="3">
        <v>0</v>
      </c>
      <c r="AC277" s="3">
        <v>0</v>
      </c>
      <c r="AD277" s="3">
        <v>0</v>
      </c>
      <c r="AE277" s="3">
        <v>0</v>
      </c>
      <c r="AF277" s="3">
        <v>0</v>
      </c>
      <c r="AG277" s="3">
        <v>0</v>
      </c>
      <c r="AH277" s="3" t="s">
        <v>17</v>
      </c>
      <c r="AI277" s="3" t="s">
        <v>777</v>
      </c>
      <c r="AK277" s="3" t="s">
        <v>401</v>
      </c>
      <c r="AL277" s="3" t="s">
        <v>402</v>
      </c>
    </row>
    <row r="278" spans="1:39" x14ac:dyDescent="0.25">
      <c r="A278" t="s">
        <v>1057</v>
      </c>
      <c r="B278" s="7">
        <v>45488</v>
      </c>
      <c r="C278" s="7" t="s">
        <v>844</v>
      </c>
      <c r="D278" s="4">
        <v>4.1666666666666664E-2</v>
      </c>
      <c r="E278" s="3" t="s">
        <v>419</v>
      </c>
      <c r="F278" s="3" t="s">
        <v>23</v>
      </c>
      <c r="G278" s="3" t="s">
        <v>23</v>
      </c>
      <c r="H278" s="9">
        <v>37.563861828428799</v>
      </c>
      <c r="I278" s="9">
        <v>-1.25586367125829</v>
      </c>
      <c r="J278" s="3">
        <v>2</v>
      </c>
      <c r="K278" s="3">
        <v>2</v>
      </c>
      <c r="L278" s="3">
        <v>0</v>
      </c>
      <c r="M278" s="3">
        <v>0</v>
      </c>
      <c r="N278" s="3" t="s">
        <v>66</v>
      </c>
      <c r="O278" s="3">
        <v>0</v>
      </c>
      <c r="P278" s="3">
        <v>0</v>
      </c>
      <c r="Q278" s="3">
        <v>2</v>
      </c>
      <c r="R278" s="3">
        <v>0</v>
      </c>
      <c r="S278" s="3">
        <v>0</v>
      </c>
      <c r="T278" s="3">
        <v>0</v>
      </c>
      <c r="U278" s="3">
        <v>0</v>
      </c>
      <c r="V278" s="3">
        <v>2</v>
      </c>
      <c r="W278" s="3" t="s">
        <v>6</v>
      </c>
      <c r="X278" s="3">
        <v>0</v>
      </c>
      <c r="Y278" s="3">
        <v>0</v>
      </c>
      <c r="Z278" s="3">
        <v>0</v>
      </c>
      <c r="AA278" s="3">
        <v>0</v>
      </c>
      <c r="AB278" s="3">
        <v>0</v>
      </c>
      <c r="AC278" s="3">
        <v>0</v>
      </c>
      <c r="AD278" s="3">
        <v>0</v>
      </c>
      <c r="AE278" s="3">
        <v>0</v>
      </c>
      <c r="AF278" s="3">
        <v>0</v>
      </c>
      <c r="AG278" s="3">
        <v>0</v>
      </c>
      <c r="AH278" s="3" t="s">
        <v>17</v>
      </c>
      <c r="AI278" s="3" t="s">
        <v>780</v>
      </c>
      <c r="AK278" s="3" t="s">
        <v>418</v>
      </c>
    </row>
    <row r="279" spans="1:39" x14ac:dyDescent="0.25">
      <c r="A279" t="s">
        <v>1246</v>
      </c>
      <c r="B279" s="7">
        <v>45490</v>
      </c>
      <c r="C279" s="7" t="s">
        <v>844</v>
      </c>
      <c r="D279" s="3" t="s">
        <v>6</v>
      </c>
      <c r="E279" s="3" t="s">
        <v>746</v>
      </c>
      <c r="F279" s="3" t="s">
        <v>23</v>
      </c>
      <c r="G279" s="3" t="s">
        <v>23</v>
      </c>
      <c r="H279" s="9">
        <v>37.538727506231901</v>
      </c>
      <c r="I279" s="9">
        <v>-1.1420211915282701</v>
      </c>
      <c r="J279" s="3">
        <v>1</v>
      </c>
      <c r="K279" s="3">
        <v>1</v>
      </c>
      <c r="L279" s="3">
        <v>0</v>
      </c>
      <c r="M279" s="3">
        <v>0</v>
      </c>
      <c r="N279" s="3" t="s">
        <v>66</v>
      </c>
      <c r="O279" s="3">
        <v>0</v>
      </c>
      <c r="P279" s="3">
        <v>1</v>
      </c>
      <c r="Q279" s="3">
        <v>0</v>
      </c>
      <c r="R279" s="3">
        <v>1</v>
      </c>
      <c r="S279" s="3">
        <v>0</v>
      </c>
      <c r="T279" s="3">
        <v>0</v>
      </c>
      <c r="U279" s="3">
        <v>0</v>
      </c>
      <c r="V279" s="3">
        <v>0</v>
      </c>
      <c r="W279" s="3" t="s">
        <v>6</v>
      </c>
      <c r="X279" s="3">
        <v>0</v>
      </c>
      <c r="Y279" s="3">
        <v>0</v>
      </c>
      <c r="Z279" s="3">
        <v>0</v>
      </c>
      <c r="AA279" s="3">
        <v>0</v>
      </c>
      <c r="AB279" s="3">
        <v>0</v>
      </c>
      <c r="AC279" s="3">
        <v>0</v>
      </c>
      <c r="AD279" s="3">
        <v>0</v>
      </c>
      <c r="AE279" s="3">
        <v>0</v>
      </c>
      <c r="AF279" s="3">
        <v>0</v>
      </c>
      <c r="AG279" s="3">
        <v>0</v>
      </c>
      <c r="AH279" s="3" t="s">
        <v>775</v>
      </c>
      <c r="AI279" s="3" t="s">
        <v>81</v>
      </c>
      <c r="AK279" s="3" t="s">
        <v>751</v>
      </c>
    </row>
    <row r="280" spans="1:39" x14ac:dyDescent="0.25">
      <c r="A280" t="s">
        <v>1032</v>
      </c>
      <c r="B280" s="7">
        <v>45491</v>
      </c>
      <c r="C280" s="7" t="s">
        <v>844</v>
      </c>
      <c r="D280" s="3" t="s">
        <v>6</v>
      </c>
      <c r="E280" s="3" t="s">
        <v>376</v>
      </c>
      <c r="F280" s="3" t="s">
        <v>54</v>
      </c>
      <c r="G280" s="3" t="s">
        <v>21</v>
      </c>
      <c r="H280" s="9">
        <v>36.702413935553601</v>
      </c>
      <c r="I280" s="9">
        <v>-4.4327580946906</v>
      </c>
      <c r="J280" s="3">
        <v>2</v>
      </c>
      <c r="K280" s="3">
        <v>2</v>
      </c>
      <c r="L280" s="3">
        <v>0</v>
      </c>
      <c r="M280" s="3">
        <v>0</v>
      </c>
      <c r="N280" s="3" t="s">
        <v>66</v>
      </c>
      <c r="O280" s="3">
        <v>0</v>
      </c>
      <c r="P280" s="3">
        <v>1</v>
      </c>
      <c r="Q280" s="3">
        <v>1</v>
      </c>
      <c r="R280" s="3">
        <v>0</v>
      </c>
      <c r="S280" s="3">
        <v>0</v>
      </c>
      <c r="T280" s="3">
        <v>0</v>
      </c>
      <c r="U280" s="3">
        <v>0</v>
      </c>
      <c r="V280" s="3">
        <v>2</v>
      </c>
      <c r="W280" s="3" t="s">
        <v>6</v>
      </c>
      <c r="X280" s="3">
        <v>0</v>
      </c>
      <c r="Y280" s="3">
        <v>0</v>
      </c>
      <c r="Z280" s="3">
        <v>0</v>
      </c>
      <c r="AA280" s="3">
        <v>0</v>
      </c>
      <c r="AB280" s="3">
        <v>0</v>
      </c>
      <c r="AC280" s="3">
        <v>0</v>
      </c>
      <c r="AD280" s="3">
        <v>0</v>
      </c>
      <c r="AE280" s="3">
        <v>0</v>
      </c>
      <c r="AF280" s="3">
        <v>0</v>
      </c>
      <c r="AG280" s="3">
        <v>0</v>
      </c>
      <c r="AH280" s="3" t="s">
        <v>17</v>
      </c>
      <c r="AI280" s="3" t="s">
        <v>781</v>
      </c>
      <c r="AK280" s="3" t="s">
        <v>375</v>
      </c>
    </row>
    <row r="281" spans="1:39" x14ac:dyDescent="0.25">
      <c r="A281" t="s">
        <v>1320</v>
      </c>
      <c r="B281" s="7">
        <v>45492</v>
      </c>
      <c r="C281" s="7" t="s">
        <v>844</v>
      </c>
      <c r="D281" s="68">
        <v>0.66041666666666665</v>
      </c>
      <c r="E281" s="3" t="s">
        <v>48</v>
      </c>
      <c r="F281" s="3" t="s">
        <v>25</v>
      </c>
      <c r="G281" s="3" t="s">
        <v>19</v>
      </c>
      <c r="H281" s="9">
        <v>38.077838999999997</v>
      </c>
      <c r="I281" s="9">
        <v>-0.647482</v>
      </c>
      <c r="J281" s="3">
        <v>1</v>
      </c>
      <c r="K281" s="3">
        <v>1</v>
      </c>
      <c r="L281" s="3">
        <v>0</v>
      </c>
      <c r="M281" s="3">
        <v>0</v>
      </c>
      <c r="N281" s="3" t="s">
        <v>16</v>
      </c>
      <c r="O281" s="3">
        <v>0</v>
      </c>
      <c r="P281" s="3">
        <v>0</v>
      </c>
      <c r="Q281" s="3">
        <v>1</v>
      </c>
      <c r="R281" s="3">
        <v>0</v>
      </c>
      <c r="S281" s="3">
        <v>0</v>
      </c>
      <c r="T281" s="3">
        <v>0</v>
      </c>
      <c r="U281" s="3">
        <v>0</v>
      </c>
      <c r="V281" s="3">
        <v>1</v>
      </c>
      <c r="W281" s="3" t="s">
        <v>6</v>
      </c>
      <c r="X281" s="3">
        <v>0</v>
      </c>
      <c r="Y281" s="3">
        <v>0</v>
      </c>
      <c r="Z281" s="3">
        <v>0</v>
      </c>
      <c r="AA281" s="3">
        <v>0</v>
      </c>
      <c r="AB281" s="3">
        <v>0</v>
      </c>
      <c r="AC281" s="3">
        <v>0</v>
      </c>
      <c r="AD281" s="3">
        <v>0</v>
      </c>
      <c r="AE281" s="3">
        <v>0</v>
      </c>
      <c r="AF281" s="3">
        <v>0</v>
      </c>
      <c r="AG281" s="3">
        <v>0</v>
      </c>
      <c r="AH281" s="3" t="s">
        <v>775</v>
      </c>
      <c r="AI281" s="3" t="s">
        <v>80</v>
      </c>
      <c r="AK281" t="s">
        <v>267</v>
      </c>
      <c r="AL281" s="3" t="s">
        <v>249</v>
      </c>
      <c r="AM281" t="s">
        <v>22</v>
      </c>
    </row>
    <row r="282" spans="1:39" x14ac:dyDescent="0.25">
      <c r="A282" t="s">
        <v>1004</v>
      </c>
      <c r="B282" s="7">
        <v>45492</v>
      </c>
      <c r="C282" s="7" t="s">
        <v>844</v>
      </c>
      <c r="D282" s="3" t="s">
        <v>6</v>
      </c>
      <c r="E282" s="3" t="s">
        <v>328</v>
      </c>
      <c r="F282" s="3" t="s">
        <v>23</v>
      </c>
      <c r="G282" s="3" t="s">
        <v>23</v>
      </c>
      <c r="H282" s="9">
        <v>37.503229723043098</v>
      </c>
      <c r="I282" s="9">
        <v>-1.4127848183234699</v>
      </c>
      <c r="J282" s="3">
        <v>1</v>
      </c>
      <c r="K282" s="3">
        <v>1</v>
      </c>
      <c r="L282" s="3">
        <v>0</v>
      </c>
      <c r="M282" s="3">
        <v>0</v>
      </c>
      <c r="N282" s="3" t="s">
        <v>66</v>
      </c>
      <c r="O282" s="3">
        <v>0</v>
      </c>
      <c r="P282" s="3">
        <v>0</v>
      </c>
      <c r="Q282" s="3">
        <v>1</v>
      </c>
      <c r="R282" s="3">
        <v>0</v>
      </c>
      <c r="S282" s="3">
        <v>0</v>
      </c>
      <c r="T282" s="3">
        <v>0</v>
      </c>
      <c r="U282" s="3">
        <v>0</v>
      </c>
      <c r="V282" s="3">
        <v>1</v>
      </c>
      <c r="W282" s="3" t="s">
        <v>6</v>
      </c>
      <c r="X282" s="3">
        <v>0</v>
      </c>
      <c r="Y282" s="3">
        <v>0</v>
      </c>
      <c r="Z282" s="3">
        <v>0</v>
      </c>
      <c r="AA282" s="3">
        <v>0</v>
      </c>
      <c r="AB282" s="3">
        <v>0</v>
      </c>
      <c r="AC282" s="3">
        <v>0</v>
      </c>
      <c r="AD282" s="3">
        <v>0</v>
      </c>
      <c r="AE282" s="3">
        <v>0</v>
      </c>
      <c r="AF282" s="3">
        <v>0</v>
      </c>
      <c r="AG282" s="3">
        <v>0</v>
      </c>
      <c r="AH282" s="3" t="s">
        <v>775</v>
      </c>
      <c r="AI282" s="3" t="s">
        <v>81</v>
      </c>
      <c r="AK282" s="3" t="s">
        <v>329</v>
      </c>
      <c r="AL282" s="3" t="s">
        <v>704</v>
      </c>
    </row>
    <row r="283" spans="1:39" x14ac:dyDescent="0.25">
      <c r="A283" t="s">
        <v>1010</v>
      </c>
      <c r="B283" s="7">
        <v>45492</v>
      </c>
      <c r="C283" s="7" t="s">
        <v>844</v>
      </c>
      <c r="D283" s="3" t="s">
        <v>6</v>
      </c>
      <c r="E283" s="3" t="s">
        <v>336</v>
      </c>
      <c r="F283" s="3" t="s">
        <v>87</v>
      </c>
      <c r="G283" s="3" t="s">
        <v>19</v>
      </c>
      <c r="H283" s="9">
        <v>39.272541892737301</v>
      </c>
      <c r="I283" s="9">
        <v>-0.26378654292762099</v>
      </c>
      <c r="J283" s="3">
        <v>1</v>
      </c>
      <c r="K283" s="3">
        <v>1</v>
      </c>
      <c r="L283" s="3">
        <v>0</v>
      </c>
      <c r="M283" s="3">
        <v>0</v>
      </c>
      <c r="N283" s="3" t="s">
        <v>6</v>
      </c>
      <c r="O283" s="3">
        <v>0</v>
      </c>
      <c r="P283" s="3">
        <v>0</v>
      </c>
      <c r="Q283" s="3">
        <v>1</v>
      </c>
      <c r="R283" s="3">
        <v>0</v>
      </c>
      <c r="S283" s="3">
        <v>0</v>
      </c>
      <c r="T283" s="3">
        <v>0</v>
      </c>
      <c r="U283" s="3">
        <v>0</v>
      </c>
      <c r="V283" s="3">
        <v>1</v>
      </c>
      <c r="W283" s="3" t="s">
        <v>6</v>
      </c>
      <c r="X283" s="3">
        <v>0</v>
      </c>
      <c r="Y283" s="3">
        <v>0</v>
      </c>
      <c r="Z283" s="3">
        <v>0</v>
      </c>
      <c r="AA283" s="3">
        <v>0</v>
      </c>
      <c r="AB283" s="3">
        <v>0</v>
      </c>
      <c r="AC283" s="3">
        <v>0</v>
      </c>
      <c r="AD283" s="3">
        <v>0</v>
      </c>
      <c r="AE283" s="3">
        <v>0</v>
      </c>
      <c r="AF283" s="3">
        <v>0</v>
      </c>
      <c r="AG283" s="3">
        <v>0</v>
      </c>
      <c r="AH283" s="3" t="s">
        <v>775</v>
      </c>
      <c r="AI283" s="3" t="s">
        <v>81</v>
      </c>
      <c r="AK283" s="3" t="s">
        <v>337</v>
      </c>
      <c r="AL283" s="3" t="s">
        <v>338</v>
      </c>
    </row>
    <row r="284" spans="1:39" x14ac:dyDescent="0.25">
      <c r="A284" t="s">
        <v>1113</v>
      </c>
      <c r="B284" s="7">
        <v>45492</v>
      </c>
      <c r="C284" s="7" t="s">
        <v>844</v>
      </c>
      <c r="D284" s="3" t="s">
        <v>6</v>
      </c>
      <c r="E284" s="3" t="s">
        <v>516</v>
      </c>
      <c r="F284" s="3" t="s">
        <v>23</v>
      </c>
      <c r="G284" s="3" t="s">
        <v>23</v>
      </c>
      <c r="H284" s="9">
        <v>37.560016954305503</v>
      </c>
      <c r="I284" s="9">
        <v>-1.2912916741603899</v>
      </c>
      <c r="J284" s="3">
        <v>1</v>
      </c>
      <c r="K284" s="3">
        <v>1</v>
      </c>
      <c r="L284" s="3">
        <v>0</v>
      </c>
      <c r="M284" s="3">
        <v>0</v>
      </c>
      <c r="N284" s="3" t="s">
        <v>66</v>
      </c>
      <c r="O284" s="3">
        <v>0</v>
      </c>
      <c r="P284" s="3">
        <v>1</v>
      </c>
      <c r="Q284" s="3">
        <v>0</v>
      </c>
      <c r="R284" s="3">
        <v>1</v>
      </c>
      <c r="S284" s="3">
        <v>0</v>
      </c>
      <c r="T284" s="3">
        <v>0</v>
      </c>
      <c r="U284" s="3">
        <v>0</v>
      </c>
      <c r="V284" s="3">
        <v>0</v>
      </c>
      <c r="W284" s="3" t="s">
        <v>6</v>
      </c>
      <c r="X284" s="3">
        <v>0</v>
      </c>
      <c r="Y284" s="3">
        <v>0</v>
      </c>
      <c r="Z284" s="3">
        <v>0</v>
      </c>
      <c r="AA284" s="3">
        <v>0</v>
      </c>
      <c r="AB284" s="3">
        <v>0</v>
      </c>
      <c r="AC284" s="3">
        <v>0</v>
      </c>
      <c r="AD284" s="3">
        <v>0</v>
      </c>
      <c r="AE284" s="3">
        <v>0</v>
      </c>
      <c r="AF284" s="3">
        <v>0</v>
      </c>
      <c r="AG284" s="3">
        <v>0</v>
      </c>
      <c r="AH284" s="3" t="s">
        <v>17</v>
      </c>
      <c r="AI284" s="3" t="s">
        <v>781</v>
      </c>
      <c r="AK284" s="3" t="s">
        <v>514</v>
      </c>
      <c r="AL284" s="3" t="s">
        <v>249</v>
      </c>
    </row>
    <row r="285" spans="1:39" x14ac:dyDescent="0.25">
      <c r="A285" t="s">
        <v>1212</v>
      </c>
      <c r="B285" s="7">
        <v>45492</v>
      </c>
      <c r="C285" s="7" t="s">
        <v>844</v>
      </c>
      <c r="D285" s="3" t="s">
        <v>6</v>
      </c>
      <c r="E285" s="3" t="s">
        <v>328</v>
      </c>
      <c r="F285" s="3" t="s">
        <v>23</v>
      </c>
      <c r="G285" s="3" t="s">
        <v>23</v>
      </c>
      <c r="H285" s="9">
        <v>37.505520621878198</v>
      </c>
      <c r="I285" s="9">
        <v>-1.40689925663621</v>
      </c>
      <c r="J285" s="3">
        <v>1</v>
      </c>
      <c r="K285" s="3">
        <v>1</v>
      </c>
      <c r="L285" s="3">
        <v>0</v>
      </c>
      <c r="M285" s="3">
        <v>0</v>
      </c>
      <c r="N285" s="3" t="s">
        <v>16</v>
      </c>
      <c r="O285" s="3">
        <v>1</v>
      </c>
      <c r="P285" s="3">
        <v>0</v>
      </c>
      <c r="Q285" s="3">
        <v>0</v>
      </c>
      <c r="R285" s="3">
        <v>1</v>
      </c>
      <c r="S285" s="3">
        <v>0</v>
      </c>
      <c r="T285" s="3">
        <v>0</v>
      </c>
      <c r="U285" s="3">
        <v>0</v>
      </c>
      <c r="V285" s="3">
        <v>0</v>
      </c>
      <c r="W285" s="3" t="s">
        <v>6</v>
      </c>
      <c r="X285" s="3">
        <v>1</v>
      </c>
      <c r="Y285" s="3">
        <v>0</v>
      </c>
      <c r="Z285" s="3">
        <v>0</v>
      </c>
      <c r="AA285" s="3">
        <v>0</v>
      </c>
      <c r="AB285" s="3">
        <v>0</v>
      </c>
      <c r="AC285" s="3">
        <v>0</v>
      </c>
      <c r="AD285" s="3">
        <v>1</v>
      </c>
      <c r="AE285" s="3">
        <v>0</v>
      </c>
      <c r="AF285" s="3">
        <v>0</v>
      </c>
      <c r="AG285" s="3">
        <v>0</v>
      </c>
      <c r="AH285" s="3" t="s">
        <v>775</v>
      </c>
      <c r="AI285" s="3" t="s">
        <v>81</v>
      </c>
      <c r="AK285" s="3" t="s">
        <v>705</v>
      </c>
      <c r="AL285" s="3" t="s">
        <v>706</v>
      </c>
    </row>
    <row r="286" spans="1:39" x14ac:dyDescent="0.25">
      <c r="A286" t="s">
        <v>1244</v>
      </c>
      <c r="B286" s="7">
        <v>45492</v>
      </c>
      <c r="C286" s="7" t="s">
        <v>844</v>
      </c>
      <c r="D286" s="3" t="s">
        <v>6</v>
      </c>
      <c r="E286" s="3" t="s">
        <v>138</v>
      </c>
      <c r="F286" s="3" t="s">
        <v>23</v>
      </c>
      <c r="G286" s="3" t="s">
        <v>23</v>
      </c>
      <c r="H286" s="9">
        <v>37.629096740420103</v>
      </c>
      <c r="I286" s="9">
        <v>-0.70074072070719096</v>
      </c>
      <c r="J286" s="3">
        <v>1</v>
      </c>
      <c r="K286" s="3">
        <v>1</v>
      </c>
      <c r="L286" s="3">
        <v>0</v>
      </c>
      <c r="M286" s="3">
        <v>0</v>
      </c>
      <c r="N286" s="3" t="s">
        <v>6</v>
      </c>
      <c r="O286" s="3">
        <v>0</v>
      </c>
      <c r="P286" s="3">
        <v>1</v>
      </c>
      <c r="Q286" s="3">
        <v>0</v>
      </c>
      <c r="R286" s="3">
        <v>1</v>
      </c>
      <c r="S286" s="3">
        <v>0</v>
      </c>
      <c r="T286" s="3">
        <v>0</v>
      </c>
      <c r="U286" s="3">
        <v>0</v>
      </c>
      <c r="V286" s="3">
        <v>0</v>
      </c>
      <c r="W286" s="3" t="s">
        <v>6</v>
      </c>
      <c r="X286" s="3">
        <v>1</v>
      </c>
      <c r="Y286" s="3">
        <v>0</v>
      </c>
      <c r="Z286" s="3">
        <v>0</v>
      </c>
      <c r="AA286" s="3">
        <v>1</v>
      </c>
      <c r="AB286" s="3">
        <v>0</v>
      </c>
      <c r="AC286" s="3">
        <v>0</v>
      </c>
      <c r="AD286" s="3">
        <v>0</v>
      </c>
      <c r="AE286" s="3">
        <v>0</v>
      </c>
      <c r="AF286" s="3">
        <v>0</v>
      </c>
      <c r="AG286" s="3">
        <v>0</v>
      </c>
      <c r="AH286" s="3" t="s">
        <v>17</v>
      </c>
      <c r="AI286" s="3" t="s">
        <v>776</v>
      </c>
      <c r="AK286" s="3" t="s">
        <v>748</v>
      </c>
      <c r="AL286" s="3" t="s">
        <v>732</v>
      </c>
    </row>
    <row r="287" spans="1:39" x14ac:dyDescent="0.25">
      <c r="A287" t="s">
        <v>1002</v>
      </c>
      <c r="B287" s="7">
        <v>45493</v>
      </c>
      <c r="C287" s="7" t="s">
        <v>844</v>
      </c>
      <c r="D287" s="3" t="s">
        <v>6</v>
      </c>
      <c r="E287" s="3" t="s">
        <v>325</v>
      </c>
      <c r="F287" s="3" t="s">
        <v>23</v>
      </c>
      <c r="G287" s="3" t="s">
        <v>23</v>
      </c>
      <c r="H287" s="9">
        <v>37.368590415164597</v>
      </c>
      <c r="I287" s="9">
        <v>-1.59658149898583</v>
      </c>
      <c r="J287" s="3">
        <v>1</v>
      </c>
      <c r="K287" s="3">
        <v>1</v>
      </c>
      <c r="L287" s="3">
        <v>0</v>
      </c>
      <c r="M287" s="3">
        <v>0</v>
      </c>
      <c r="N287" s="3" t="s">
        <v>6</v>
      </c>
      <c r="O287" s="3">
        <v>0</v>
      </c>
      <c r="P287" s="3">
        <v>0</v>
      </c>
      <c r="Q287" s="3">
        <v>1</v>
      </c>
      <c r="R287" s="3">
        <v>1</v>
      </c>
      <c r="S287" s="3">
        <v>0</v>
      </c>
      <c r="T287" s="3">
        <v>0</v>
      </c>
      <c r="U287" s="3">
        <v>0</v>
      </c>
      <c r="V287" s="3">
        <v>0</v>
      </c>
      <c r="W287" s="3" t="s">
        <v>6</v>
      </c>
      <c r="X287" s="3">
        <v>0</v>
      </c>
      <c r="Y287" s="3">
        <v>0</v>
      </c>
      <c r="Z287" s="3">
        <v>0</v>
      </c>
      <c r="AA287" s="3">
        <v>0</v>
      </c>
      <c r="AB287" s="3">
        <v>0</v>
      </c>
      <c r="AC287" s="3">
        <v>0</v>
      </c>
      <c r="AD287" s="3">
        <v>0</v>
      </c>
      <c r="AE287" s="3">
        <v>0</v>
      </c>
      <c r="AF287" s="3">
        <v>0</v>
      </c>
      <c r="AG287" s="3">
        <v>0</v>
      </c>
      <c r="AH287" s="3" t="s">
        <v>775</v>
      </c>
      <c r="AI287" s="3" t="s">
        <v>81</v>
      </c>
      <c r="AK287" s="3" t="s">
        <v>324</v>
      </c>
    </row>
    <row r="288" spans="1:39" x14ac:dyDescent="0.25">
      <c r="A288" t="s">
        <v>1205</v>
      </c>
      <c r="B288" s="7">
        <v>45493</v>
      </c>
      <c r="C288" s="7" t="s">
        <v>844</v>
      </c>
      <c r="D288" s="3" t="s">
        <v>6</v>
      </c>
      <c r="E288" s="3" t="s">
        <v>690</v>
      </c>
      <c r="F288" s="3" t="s">
        <v>23</v>
      </c>
      <c r="G288" s="3" t="s">
        <v>23</v>
      </c>
      <c r="H288" s="9">
        <v>37.870481041990502</v>
      </c>
      <c r="I288" s="9">
        <v>-0.75555409287696795</v>
      </c>
      <c r="J288" s="3">
        <v>1</v>
      </c>
      <c r="K288" s="3">
        <v>1</v>
      </c>
      <c r="L288" s="3">
        <v>0</v>
      </c>
      <c r="M288" s="3">
        <v>0</v>
      </c>
      <c r="N288" s="3" t="s">
        <v>6</v>
      </c>
      <c r="O288" s="3">
        <v>0</v>
      </c>
      <c r="P288" s="3">
        <v>0</v>
      </c>
      <c r="Q288" s="3">
        <v>1</v>
      </c>
      <c r="R288" s="3">
        <v>0</v>
      </c>
      <c r="S288" s="3">
        <v>0</v>
      </c>
      <c r="T288" s="3">
        <v>0</v>
      </c>
      <c r="U288" s="3">
        <v>0</v>
      </c>
      <c r="V288" s="3">
        <v>1</v>
      </c>
      <c r="W288" s="3" t="s">
        <v>6</v>
      </c>
      <c r="X288" s="3">
        <v>0</v>
      </c>
      <c r="Y288" s="3">
        <v>0</v>
      </c>
      <c r="Z288" s="3">
        <v>0</v>
      </c>
      <c r="AA288" s="3">
        <v>0</v>
      </c>
      <c r="AB288" s="3">
        <v>0</v>
      </c>
      <c r="AC288" s="3">
        <v>0</v>
      </c>
      <c r="AD288" s="3">
        <v>0</v>
      </c>
      <c r="AE288" s="3">
        <v>0</v>
      </c>
      <c r="AF288" s="3">
        <v>0</v>
      </c>
      <c r="AG288" s="3">
        <v>0</v>
      </c>
      <c r="AH288" s="3" t="s">
        <v>17</v>
      </c>
      <c r="AI288" s="3" t="s">
        <v>776</v>
      </c>
      <c r="AK288" s="3" t="s">
        <v>691</v>
      </c>
      <c r="AL288" s="3" t="s">
        <v>249</v>
      </c>
    </row>
    <row r="289" spans="1:39" x14ac:dyDescent="0.25">
      <c r="A289" t="s">
        <v>1319</v>
      </c>
      <c r="B289" s="7">
        <v>45494</v>
      </c>
      <c r="C289" s="7" t="s">
        <v>844</v>
      </c>
      <c r="D289" s="68">
        <v>0.49652777777777779</v>
      </c>
      <c r="E289" s="3" t="s">
        <v>46</v>
      </c>
      <c r="F289" s="3" t="s">
        <v>47</v>
      </c>
      <c r="G289" s="3" t="s">
        <v>21</v>
      </c>
      <c r="H289" s="9">
        <v>37.172542</v>
      </c>
      <c r="I289" s="9">
        <v>-1.8215859999999999</v>
      </c>
      <c r="J289" s="3">
        <v>1</v>
      </c>
      <c r="K289" s="3">
        <v>1</v>
      </c>
      <c r="L289" s="3">
        <v>0</v>
      </c>
      <c r="M289" s="3">
        <v>0</v>
      </c>
      <c r="N289" s="3" t="s">
        <v>66</v>
      </c>
      <c r="O289" s="3">
        <v>0</v>
      </c>
      <c r="P289" s="3">
        <v>1</v>
      </c>
      <c r="Q289" s="3">
        <v>0</v>
      </c>
      <c r="R289" s="3">
        <v>1</v>
      </c>
      <c r="S289" s="3">
        <v>0</v>
      </c>
      <c r="T289" s="3">
        <v>0</v>
      </c>
      <c r="U289" s="3">
        <v>0</v>
      </c>
      <c r="V289" s="3">
        <v>0</v>
      </c>
      <c r="W289" s="3" t="s">
        <v>6</v>
      </c>
      <c r="X289" s="3">
        <v>0</v>
      </c>
      <c r="Y289" s="3">
        <v>0</v>
      </c>
      <c r="Z289" s="3">
        <v>0</v>
      </c>
      <c r="AA289" s="3">
        <v>0</v>
      </c>
      <c r="AB289" s="3">
        <v>0</v>
      </c>
      <c r="AC289" s="3">
        <v>0</v>
      </c>
      <c r="AD289" s="3">
        <v>0</v>
      </c>
      <c r="AE289" s="3">
        <v>0</v>
      </c>
      <c r="AF289" s="3">
        <v>0</v>
      </c>
      <c r="AG289" s="3">
        <v>0</v>
      </c>
      <c r="AH289" s="3" t="s">
        <v>775</v>
      </c>
      <c r="AI289" s="3" t="s">
        <v>80</v>
      </c>
      <c r="AK289" t="s">
        <v>266</v>
      </c>
      <c r="AL289" s="3" t="s">
        <v>30</v>
      </c>
      <c r="AM289" t="s">
        <v>22</v>
      </c>
    </row>
    <row r="290" spans="1:39" x14ac:dyDescent="0.25">
      <c r="A290" t="s">
        <v>1133</v>
      </c>
      <c r="B290" s="7">
        <v>45494</v>
      </c>
      <c r="C290" s="7" t="s">
        <v>844</v>
      </c>
      <c r="D290" s="3" t="s">
        <v>6</v>
      </c>
      <c r="E290" s="3" t="s">
        <v>614</v>
      </c>
      <c r="F290" s="3" t="s">
        <v>25</v>
      </c>
      <c r="G290" s="3" t="s">
        <v>19</v>
      </c>
      <c r="H290" s="9">
        <v>38.069435944387699</v>
      </c>
      <c r="I290" s="9">
        <v>-0.64788304060479296</v>
      </c>
      <c r="J290" s="3">
        <v>1</v>
      </c>
      <c r="K290" s="3">
        <v>1</v>
      </c>
      <c r="L290" s="3">
        <v>0</v>
      </c>
      <c r="M290" s="3">
        <v>0</v>
      </c>
      <c r="N290" s="3" t="s">
        <v>16</v>
      </c>
      <c r="O290" s="3">
        <v>0</v>
      </c>
      <c r="P290" s="3">
        <v>1</v>
      </c>
      <c r="Q290" s="3">
        <v>0</v>
      </c>
      <c r="R290" s="3">
        <v>1</v>
      </c>
      <c r="S290" s="3">
        <v>0</v>
      </c>
      <c r="T290" s="3">
        <v>0</v>
      </c>
      <c r="U290" s="3">
        <v>0</v>
      </c>
      <c r="V290" s="3">
        <v>0</v>
      </c>
      <c r="W290" s="3" t="s">
        <v>6</v>
      </c>
      <c r="X290" s="3">
        <v>1</v>
      </c>
      <c r="Y290" s="3">
        <v>0</v>
      </c>
      <c r="Z290" s="3">
        <v>0</v>
      </c>
      <c r="AA290" s="3">
        <v>1</v>
      </c>
      <c r="AB290" s="3">
        <v>0</v>
      </c>
      <c r="AC290" s="3">
        <v>0</v>
      </c>
      <c r="AD290" s="3">
        <v>0</v>
      </c>
      <c r="AE290" s="3">
        <v>0</v>
      </c>
      <c r="AF290" s="3">
        <v>0</v>
      </c>
      <c r="AG290" s="3">
        <v>0</v>
      </c>
      <c r="AH290" s="3" t="s">
        <v>17</v>
      </c>
      <c r="AI290" s="3" t="s">
        <v>776</v>
      </c>
      <c r="AK290" s="3" t="s">
        <v>616</v>
      </c>
      <c r="AL290" s="3" t="s">
        <v>615</v>
      </c>
    </row>
    <row r="291" spans="1:39" x14ac:dyDescent="0.25">
      <c r="A291" t="s">
        <v>1275</v>
      </c>
      <c r="B291" s="7">
        <v>45494</v>
      </c>
      <c r="C291" s="7" t="s">
        <v>844</v>
      </c>
      <c r="D291" s="3" t="s">
        <v>6</v>
      </c>
      <c r="E291" s="3" t="s">
        <v>835</v>
      </c>
      <c r="F291" s="3" t="s">
        <v>25</v>
      </c>
      <c r="G291" s="3" t="s">
        <v>19</v>
      </c>
      <c r="J291" s="3">
        <v>1</v>
      </c>
      <c r="K291" s="3">
        <v>1</v>
      </c>
      <c r="L291" s="3">
        <v>0</v>
      </c>
      <c r="M291" s="3">
        <v>0</v>
      </c>
      <c r="N291" s="3" t="s">
        <v>16</v>
      </c>
      <c r="O291" s="3">
        <v>0</v>
      </c>
      <c r="P291" s="3">
        <v>1</v>
      </c>
      <c r="Q291" s="3">
        <v>0</v>
      </c>
      <c r="R291" s="3">
        <v>1</v>
      </c>
      <c r="S291" s="3">
        <v>0</v>
      </c>
      <c r="T291" s="3">
        <v>0</v>
      </c>
      <c r="U291" s="3">
        <v>0</v>
      </c>
      <c r="V291" s="3">
        <v>0</v>
      </c>
      <c r="W291" s="3" t="s">
        <v>6</v>
      </c>
      <c r="X291" s="3">
        <v>1</v>
      </c>
      <c r="Y291" s="3">
        <v>0</v>
      </c>
      <c r="Z291" s="3">
        <v>0</v>
      </c>
      <c r="AA291" s="3">
        <v>1</v>
      </c>
      <c r="AB291" s="3">
        <v>0</v>
      </c>
      <c r="AC291" s="3">
        <v>0</v>
      </c>
      <c r="AD291" s="3">
        <v>0</v>
      </c>
      <c r="AE291" s="3">
        <v>0</v>
      </c>
      <c r="AF291" s="3">
        <v>0</v>
      </c>
      <c r="AG291" s="3">
        <v>0</v>
      </c>
      <c r="AH291" s="3" t="s">
        <v>17</v>
      </c>
      <c r="AI291" s="3" t="s">
        <v>781</v>
      </c>
      <c r="AK291" s="3" t="s">
        <v>836</v>
      </c>
      <c r="AL291" s="3" t="s">
        <v>837</v>
      </c>
    </row>
    <row r="292" spans="1:39" x14ac:dyDescent="0.25">
      <c r="A292" t="s">
        <v>1229</v>
      </c>
      <c r="B292" s="7">
        <v>45495</v>
      </c>
      <c r="C292" s="7" t="s">
        <v>844</v>
      </c>
      <c r="D292" s="3" t="s">
        <v>6</v>
      </c>
      <c r="E292" s="3" t="s">
        <v>135</v>
      </c>
      <c r="F292" s="3" t="s">
        <v>8</v>
      </c>
      <c r="G292" s="3" t="s">
        <v>8</v>
      </c>
      <c r="J292" s="3">
        <v>1</v>
      </c>
      <c r="K292" s="3">
        <v>1</v>
      </c>
      <c r="L292" s="3">
        <v>0</v>
      </c>
      <c r="M292" s="3">
        <v>0</v>
      </c>
      <c r="N292" s="3" t="s">
        <v>16</v>
      </c>
      <c r="O292" s="3">
        <v>0</v>
      </c>
      <c r="P292" s="3">
        <v>1</v>
      </c>
      <c r="Q292" s="3">
        <v>0</v>
      </c>
      <c r="R292" s="3">
        <v>1</v>
      </c>
      <c r="S292" s="3">
        <v>0</v>
      </c>
      <c r="T292" s="3">
        <v>0</v>
      </c>
      <c r="U292" s="3">
        <v>0</v>
      </c>
      <c r="V292" s="3">
        <v>0</v>
      </c>
      <c r="W292" s="3" t="s">
        <v>6</v>
      </c>
      <c r="X292" s="3">
        <v>1</v>
      </c>
      <c r="Y292" s="3">
        <v>0</v>
      </c>
      <c r="Z292" s="3">
        <v>0</v>
      </c>
      <c r="AA292" s="3">
        <v>1</v>
      </c>
      <c r="AB292" s="3">
        <v>0</v>
      </c>
      <c r="AC292" s="3">
        <v>0</v>
      </c>
      <c r="AD292" s="3">
        <v>0</v>
      </c>
      <c r="AE292" s="3">
        <v>0</v>
      </c>
      <c r="AF292" s="3">
        <v>0</v>
      </c>
      <c r="AG292" s="3">
        <v>0</v>
      </c>
      <c r="AH292" s="3" t="s">
        <v>17</v>
      </c>
      <c r="AI292" s="3" t="s">
        <v>776</v>
      </c>
      <c r="AK292" s="3" t="s">
        <v>728</v>
      </c>
      <c r="AL292" s="3" t="s">
        <v>732</v>
      </c>
    </row>
    <row r="293" spans="1:39" x14ac:dyDescent="0.25">
      <c r="A293" t="s">
        <v>1272</v>
      </c>
      <c r="B293" s="7">
        <v>45495</v>
      </c>
      <c r="C293" s="7" t="s">
        <v>844</v>
      </c>
      <c r="D293" s="3" t="s">
        <v>6</v>
      </c>
      <c r="E293" s="3" t="s">
        <v>828</v>
      </c>
      <c r="F293" s="3" t="s">
        <v>23</v>
      </c>
      <c r="G293" s="3" t="s">
        <v>23</v>
      </c>
      <c r="H293" s="9">
        <v>37.528315622797898</v>
      </c>
      <c r="I293" s="9">
        <v>-1.38085073790905</v>
      </c>
      <c r="J293" s="3">
        <v>1</v>
      </c>
      <c r="K293" s="3">
        <v>1</v>
      </c>
      <c r="L293" s="3">
        <v>0</v>
      </c>
      <c r="M293" s="3">
        <v>0</v>
      </c>
      <c r="N293" s="3" t="s">
        <v>66</v>
      </c>
      <c r="O293" s="3">
        <v>0</v>
      </c>
      <c r="P293" s="3">
        <v>1</v>
      </c>
      <c r="Q293" s="3">
        <v>0</v>
      </c>
      <c r="R293" s="3">
        <v>1</v>
      </c>
      <c r="S293" s="3">
        <v>0</v>
      </c>
      <c r="T293" s="3">
        <v>0</v>
      </c>
      <c r="U293" s="3">
        <v>0</v>
      </c>
      <c r="V293" s="3">
        <v>0</v>
      </c>
      <c r="W293" s="3" t="s">
        <v>6</v>
      </c>
      <c r="X293" s="3">
        <v>0</v>
      </c>
      <c r="Y293" s="3">
        <v>0</v>
      </c>
      <c r="Z293" s="3">
        <v>0</v>
      </c>
      <c r="AA293" s="3">
        <v>0</v>
      </c>
      <c r="AB293" s="3">
        <v>0</v>
      </c>
      <c r="AC293" s="3">
        <v>0</v>
      </c>
      <c r="AD293" s="3">
        <v>0</v>
      </c>
      <c r="AE293" s="3">
        <v>0</v>
      </c>
      <c r="AF293" s="3">
        <v>0</v>
      </c>
      <c r="AG293" s="3">
        <v>0</v>
      </c>
      <c r="AH293" s="3" t="s">
        <v>17</v>
      </c>
      <c r="AI293" s="3" t="s">
        <v>781</v>
      </c>
      <c r="AK293" s="3" t="s">
        <v>829</v>
      </c>
    </row>
    <row r="294" spans="1:39" x14ac:dyDescent="0.25">
      <c r="A294" t="s">
        <v>1321</v>
      </c>
      <c r="B294" s="7">
        <v>45496</v>
      </c>
      <c r="C294" s="7" t="s">
        <v>844</v>
      </c>
      <c r="D294" s="68">
        <v>0.48680555555555555</v>
      </c>
      <c r="E294" s="3" t="s">
        <v>49</v>
      </c>
      <c r="F294" s="3" t="s">
        <v>25</v>
      </c>
      <c r="G294" s="3" t="s">
        <v>19</v>
      </c>
      <c r="H294" s="9">
        <v>38.724231000000003</v>
      </c>
      <c r="I294" s="9">
        <v>0.198992</v>
      </c>
      <c r="J294" s="3">
        <v>1</v>
      </c>
      <c r="K294" s="3">
        <v>1</v>
      </c>
      <c r="L294" s="3">
        <v>0</v>
      </c>
      <c r="M294" s="3">
        <v>0</v>
      </c>
      <c r="N294" s="3" t="s">
        <v>6</v>
      </c>
      <c r="O294" s="3">
        <v>0</v>
      </c>
      <c r="P294" s="3">
        <v>0</v>
      </c>
      <c r="Q294" s="3">
        <v>1</v>
      </c>
      <c r="R294" s="3">
        <v>0</v>
      </c>
      <c r="S294" s="3">
        <v>0</v>
      </c>
      <c r="T294" s="3">
        <v>0</v>
      </c>
      <c r="U294" s="3">
        <v>0</v>
      </c>
      <c r="V294" s="3">
        <v>1</v>
      </c>
      <c r="W294" s="3" t="s">
        <v>6</v>
      </c>
      <c r="X294" s="3">
        <v>0</v>
      </c>
      <c r="Y294" s="3">
        <v>0</v>
      </c>
      <c r="Z294" s="3">
        <v>0</v>
      </c>
      <c r="AA294" s="3">
        <v>0</v>
      </c>
      <c r="AB294" s="3">
        <v>0</v>
      </c>
      <c r="AC294" s="3">
        <v>0</v>
      </c>
      <c r="AD294" s="3">
        <v>0</v>
      </c>
      <c r="AE294" s="3">
        <v>0</v>
      </c>
      <c r="AF294" s="3">
        <v>0</v>
      </c>
      <c r="AG294" s="3">
        <v>0</v>
      </c>
      <c r="AH294" s="3" t="s">
        <v>775</v>
      </c>
      <c r="AI294" s="3" t="s">
        <v>80</v>
      </c>
      <c r="AK294" t="s">
        <v>268</v>
      </c>
      <c r="AL294" s="3" t="s">
        <v>22</v>
      </c>
      <c r="AM294" t="s">
        <v>22</v>
      </c>
    </row>
    <row r="295" spans="1:39" x14ac:dyDescent="0.25">
      <c r="A295" t="s">
        <v>1213</v>
      </c>
      <c r="B295" s="7">
        <v>45496</v>
      </c>
      <c r="C295" s="7" t="s">
        <v>844</v>
      </c>
      <c r="D295" s="3" t="s">
        <v>6</v>
      </c>
      <c r="F295" s="3" t="s">
        <v>25</v>
      </c>
      <c r="G295" s="3" t="s">
        <v>19</v>
      </c>
      <c r="H295" s="9">
        <v>38.720700652340199</v>
      </c>
      <c r="I295" s="9">
        <v>0.40889545192180898</v>
      </c>
      <c r="J295" s="3">
        <v>1</v>
      </c>
      <c r="K295" s="3">
        <v>1</v>
      </c>
      <c r="L295" s="3">
        <v>0</v>
      </c>
      <c r="M295" s="3">
        <v>0</v>
      </c>
      <c r="N295" s="3" t="s">
        <v>6</v>
      </c>
      <c r="O295" s="3">
        <v>0</v>
      </c>
      <c r="P295" s="3">
        <v>0</v>
      </c>
      <c r="Q295" s="3">
        <v>1</v>
      </c>
      <c r="R295" s="3">
        <v>1</v>
      </c>
      <c r="S295" s="3">
        <v>0</v>
      </c>
      <c r="T295" s="3">
        <v>0</v>
      </c>
      <c r="U295" s="3">
        <v>0</v>
      </c>
      <c r="V295" s="3">
        <v>0</v>
      </c>
      <c r="W295" s="3" t="s">
        <v>6</v>
      </c>
      <c r="X295" s="3">
        <v>0</v>
      </c>
      <c r="Y295" s="3">
        <v>0</v>
      </c>
      <c r="Z295" s="3">
        <v>0</v>
      </c>
      <c r="AA295" s="3">
        <v>0</v>
      </c>
      <c r="AB295" s="3">
        <v>0</v>
      </c>
      <c r="AC295" s="3">
        <v>0</v>
      </c>
      <c r="AD295" s="3">
        <v>0</v>
      </c>
      <c r="AE295" s="3">
        <v>0</v>
      </c>
      <c r="AF295" s="3">
        <v>0</v>
      </c>
      <c r="AG295" s="3">
        <v>0</v>
      </c>
      <c r="AH295" s="3" t="s">
        <v>775</v>
      </c>
      <c r="AI295" s="3" t="s">
        <v>81</v>
      </c>
      <c r="AK295" s="3" t="s">
        <v>707</v>
      </c>
    </row>
    <row r="296" spans="1:39" x14ac:dyDescent="0.25">
      <c r="A296" t="s">
        <v>1114</v>
      </c>
      <c r="B296" s="7">
        <v>45498</v>
      </c>
      <c r="C296" s="7" t="s">
        <v>844</v>
      </c>
      <c r="D296" s="3" t="s">
        <v>6</v>
      </c>
      <c r="E296" s="3" t="s">
        <v>516</v>
      </c>
      <c r="F296" s="3" t="s">
        <v>23</v>
      </c>
      <c r="G296" s="3" t="s">
        <v>23</v>
      </c>
      <c r="H296" s="9">
        <v>37.560016954305503</v>
      </c>
      <c r="I296" s="9">
        <v>-1.2912916741603899</v>
      </c>
      <c r="J296" s="3">
        <v>1</v>
      </c>
      <c r="K296" s="3">
        <v>1</v>
      </c>
      <c r="L296" s="3">
        <v>0</v>
      </c>
      <c r="M296" s="3">
        <v>0</v>
      </c>
      <c r="N296" s="3" t="s">
        <v>66</v>
      </c>
      <c r="O296" s="3">
        <v>0</v>
      </c>
      <c r="P296" s="3">
        <v>1</v>
      </c>
      <c r="Q296" s="3">
        <v>0</v>
      </c>
      <c r="R296" s="3">
        <v>1</v>
      </c>
      <c r="S296" s="3">
        <v>0</v>
      </c>
      <c r="T296" s="3">
        <v>0</v>
      </c>
      <c r="U296" s="3">
        <v>0</v>
      </c>
      <c r="V296" s="3">
        <v>0</v>
      </c>
      <c r="W296" s="3" t="s">
        <v>6</v>
      </c>
      <c r="X296" s="3">
        <v>0</v>
      </c>
      <c r="Y296" s="3">
        <v>0</v>
      </c>
      <c r="Z296" s="3">
        <v>0</v>
      </c>
      <c r="AA296" s="3">
        <v>0</v>
      </c>
      <c r="AB296" s="3">
        <v>0</v>
      </c>
      <c r="AC296" s="3">
        <v>0</v>
      </c>
      <c r="AD296" s="3">
        <v>0</v>
      </c>
      <c r="AE296" s="3">
        <v>0</v>
      </c>
      <c r="AF296" s="3">
        <v>0</v>
      </c>
      <c r="AG296" s="3">
        <v>0</v>
      </c>
      <c r="AH296" s="3" t="s">
        <v>17</v>
      </c>
      <c r="AI296" s="3" t="s">
        <v>781</v>
      </c>
      <c r="AK296" s="3" t="s">
        <v>515</v>
      </c>
      <c r="AL296" s="3" t="s">
        <v>249</v>
      </c>
    </row>
    <row r="297" spans="1:39" x14ac:dyDescent="0.25">
      <c r="A297" t="s">
        <v>1250</v>
      </c>
      <c r="B297" s="7">
        <v>45498</v>
      </c>
      <c r="C297" s="7" t="s">
        <v>844</v>
      </c>
      <c r="D297" s="4">
        <v>0.34375</v>
      </c>
      <c r="E297" s="3" t="s">
        <v>137</v>
      </c>
      <c r="F297" s="3" t="s">
        <v>78</v>
      </c>
      <c r="G297" s="3" t="s">
        <v>19</v>
      </c>
      <c r="H297" s="9">
        <v>40.093420614610103</v>
      </c>
      <c r="I297" s="9">
        <v>0.148048879069416</v>
      </c>
      <c r="J297" s="3">
        <v>1</v>
      </c>
      <c r="K297" s="3">
        <v>1</v>
      </c>
      <c r="L297" s="3">
        <v>0</v>
      </c>
      <c r="M297" s="3">
        <v>0</v>
      </c>
      <c r="N297" s="3" t="s">
        <v>66</v>
      </c>
      <c r="O297" s="3">
        <v>0</v>
      </c>
      <c r="P297" s="3">
        <v>0</v>
      </c>
      <c r="Q297" s="3">
        <v>1</v>
      </c>
      <c r="R297" s="3">
        <v>1</v>
      </c>
      <c r="S297" s="3">
        <v>0</v>
      </c>
      <c r="T297" s="3">
        <v>0</v>
      </c>
      <c r="U297" s="3">
        <v>0</v>
      </c>
      <c r="V297" s="3">
        <v>0</v>
      </c>
      <c r="W297" s="3" t="s">
        <v>6</v>
      </c>
      <c r="X297" s="3">
        <v>0</v>
      </c>
      <c r="Y297" s="3">
        <v>0</v>
      </c>
      <c r="Z297" s="3">
        <v>0</v>
      </c>
      <c r="AA297" s="3">
        <v>0</v>
      </c>
      <c r="AB297" s="3">
        <v>0</v>
      </c>
      <c r="AC297" s="3">
        <v>0</v>
      </c>
      <c r="AD297" s="3">
        <v>0</v>
      </c>
      <c r="AE297" s="3">
        <v>0</v>
      </c>
      <c r="AF297" s="3">
        <v>0</v>
      </c>
      <c r="AG297" s="3">
        <v>0</v>
      </c>
      <c r="AH297" s="3" t="s">
        <v>775</v>
      </c>
      <c r="AI297" s="3" t="s">
        <v>759</v>
      </c>
      <c r="AK297" s="3" t="s">
        <v>762</v>
      </c>
    </row>
    <row r="298" spans="1:39" x14ac:dyDescent="0.25">
      <c r="A298" t="s">
        <v>1106</v>
      </c>
      <c r="B298" s="7">
        <v>45499</v>
      </c>
      <c r="C298" s="7" t="s">
        <v>844</v>
      </c>
      <c r="D298" s="3" t="s">
        <v>6</v>
      </c>
      <c r="E298" s="3" t="s">
        <v>328</v>
      </c>
      <c r="F298" s="3" t="s">
        <v>23</v>
      </c>
      <c r="G298" s="3" t="s">
        <v>23</v>
      </c>
      <c r="H298" s="9">
        <v>37.505897987182799</v>
      </c>
      <c r="I298" s="9">
        <v>-1.3985022881009701</v>
      </c>
      <c r="J298" s="3">
        <v>1</v>
      </c>
      <c r="K298" s="3">
        <v>1</v>
      </c>
      <c r="L298" s="3">
        <v>0</v>
      </c>
      <c r="M298" s="3">
        <v>0</v>
      </c>
      <c r="N298" s="3" t="s">
        <v>16</v>
      </c>
      <c r="O298" s="3">
        <v>0</v>
      </c>
      <c r="P298" s="3">
        <v>1</v>
      </c>
      <c r="Q298" s="3">
        <v>0</v>
      </c>
      <c r="R298" s="3">
        <v>1</v>
      </c>
      <c r="S298" s="3">
        <v>0</v>
      </c>
      <c r="T298" s="3">
        <v>0</v>
      </c>
      <c r="U298" s="3">
        <v>0</v>
      </c>
      <c r="V298" s="3">
        <v>0</v>
      </c>
      <c r="W298" s="3" t="s">
        <v>6</v>
      </c>
      <c r="X298" s="3">
        <v>1</v>
      </c>
      <c r="Y298" s="3">
        <v>0</v>
      </c>
      <c r="Z298" s="3">
        <v>0</v>
      </c>
      <c r="AA298" s="3">
        <v>1</v>
      </c>
      <c r="AB298" s="3">
        <v>0</v>
      </c>
      <c r="AC298" s="3">
        <v>0</v>
      </c>
      <c r="AD298" s="3">
        <v>0</v>
      </c>
      <c r="AE298" s="3">
        <v>0</v>
      </c>
      <c r="AF298" s="3">
        <v>0</v>
      </c>
      <c r="AG298" s="3">
        <v>0</v>
      </c>
      <c r="AH298" s="3" t="s">
        <v>17</v>
      </c>
      <c r="AI298" s="3" t="s">
        <v>776</v>
      </c>
      <c r="AK298" s="3" t="s">
        <v>501</v>
      </c>
      <c r="AL298" s="3" t="s">
        <v>463</v>
      </c>
    </row>
    <row r="299" spans="1:39" x14ac:dyDescent="0.25">
      <c r="A299" t="s">
        <v>1214</v>
      </c>
      <c r="B299" s="7">
        <v>45499</v>
      </c>
      <c r="C299" s="7" t="s">
        <v>844</v>
      </c>
      <c r="D299" s="3" t="s">
        <v>6</v>
      </c>
      <c r="E299" s="3" t="s">
        <v>128</v>
      </c>
      <c r="F299" s="3" t="s">
        <v>23</v>
      </c>
      <c r="G299" s="3" t="s">
        <v>23</v>
      </c>
      <c r="H299" s="9">
        <v>37.556577499086004</v>
      </c>
      <c r="I299" s="9">
        <v>-0.96710258860355103</v>
      </c>
      <c r="J299" s="3">
        <v>1</v>
      </c>
      <c r="K299" s="3">
        <v>1</v>
      </c>
      <c r="L299" s="3">
        <v>0</v>
      </c>
      <c r="M299" s="3">
        <v>0</v>
      </c>
      <c r="N299" s="3" t="s">
        <v>16</v>
      </c>
      <c r="O299" s="3">
        <v>1</v>
      </c>
      <c r="P299" s="3">
        <v>0</v>
      </c>
      <c r="Q299" s="3">
        <v>0</v>
      </c>
      <c r="R299" s="3">
        <v>1</v>
      </c>
      <c r="S299" s="3">
        <v>0</v>
      </c>
      <c r="T299" s="3">
        <v>0</v>
      </c>
      <c r="U299" s="3">
        <v>0</v>
      </c>
      <c r="V299" s="3">
        <v>0</v>
      </c>
      <c r="W299" s="3" t="s">
        <v>6</v>
      </c>
      <c r="X299" s="3">
        <v>0</v>
      </c>
      <c r="Y299" s="3">
        <v>0</v>
      </c>
      <c r="Z299" s="3">
        <v>0</v>
      </c>
      <c r="AA299" s="3">
        <v>0</v>
      </c>
      <c r="AB299" s="3">
        <v>0</v>
      </c>
      <c r="AC299" s="3">
        <v>0</v>
      </c>
      <c r="AD299" s="3">
        <v>0</v>
      </c>
      <c r="AE299" s="3">
        <v>0</v>
      </c>
      <c r="AF299" s="3">
        <v>0</v>
      </c>
      <c r="AG299" s="3">
        <v>0</v>
      </c>
      <c r="AH299" s="3" t="s">
        <v>775</v>
      </c>
      <c r="AI299" s="3" t="s">
        <v>81</v>
      </c>
      <c r="AK299" s="3" t="s">
        <v>708</v>
      </c>
    </row>
    <row r="300" spans="1:39" x14ac:dyDescent="0.25">
      <c r="A300" t="s">
        <v>1251</v>
      </c>
      <c r="B300" s="7">
        <v>45501</v>
      </c>
      <c r="C300" s="7" t="s">
        <v>844</v>
      </c>
      <c r="D300" s="4">
        <v>0.65555555555555556</v>
      </c>
      <c r="E300" s="3" t="s">
        <v>660</v>
      </c>
      <c r="F300" s="3" t="s">
        <v>8</v>
      </c>
      <c r="G300" s="3" t="s">
        <v>8</v>
      </c>
      <c r="H300" s="9">
        <v>39.853399681415198</v>
      </c>
      <c r="I300" s="9">
        <v>2.8044320374032701</v>
      </c>
      <c r="J300" s="3">
        <v>1</v>
      </c>
      <c r="K300" s="3">
        <v>1</v>
      </c>
      <c r="L300" s="3">
        <v>0</v>
      </c>
      <c r="M300" s="3">
        <v>0</v>
      </c>
      <c r="N300" s="3" t="s">
        <v>66</v>
      </c>
      <c r="O300" s="3">
        <v>0</v>
      </c>
      <c r="P300" s="3">
        <v>1</v>
      </c>
      <c r="Q300" s="3">
        <v>0</v>
      </c>
      <c r="R300" s="3">
        <v>1</v>
      </c>
      <c r="S300" s="3">
        <v>0</v>
      </c>
      <c r="T300" s="3">
        <v>0</v>
      </c>
      <c r="U300" s="3">
        <v>0</v>
      </c>
      <c r="V300" s="3">
        <v>0</v>
      </c>
      <c r="W300" s="3" t="s">
        <v>6</v>
      </c>
      <c r="X300" s="3">
        <v>0</v>
      </c>
      <c r="Y300" s="3">
        <v>0</v>
      </c>
      <c r="Z300" s="3">
        <v>0</v>
      </c>
      <c r="AA300" s="3">
        <v>0</v>
      </c>
      <c r="AB300" s="3">
        <v>0</v>
      </c>
      <c r="AC300" s="3">
        <v>0</v>
      </c>
      <c r="AD300" s="3">
        <v>0</v>
      </c>
      <c r="AE300" s="3">
        <v>0</v>
      </c>
      <c r="AF300" s="3">
        <v>0</v>
      </c>
      <c r="AG300" s="3">
        <v>0</v>
      </c>
      <c r="AH300" s="3" t="s">
        <v>775</v>
      </c>
      <c r="AI300" s="3" t="s">
        <v>759</v>
      </c>
      <c r="AK300" s="3" t="s">
        <v>763</v>
      </c>
    </row>
    <row r="301" spans="1:39" x14ac:dyDescent="0.25">
      <c r="A301" t="s">
        <v>1048</v>
      </c>
      <c r="B301" s="7">
        <v>45502</v>
      </c>
      <c r="C301" s="7" t="s">
        <v>844</v>
      </c>
      <c r="D301" s="3" t="s">
        <v>6</v>
      </c>
      <c r="E301" s="3" t="s">
        <v>54</v>
      </c>
      <c r="F301" s="3" t="s">
        <v>54</v>
      </c>
      <c r="G301" s="3" t="s">
        <v>21</v>
      </c>
      <c r="H301" s="9">
        <v>36.612088902084203</v>
      </c>
      <c r="I301" s="9">
        <v>-4.3371198628652303</v>
      </c>
      <c r="J301" s="3">
        <v>1</v>
      </c>
      <c r="K301" s="3">
        <v>1</v>
      </c>
      <c r="L301" s="3">
        <v>0</v>
      </c>
      <c r="M301" s="3">
        <v>0</v>
      </c>
      <c r="N301" s="3" t="s">
        <v>6</v>
      </c>
      <c r="O301" s="3">
        <v>0</v>
      </c>
      <c r="P301" s="3">
        <v>0</v>
      </c>
      <c r="Q301" s="3">
        <v>1</v>
      </c>
      <c r="R301" s="3">
        <v>0</v>
      </c>
      <c r="S301" s="3">
        <v>0</v>
      </c>
      <c r="T301" s="3">
        <v>0</v>
      </c>
      <c r="U301" s="3">
        <v>0</v>
      </c>
      <c r="V301" s="3">
        <v>1</v>
      </c>
      <c r="W301" s="3" t="s">
        <v>6</v>
      </c>
      <c r="X301" s="3">
        <v>0</v>
      </c>
      <c r="Y301" s="3">
        <v>0</v>
      </c>
      <c r="Z301" s="3">
        <v>0</v>
      </c>
      <c r="AA301" s="3">
        <v>0</v>
      </c>
      <c r="AB301" s="3">
        <v>0</v>
      </c>
      <c r="AC301" s="3">
        <v>0</v>
      </c>
      <c r="AD301" s="3">
        <v>0</v>
      </c>
      <c r="AE301" s="3">
        <v>0</v>
      </c>
      <c r="AF301" s="3">
        <v>0</v>
      </c>
      <c r="AG301" s="3">
        <v>0</v>
      </c>
      <c r="AH301" s="3" t="s">
        <v>17</v>
      </c>
      <c r="AI301" s="3" t="s">
        <v>777</v>
      </c>
      <c r="AK301" s="3" t="s">
        <v>403</v>
      </c>
      <c r="AL301" s="3" t="s">
        <v>316</v>
      </c>
    </row>
    <row r="302" spans="1:39" x14ac:dyDescent="0.25">
      <c r="A302" t="s">
        <v>1269</v>
      </c>
      <c r="B302" s="7">
        <v>45503</v>
      </c>
      <c r="C302" s="7" t="s">
        <v>844</v>
      </c>
      <c r="D302" s="3" t="s">
        <v>6</v>
      </c>
      <c r="F302" s="3" t="s">
        <v>23</v>
      </c>
      <c r="G302" s="3" t="s">
        <v>23</v>
      </c>
      <c r="J302" s="3">
        <v>1</v>
      </c>
      <c r="K302" s="3">
        <v>1</v>
      </c>
      <c r="L302" s="3">
        <v>0</v>
      </c>
      <c r="M302" s="3">
        <v>0</v>
      </c>
      <c r="N302" s="3" t="s">
        <v>66</v>
      </c>
      <c r="O302" s="3">
        <v>0</v>
      </c>
      <c r="P302" s="3">
        <v>1</v>
      </c>
      <c r="Q302" s="3">
        <v>0</v>
      </c>
      <c r="R302" s="3">
        <v>1</v>
      </c>
      <c r="S302" s="3">
        <v>0</v>
      </c>
      <c r="T302" s="3">
        <v>0</v>
      </c>
      <c r="U302" s="3">
        <v>0</v>
      </c>
      <c r="V302" s="3">
        <v>0</v>
      </c>
      <c r="W302" s="3" t="s">
        <v>6</v>
      </c>
      <c r="X302" s="3">
        <v>0</v>
      </c>
      <c r="Y302" s="3">
        <v>0</v>
      </c>
      <c r="Z302" s="3">
        <v>0</v>
      </c>
      <c r="AA302" s="3">
        <v>0</v>
      </c>
      <c r="AB302" s="3">
        <v>0</v>
      </c>
      <c r="AC302" s="3">
        <v>0</v>
      </c>
      <c r="AD302" s="3">
        <v>0</v>
      </c>
      <c r="AE302" s="3">
        <v>0</v>
      </c>
      <c r="AF302" s="3">
        <v>0</v>
      </c>
      <c r="AG302" s="3">
        <v>0</v>
      </c>
      <c r="AH302" s="3" t="s">
        <v>17</v>
      </c>
      <c r="AI302" s="3" t="s">
        <v>781</v>
      </c>
      <c r="AK302" s="3" t="s">
        <v>820</v>
      </c>
      <c r="AL302" s="3" t="s">
        <v>821</v>
      </c>
    </row>
    <row r="303" spans="1:39" x14ac:dyDescent="0.25">
      <c r="A303" t="s">
        <v>1227</v>
      </c>
      <c r="B303" s="7">
        <v>45504</v>
      </c>
      <c r="C303" s="7" t="s">
        <v>844</v>
      </c>
      <c r="D303" s="3" t="s">
        <v>6</v>
      </c>
      <c r="E303" s="3" t="s">
        <v>381</v>
      </c>
      <c r="F303" s="3" t="s">
        <v>24</v>
      </c>
      <c r="G303" s="3" t="s">
        <v>20</v>
      </c>
      <c r="H303" s="9">
        <v>41.416555816168803</v>
      </c>
      <c r="I303" s="9">
        <v>2.2318697451304801</v>
      </c>
      <c r="J303" s="3">
        <v>1</v>
      </c>
      <c r="K303" s="3">
        <v>1</v>
      </c>
      <c r="L303" s="3">
        <v>0</v>
      </c>
      <c r="M303" s="3">
        <v>0</v>
      </c>
      <c r="N303" s="3" t="s">
        <v>66</v>
      </c>
      <c r="O303" s="3">
        <v>0</v>
      </c>
      <c r="P303" s="3">
        <v>1</v>
      </c>
      <c r="Q303" s="3">
        <v>0</v>
      </c>
      <c r="R303" s="3">
        <v>1</v>
      </c>
      <c r="S303" s="3">
        <v>0</v>
      </c>
      <c r="T303" s="3">
        <v>0</v>
      </c>
      <c r="U303" s="3">
        <v>0</v>
      </c>
      <c r="V303" s="3">
        <v>0</v>
      </c>
      <c r="W303" s="3" t="s">
        <v>6</v>
      </c>
      <c r="X303" s="3">
        <v>0</v>
      </c>
      <c r="Y303" s="3">
        <v>0</v>
      </c>
      <c r="Z303" s="3">
        <v>0</v>
      </c>
      <c r="AA303" s="3">
        <v>0</v>
      </c>
      <c r="AB303" s="3">
        <v>0</v>
      </c>
      <c r="AC303" s="3">
        <v>0</v>
      </c>
      <c r="AD303" s="3">
        <v>0</v>
      </c>
      <c r="AE303" s="3">
        <v>0</v>
      </c>
      <c r="AF303" s="3">
        <v>0</v>
      </c>
      <c r="AG303" s="3">
        <v>0</v>
      </c>
      <c r="AH303" s="3" t="s">
        <v>17</v>
      </c>
      <c r="AI303" s="3" t="s">
        <v>776</v>
      </c>
      <c r="AK303" s="3" t="s">
        <v>725</v>
      </c>
    </row>
    <row r="304" spans="1:39" x14ac:dyDescent="0.25">
      <c r="A304" t="s">
        <v>1003</v>
      </c>
      <c r="B304" s="7">
        <v>45505</v>
      </c>
      <c r="C304" s="7" t="s">
        <v>844</v>
      </c>
      <c r="D304" s="3" t="s">
        <v>6</v>
      </c>
      <c r="E304" s="3" t="s">
        <v>327</v>
      </c>
      <c r="F304" s="3" t="s">
        <v>23</v>
      </c>
      <c r="G304" s="3" t="s">
        <v>23</v>
      </c>
      <c r="H304" s="9">
        <v>37.428475132263998</v>
      </c>
      <c r="I304" s="9">
        <v>-1.43685518744964</v>
      </c>
      <c r="J304" s="3">
        <v>1</v>
      </c>
      <c r="K304" s="3">
        <v>1</v>
      </c>
      <c r="L304" s="3">
        <v>0</v>
      </c>
      <c r="M304" s="3">
        <v>0</v>
      </c>
      <c r="N304" s="3" t="s">
        <v>16</v>
      </c>
      <c r="O304" s="3">
        <v>0</v>
      </c>
      <c r="P304" s="3">
        <v>1</v>
      </c>
      <c r="Q304" s="3">
        <v>0</v>
      </c>
      <c r="R304" s="3">
        <v>1</v>
      </c>
      <c r="S304" s="3">
        <v>0</v>
      </c>
      <c r="T304" s="3">
        <v>0</v>
      </c>
      <c r="U304" s="3">
        <v>0</v>
      </c>
      <c r="V304" s="3">
        <v>0</v>
      </c>
      <c r="W304" s="3" t="s">
        <v>6</v>
      </c>
      <c r="X304" s="3">
        <v>0</v>
      </c>
      <c r="Y304" s="3">
        <v>0</v>
      </c>
      <c r="Z304" s="3">
        <v>0</v>
      </c>
      <c r="AA304" s="3">
        <v>0</v>
      </c>
      <c r="AB304" s="3">
        <v>0</v>
      </c>
      <c r="AC304" s="3">
        <v>0</v>
      </c>
      <c r="AD304" s="3">
        <v>0</v>
      </c>
      <c r="AE304" s="3">
        <v>0</v>
      </c>
      <c r="AF304" s="3">
        <v>0</v>
      </c>
      <c r="AG304" s="3">
        <v>0</v>
      </c>
      <c r="AH304" s="3" t="s">
        <v>775</v>
      </c>
      <c r="AI304" s="3" t="s">
        <v>81</v>
      </c>
      <c r="AK304" s="3" t="s">
        <v>326</v>
      </c>
    </row>
    <row r="305" spans="1:39" x14ac:dyDescent="0.25">
      <c r="A305" t="s">
        <v>1033</v>
      </c>
      <c r="B305" s="7">
        <v>45505</v>
      </c>
      <c r="C305" s="7" t="s">
        <v>844</v>
      </c>
      <c r="D305" s="3" t="s">
        <v>6</v>
      </c>
      <c r="E305" s="3" t="s">
        <v>377</v>
      </c>
      <c r="F305" s="3" t="s">
        <v>25</v>
      </c>
      <c r="G305" s="3" t="s">
        <v>19</v>
      </c>
      <c r="H305" s="9">
        <v>38.534696447545997</v>
      </c>
      <c r="I305" s="9">
        <v>-0.11774566766151</v>
      </c>
      <c r="J305" s="3">
        <v>1</v>
      </c>
      <c r="K305" s="3">
        <v>1</v>
      </c>
      <c r="L305" s="3">
        <v>0</v>
      </c>
      <c r="M305" s="3">
        <v>0</v>
      </c>
      <c r="N305" s="3" t="s">
        <v>6</v>
      </c>
      <c r="O305" s="3">
        <v>0</v>
      </c>
      <c r="P305" s="3">
        <v>0</v>
      </c>
      <c r="Q305" s="3">
        <v>1</v>
      </c>
      <c r="R305" s="3">
        <v>0</v>
      </c>
      <c r="S305" s="3">
        <v>0</v>
      </c>
      <c r="T305" s="3">
        <v>0</v>
      </c>
      <c r="U305" s="3">
        <v>0</v>
      </c>
      <c r="V305" s="3">
        <v>1</v>
      </c>
      <c r="W305" s="3" t="s">
        <v>6</v>
      </c>
      <c r="X305" s="3">
        <v>0</v>
      </c>
      <c r="Y305" s="3">
        <v>0</v>
      </c>
      <c r="Z305" s="3">
        <v>0</v>
      </c>
      <c r="AA305" s="3">
        <v>0</v>
      </c>
      <c r="AB305" s="3">
        <v>0</v>
      </c>
      <c r="AC305" s="3">
        <v>0</v>
      </c>
      <c r="AD305" s="3">
        <v>0</v>
      </c>
      <c r="AE305" s="3">
        <v>0</v>
      </c>
      <c r="AF305" s="3">
        <v>0</v>
      </c>
      <c r="AG305" s="3">
        <v>0</v>
      </c>
      <c r="AH305" s="3" t="s">
        <v>17</v>
      </c>
      <c r="AI305" s="3" t="s">
        <v>781</v>
      </c>
      <c r="AK305" s="3" t="s">
        <v>378</v>
      </c>
    </row>
    <row r="306" spans="1:39" x14ac:dyDescent="0.25">
      <c r="A306" t="s">
        <v>1035</v>
      </c>
      <c r="B306" s="7">
        <v>45505</v>
      </c>
      <c r="C306" s="7" t="s">
        <v>844</v>
      </c>
      <c r="D306" s="3" t="s">
        <v>6</v>
      </c>
      <c r="E306" s="3" t="s">
        <v>381</v>
      </c>
      <c r="F306" s="3" t="s">
        <v>24</v>
      </c>
      <c r="G306" s="3" t="s">
        <v>20</v>
      </c>
      <c r="H306" s="9">
        <v>41.416555816168803</v>
      </c>
      <c r="I306" s="9">
        <v>2.2318697451304801</v>
      </c>
      <c r="J306" s="3">
        <v>1</v>
      </c>
      <c r="K306" s="3">
        <v>1</v>
      </c>
      <c r="L306" s="3">
        <v>0</v>
      </c>
      <c r="M306" s="3">
        <v>0</v>
      </c>
      <c r="N306" s="3" t="s">
        <v>66</v>
      </c>
      <c r="O306" s="3">
        <v>0</v>
      </c>
      <c r="P306" s="3">
        <v>1</v>
      </c>
      <c r="Q306" s="3">
        <v>0</v>
      </c>
      <c r="R306" s="3">
        <v>1</v>
      </c>
      <c r="S306" s="3">
        <v>0</v>
      </c>
      <c r="T306" s="3">
        <v>0</v>
      </c>
      <c r="U306" s="3">
        <v>0</v>
      </c>
      <c r="V306" s="3">
        <v>0</v>
      </c>
      <c r="W306" s="3" t="s">
        <v>6</v>
      </c>
      <c r="X306" s="3">
        <v>0</v>
      </c>
      <c r="Y306" s="3">
        <v>0</v>
      </c>
      <c r="Z306" s="3">
        <v>0</v>
      </c>
      <c r="AA306" s="3">
        <v>0</v>
      </c>
      <c r="AB306" s="3">
        <v>0</v>
      </c>
      <c r="AC306" s="3">
        <v>0</v>
      </c>
      <c r="AD306" s="3">
        <v>0</v>
      </c>
      <c r="AE306" s="3">
        <v>0</v>
      </c>
      <c r="AF306" s="3">
        <v>0</v>
      </c>
      <c r="AG306" s="3">
        <v>0</v>
      </c>
      <c r="AH306" s="3" t="s">
        <v>17</v>
      </c>
      <c r="AI306" s="3" t="s">
        <v>781</v>
      </c>
      <c r="AK306" s="3" t="s">
        <v>382</v>
      </c>
    </row>
    <row r="307" spans="1:39" x14ac:dyDescent="0.25">
      <c r="A307" t="s">
        <v>1141</v>
      </c>
      <c r="B307" s="7">
        <v>45505</v>
      </c>
      <c r="C307" s="7" t="s">
        <v>844</v>
      </c>
      <c r="D307" s="4">
        <v>0.33333333333333331</v>
      </c>
      <c r="E307" s="3" t="s">
        <v>405</v>
      </c>
      <c r="F307" s="3" t="s">
        <v>24</v>
      </c>
      <c r="G307" s="3" t="s">
        <v>20</v>
      </c>
      <c r="H307" s="9">
        <v>41.454660455716201</v>
      </c>
      <c r="I307" s="9">
        <v>2.2606209429900002</v>
      </c>
      <c r="J307" s="3">
        <v>1</v>
      </c>
      <c r="K307" s="3">
        <v>1</v>
      </c>
      <c r="L307" s="3">
        <v>0</v>
      </c>
      <c r="M307" s="3">
        <v>0</v>
      </c>
      <c r="N307" s="3" t="s">
        <v>16</v>
      </c>
      <c r="O307" s="3">
        <v>0</v>
      </c>
      <c r="P307" s="3">
        <v>1</v>
      </c>
      <c r="Q307" s="3">
        <v>0</v>
      </c>
      <c r="R307" s="3">
        <v>1</v>
      </c>
      <c r="S307" s="3">
        <v>0</v>
      </c>
      <c r="T307" s="3">
        <v>0</v>
      </c>
      <c r="U307" s="3">
        <v>0</v>
      </c>
      <c r="V307" s="3">
        <v>0</v>
      </c>
      <c r="W307" s="3" t="s">
        <v>6</v>
      </c>
      <c r="X307" s="3">
        <v>0</v>
      </c>
      <c r="Y307" s="3">
        <v>0</v>
      </c>
      <c r="Z307" s="3">
        <v>0</v>
      </c>
      <c r="AA307" s="3">
        <v>0</v>
      </c>
      <c r="AB307" s="3">
        <v>0</v>
      </c>
      <c r="AC307" s="3">
        <v>0</v>
      </c>
      <c r="AD307" s="3">
        <v>0</v>
      </c>
      <c r="AE307" s="3">
        <v>0</v>
      </c>
      <c r="AF307" s="3">
        <v>0</v>
      </c>
      <c r="AG307" s="3">
        <v>0</v>
      </c>
      <c r="AH307" s="3" t="s">
        <v>17</v>
      </c>
      <c r="AI307" s="3" t="s">
        <v>780</v>
      </c>
      <c r="AK307" s="3" t="s">
        <v>629</v>
      </c>
    </row>
    <row r="308" spans="1:39" x14ac:dyDescent="0.25">
      <c r="A308" t="s">
        <v>1053</v>
      </c>
      <c r="B308" s="7">
        <v>45506</v>
      </c>
      <c r="C308" s="7" t="s">
        <v>844</v>
      </c>
      <c r="D308" s="3" t="s">
        <v>6</v>
      </c>
      <c r="E308" s="3" t="s">
        <v>392</v>
      </c>
      <c r="F308" s="3" t="s">
        <v>23</v>
      </c>
      <c r="G308" s="3" t="s">
        <v>23</v>
      </c>
      <c r="H308" s="9">
        <v>37.656959176704198</v>
      </c>
      <c r="I308" s="9">
        <v>-0.72498888888332702</v>
      </c>
      <c r="J308" s="3">
        <v>1</v>
      </c>
      <c r="K308" s="3">
        <v>1</v>
      </c>
      <c r="L308" s="3">
        <v>0</v>
      </c>
      <c r="M308" s="3">
        <v>0</v>
      </c>
      <c r="N308" s="3" t="s">
        <v>16</v>
      </c>
      <c r="O308" s="3">
        <v>0</v>
      </c>
      <c r="P308" s="3">
        <v>0</v>
      </c>
      <c r="Q308" s="3">
        <v>1</v>
      </c>
      <c r="R308" s="3">
        <v>0</v>
      </c>
      <c r="S308" s="3">
        <v>0</v>
      </c>
      <c r="T308" s="3">
        <v>0</v>
      </c>
      <c r="U308" s="3">
        <v>0</v>
      </c>
      <c r="V308" s="3">
        <v>1</v>
      </c>
      <c r="W308" s="3" t="s">
        <v>6</v>
      </c>
      <c r="X308" s="3">
        <v>0</v>
      </c>
      <c r="Y308" s="3">
        <v>0</v>
      </c>
      <c r="Z308" s="3">
        <v>0</v>
      </c>
      <c r="AA308" s="3">
        <v>0</v>
      </c>
      <c r="AB308" s="3">
        <v>0</v>
      </c>
      <c r="AC308" s="3">
        <v>0</v>
      </c>
      <c r="AD308" s="3">
        <v>0</v>
      </c>
      <c r="AE308" s="3">
        <v>0</v>
      </c>
      <c r="AF308" s="3">
        <v>0</v>
      </c>
      <c r="AG308" s="3">
        <v>0</v>
      </c>
      <c r="AH308" s="3" t="s">
        <v>17</v>
      </c>
      <c r="AI308" s="3" t="s">
        <v>778</v>
      </c>
      <c r="AK308" s="3" t="s">
        <v>412</v>
      </c>
    </row>
    <row r="309" spans="1:39" x14ac:dyDescent="0.25">
      <c r="A309" t="s">
        <v>1307</v>
      </c>
      <c r="B309" s="7">
        <v>45506</v>
      </c>
      <c r="C309" s="7" t="s">
        <v>844</v>
      </c>
      <c r="D309" s="3" t="s">
        <v>6</v>
      </c>
      <c r="E309" s="3" t="s">
        <v>904</v>
      </c>
      <c r="F309" s="3" t="s">
        <v>47</v>
      </c>
      <c r="G309" s="3" t="s">
        <v>21</v>
      </c>
      <c r="H309" s="9">
        <v>36.936780651395402</v>
      </c>
      <c r="I309" s="9">
        <v>-1.93374610683052</v>
      </c>
      <c r="J309" s="3">
        <v>1</v>
      </c>
      <c r="K309" s="3">
        <v>1</v>
      </c>
      <c r="L309" s="3">
        <v>0</v>
      </c>
      <c r="M309" s="3">
        <v>0</v>
      </c>
      <c r="N309" s="3" t="s">
        <v>66</v>
      </c>
      <c r="O309" s="3">
        <v>0</v>
      </c>
      <c r="P309" s="3">
        <v>1</v>
      </c>
      <c r="Q309" s="3">
        <v>0</v>
      </c>
      <c r="R309" s="3">
        <v>1</v>
      </c>
      <c r="S309" s="3">
        <v>0</v>
      </c>
      <c r="T309" s="3">
        <v>0</v>
      </c>
      <c r="U309" s="3">
        <v>0</v>
      </c>
      <c r="V309" s="3">
        <v>0</v>
      </c>
      <c r="W309" s="3" t="s">
        <v>6</v>
      </c>
      <c r="X309" s="3">
        <v>0</v>
      </c>
      <c r="Y309" s="3">
        <v>0</v>
      </c>
      <c r="Z309" s="3">
        <v>0</v>
      </c>
      <c r="AA309" s="3">
        <v>0</v>
      </c>
      <c r="AB309" s="3">
        <v>0</v>
      </c>
      <c r="AC309" s="3">
        <v>0</v>
      </c>
      <c r="AD309" s="3">
        <v>0</v>
      </c>
      <c r="AE309" s="3">
        <v>0</v>
      </c>
      <c r="AF309" s="3">
        <v>0</v>
      </c>
      <c r="AG309" s="3">
        <v>0</v>
      </c>
      <c r="AH309" s="3" t="s">
        <v>17</v>
      </c>
      <c r="AI309" s="3" t="s">
        <v>776</v>
      </c>
      <c r="AK309" s="3" t="s">
        <v>905</v>
      </c>
    </row>
    <row r="310" spans="1:39" x14ac:dyDescent="0.25">
      <c r="A310" t="s">
        <v>997</v>
      </c>
      <c r="B310" s="7">
        <v>45508</v>
      </c>
      <c r="C310" s="7" t="s">
        <v>844</v>
      </c>
      <c r="D310" s="3" t="s">
        <v>6</v>
      </c>
      <c r="E310" s="3" t="s">
        <v>86</v>
      </c>
      <c r="F310" s="3" t="s">
        <v>57</v>
      </c>
      <c r="G310" s="3" t="s">
        <v>21</v>
      </c>
      <c r="H310" s="9">
        <v>36.692729973986197</v>
      </c>
      <c r="I310" s="9">
        <v>-3.5531748468880102</v>
      </c>
      <c r="J310" s="3">
        <v>1</v>
      </c>
      <c r="K310" s="3">
        <v>1</v>
      </c>
      <c r="L310" s="3">
        <v>0</v>
      </c>
      <c r="M310" s="3">
        <v>0</v>
      </c>
      <c r="N310" s="3" t="s">
        <v>16</v>
      </c>
      <c r="O310" s="3">
        <v>0</v>
      </c>
      <c r="P310" s="3">
        <v>0</v>
      </c>
      <c r="Q310" s="3">
        <v>1</v>
      </c>
      <c r="R310" s="3">
        <v>0</v>
      </c>
      <c r="S310" s="3">
        <v>0</v>
      </c>
      <c r="T310" s="3">
        <v>0</v>
      </c>
      <c r="U310" s="3">
        <v>0</v>
      </c>
      <c r="V310" s="3">
        <v>1</v>
      </c>
      <c r="W310" s="3" t="s">
        <v>6</v>
      </c>
      <c r="X310" s="3">
        <v>0</v>
      </c>
      <c r="Y310" s="3">
        <v>0</v>
      </c>
      <c r="Z310" s="3">
        <v>0</v>
      </c>
      <c r="AA310" s="3">
        <v>0</v>
      </c>
      <c r="AB310" s="3">
        <v>0</v>
      </c>
      <c r="AC310" s="3">
        <v>0</v>
      </c>
      <c r="AD310" s="3">
        <v>0</v>
      </c>
      <c r="AE310" s="3">
        <v>0</v>
      </c>
      <c r="AF310" s="3">
        <v>0</v>
      </c>
      <c r="AG310" s="3">
        <v>0</v>
      </c>
      <c r="AH310" s="3" t="s">
        <v>775</v>
      </c>
      <c r="AI310" s="3" t="s">
        <v>81</v>
      </c>
      <c r="AK310" s="3" t="s">
        <v>317</v>
      </c>
      <c r="AL310" s="3" t="s">
        <v>316</v>
      </c>
    </row>
    <row r="311" spans="1:39" x14ac:dyDescent="0.25">
      <c r="A311" t="s">
        <v>1015</v>
      </c>
      <c r="B311" s="7">
        <v>45510</v>
      </c>
      <c r="C311" s="7" t="s">
        <v>844</v>
      </c>
      <c r="D311" s="3" t="s">
        <v>6</v>
      </c>
      <c r="E311" s="3" t="s">
        <v>134</v>
      </c>
      <c r="F311" s="3" t="s">
        <v>8</v>
      </c>
      <c r="G311" s="3" t="s">
        <v>8</v>
      </c>
      <c r="H311" s="9">
        <v>39.756839377886003</v>
      </c>
      <c r="I311" s="9">
        <v>3.97507876787079</v>
      </c>
      <c r="J311" s="3">
        <v>1</v>
      </c>
      <c r="K311" s="3">
        <v>1</v>
      </c>
      <c r="L311" s="3">
        <v>0</v>
      </c>
      <c r="M311" s="3">
        <v>0</v>
      </c>
      <c r="N311" s="3" t="s">
        <v>6</v>
      </c>
      <c r="O311" s="3">
        <v>0</v>
      </c>
      <c r="P311" s="3">
        <v>0</v>
      </c>
      <c r="Q311" s="3">
        <v>1</v>
      </c>
      <c r="R311" s="3">
        <v>0</v>
      </c>
      <c r="S311" s="3">
        <v>0</v>
      </c>
      <c r="T311" s="3">
        <v>0</v>
      </c>
      <c r="U311" s="3">
        <v>0</v>
      </c>
      <c r="V311" s="3">
        <v>1</v>
      </c>
      <c r="W311" s="3" t="s">
        <v>6</v>
      </c>
      <c r="X311" s="3">
        <v>0</v>
      </c>
      <c r="Y311" s="3">
        <v>0</v>
      </c>
      <c r="Z311" s="3">
        <v>0</v>
      </c>
      <c r="AA311" s="3">
        <v>0</v>
      </c>
      <c r="AB311" s="3">
        <v>0</v>
      </c>
      <c r="AC311" s="3">
        <v>0</v>
      </c>
      <c r="AD311" s="3">
        <v>0</v>
      </c>
      <c r="AE311" s="3">
        <v>0</v>
      </c>
      <c r="AF311" s="3">
        <v>0</v>
      </c>
      <c r="AG311" s="3">
        <v>0</v>
      </c>
      <c r="AH311" s="3" t="s">
        <v>775</v>
      </c>
      <c r="AI311" s="3" t="s">
        <v>81</v>
      </c>
      <c r="AK311" s="3" t="s">
        <v>344</v>
      </c>
    </row>
    <row r="312" spans="1:39" x14ac:dyDescent="0.25">
      <c r="A312" t="s">
        <v>1315</v>
      </c>
      <c r="B312" s="7">
        <v>45511</v>
      </c>
      <c r="C312" s="7" t="s">
        <v>844</v>
      </c>
      <c r="D312" s="68">
        <v>0.46319444444444446</v>
      </c>
      <c r="E312" s="3" t="s">
        <v>284</v>
      </c>
      <c r="F312" s="3" t="s">
        <v>25</v>
      </c>
      <c r="G312" s="3" t="s">
        <v>19</v>
      </c>
      <c r="H312" s="9">
        <v>38.664443352017699</v>
      </c>
      <c r="I312" s="9">
        <v>0.16454547980540901</v>
      </c>
      <c r="J312" s="3">
        <v>1</v>
      </c>
      <c r="K312" s="3">
        <v>1</v>
      </c>
      <c r="L312" s="3">
        <v>0</v>
      </c>
      <c r="M312" s="3">
        <v>0</v>
      </c>
      <c r="N312" s="3" t="s">
        <v>66</v>
      </c>
      <c r="O312" s="3">
        <v>0</v>
      </c>
      <c r="P312" s="3">
        <v>1</v>
      </c>
      <c r="Q312" s="3">
        <v>0</v>
      </c>
      <c r="R312" s="3">
        <v>1</v>
      </c>
      <c r="S312" s="3">
        <v>0</v>
      </c>
      <c r="T312" s="3">
        <v>0</v>
      </c>
      <c r="U312" s="3">
        <v>0</v>
      </c>
      <c r="V312" s="3">
        <v>0</v>
      </c>
      <c r="W312" s="3" t="s">
        <v>6</v>
      </c>
      <c r="X312" s="3">
        <v>0</v>
      </c>
      <c r="Y312" s="3">
        <v>0</v>
      </c>
      <c r="Z312" s="3">
        <v>0</v>
      </c>
      <c r="AA312" s="3">
        <v>0</v>
      </c>
      <c r="AB312" s="3">
        <v>0</v>
      </c>
      <c r="AC312" s="3">
        <v>0</v>
      </c>
      <c r="AD312" s="3">
        <v>0</v>
      </c>
      <c r="AE312" s="3">
        <v>0</v>
      </c>
      <c r="AF312" s="3">
        <v>0</v>
      </c>
      <c r="AG312" s="3">
        <v>0</v>
      </c>
      <c r="AH312" s="3" t="s">
        <v>775</v>
      </c>
      <c r="AI312" s="3" t="s">
        <v>80</v>
      </c>
      <c r="AK312" t="s">
        <v>262</v>
      </c>
      <c r="AL312" s="3" t="s">
        <v>283</v>
      </c>
      <c r="AM312" t="s">
        <v>22</v>
      </c>
    </row>
    <row r="313" spans="1:39" x14ac:dyDescent="0.25">
      <c r="A313" t="s">
        <v>1221</v>
      </c>
      <c r="B313" s="7">
        <v>45511</v>
      </c>
      <c r="C313" s="7" t="s">
        <v>844</v>
      </c>
      <c r="D313" s="3" t="s">
        <v>6</v>
      </c>
      <c r="E313" s="3" t="s">
        <v>718</v>
      </c>
      <c r="F313" s="3" t="s">
        <v>47</v>
      </c>
      <c r="G313" s="3" t="s">
        <v>21</v>
      </c>
      <c r="H313" s="9">
        <v>36.737271386669697</v>
      </c>
      <c r="I313" s="9">
        <v>-2.20761084791646</v>
      </c>
      <c r="J313" s="3">
        <v>1</v>
      </c>
      <c r="K313" s="3">
        <v>1</v>
      </c>
      <c r="L313" s="3">
        <v>0</v>
      </c>
      <c r="M313" s="3">
        <v>0</v>
      </c>
      <c r="N313" s="3" t="s">
        <v>6</v>
      </c>
      <c r="O313" s="3">
        <v>0</v>
      </c>
      <c r="P313" s="3">
        <v>0</v>
      </c>
      <c r="Q313" s="3">
        <v>1</v>
      </c>
      <c r="R313" s="3">
        <v>1</v>
      </c>
      <c r="S313" s="3">
        <v>0</v>
      </c>
      <c r="T313" s="3">
        <v>0</v>
      </c>
      <c r="U313" s="3">
        <v>0</v>
      </c>
      <c r="V313" s="3">
        <v>0</v>
      </c>
      <c r="W313" s="3" t="s">
        <v>6</v>
      </c>
      <c r="X313" s="3">
        <v>0</v>
      </c>
      <c r="Y313" s="3">
        <v>0</v>
      </c>
      <c r="Z313" s="3">
        <v>0</v>
      </c>
      <c r="AA313" s="3">
        <v>0</v>
      </c>
      <c r="AB313" s="3">
        <v>0</v>
      </c>
      <c r="AC313" s="3">
        <v>0</v>
      </c>
      <c r="AD313" s="3">
        <v>0</v>
      </c>
      <c r="AE313" s="3">
        <v>0</v>
      </c>
      <c r="AF313" s="3">
        <v>0</v>
      </c>
      <c r="AG313" s="3">
        <v>0</v>
      </c>
      <c r="AH313" s="3" t="s">
        <v>17</v>
      </c>
      <c r="AI313" s="3" t="s">
        <v>781</v>
      </c>
      <c r="AK313" s="3" t="s">
        <v>717</v>
      </c>
      <c r="AL313" s="3" t="s">
        <v>249</v>
      </c>
    </row>
    <row r="314" spans="1:39" x14ac:dyDescent="0.25">
      <c r="A314" t="s">
        <v>1243</v>
      </c>
      <c r="B314" s="7">
        <v>45511</v>
      </c>
      <c r="C314" s="7" t="s">
        <v>844</v>
      </c>
      <c r="D314" s="3" t="s">
        <v>6</v>
      </c>
      <c r="E314" s="3" t="s">
        <v>746</v>
      </c>
      <c r="F314" s="3" t="s">
        <v>23</v>
      </c>
      <c r="G314" s="3" t="s">
        <v>23</v>
      </c>
      <c r="H314" s="9">
        <v>37.538440053267401</v>
      </c>
      <c r="I314" s="9">
        <v>-1.15538160525185</v>
      </c>
      <c r="J314" s="3">
        <v>1</v>
      </c>
      <c r="K314" s="3">
        <v>1</v>
      </c>
      <c r="L314" s="3">
        <v>0</v>
      </c>
      <c r="M314" s="3">
        <v>0</v>
      </c>
      <c r="N314" s="3" t="s">
        <v>66</v>
      </c>
      <c r="O314" s="3">
        <v>0</v>
      </c>
      <c r="P314" s="3">
        <v>1</v>
      </c>
      <c r="Q314" s="3">
        <v>0</v>
      </c>
      <c r="R314" s="3">
        <v>1</v>
      </c>
      <c r="S314" s="3">
        <v>0</v>
      </c>
      <c r="T314" s="3">
        <v>0</v>
      </c>
      <c r="U314" s="3">
        <v>0</v>
      </c>
      <c r="V314" s="3">
        <v>0</v>
      </c>
      <c r="W314" s="3" t="s">
        <v>6</v>
      </c>
      <c r="X314" s="3">
        <v>1</v>
      </c>
      <c r="Y314" s="3">
        <v>0</v>
      </c>
      <c r="Z314" s="3">
        <v>0</v>
      </c>
      <c r="AA314" s="3">
        <v>1</v>
      </c>
      <c r="AB314" s="3">
        <v>0</v>
      </c>
      <c r="AC314" s="3">
        <v>0</v>
      </c>
      <c r="AD314" s="3">
        <v>0</v>
      </c>
      <c r="AE314" s="3">
        <v>0</v>
      </c>
      <c r="AF314" s="3">
        <v>0</v>
      </c>
      <c r="AG314" s="3">
        <v>0</v>
      </c>
      <c r="AH314" s="3" t="s">
        <v>17</v>
      </c>
      <c r="AI314" s="3" t="s">
        <v>776</v>
      </c>
      <c r="AK314" s="3" t="s">
        <v>747</v>
      </c>
      <c r="AL314" s="3" t="s">
        <v>463</v>
      </c>
    </row>
    <row r="315" spans="1:39" x14ac:dyDescent="0.25">
      <c r="A315" t="s">
        <v>1252</v>
      </c>
      <c r="B315" s="7">
        <v>45513</v>
      </c>
      <c r="C315" s="7" t="s">
        <v>844</v>
      </c>
      <c r="D315" s="4">
        <v>0.52083333333333337</v>
      </c>
      <c r="E315" s="3" t="s">
        <v>764</v>
      </c>
      <c r="F315" s="3" t="s">
        <v>8</v>
      </c>
      <c r="G315" s="3" t="s">
        <v>8</v>
      </c>
      <c r="H315" s="9">
        <v>41.131993982674999</v>
      </c>
      <c r="I315" s="9">
        <v>1.3721012851407799</v>
      </c>
      <c r="J315" s="3">
        <v>1</v>
      </c>
      <c r="K315" s="3">
        <v>1</v>
      </c>
      <c r="L315" s="3">
        <v>0</v>
      </c>
      <c r="M315" s="3">
        <v>0</v>
      </c>
      <c r="N315" s="3" t="s">
        <v>6</v>
      </c>
      <c r="O315" s="3">
        <v>0</v>
      </c>
      <c r="P315" s="3">
        <v>1</v>
      </c>
      <c r="Q315" s="3">
        <v>0</v>
      </c>
      <c r="R315" s="3">
        <v>1</v>
      </c>
      <c r="S315" s="3">
        <v>0</v>
      </c>
      <c r="T315" s="3">
        <v>0</v>
      </c>
      <c r="U315" s="3">
        <v>0</v>
      </c>
      <c r="V315" s="3">
        <v>0</v>
      </c>
      <c r="W315" s="3" t="s">
        <v>6</v>
      </c>
      <c r="X315" s="3">
        <v>1</v>
      </c>
      <c r="Y315" s="3">
        <v>0</v>
      </c>
      <c r="Z315" s="3">
        <v>0</v>
      </c>
      <c r="AA315" s="3">
        <v>1</v>
      </c>
      <c r="AB315" s="3">
        <v>0</v>
      </c>
      <c r="AC315" s="3">
        <v>0</v>
      </c>
      <c r="AD315" s="3">
        <v>0</v>
      </c>
      <c r="AE315" s="3">
        <v>0</v>
      </c>
      <c r="AF315" s="3">
        <v>0</v>
      </c>
      <c r="AG315" s="3">
        <v>0</v>
      </c>
      <c r="AH315" s="3" t="s">
        <v>775</v>
      </c>
      <c r="AI315" s="3" t="s">
        <v>759</v>
      </c>
      <c r="AK315" s="3" t="s">
        <v>765</v>
      </c>
      <c r="AL315" s="3" t="s">
        <v>286</v>
      </c>
    </row>
    <row r="316" spans="1:39" x14ac:dyDescent="0.25">
      <c r="A316" t="s">
        <v>1276</v>
      </c>
      <c r="B316" s="7">
        <v>45513</v>
      </c>
      <c r="C316" s="7" t="s">
        <v>844</v>
      </c>
      <c r="D316" s="3" t="s">
        <v>6</v>
      </c>
      <c r="E316" s="3" t="s">
        <v>839</v>
      </c>
      <c r="F316" s="3" t="s">
        <v>8</v>
      </c>
      <c r="G316" s="3" t="s">
        <v>8</v>
      </c>
      <c r="H316" s="9">
        <v>39.888249808660099</v>
      </c>
      <c r="I316" s="9">
        <v>3.1085141534062699</v>
      </c>
      <c r="J316" s="3">
        <v>1</v>
      </c>
      <c r="K316" s="3">
        <v>1</v>
      </c>
      <c r="L316" s="3">
        <v>0</v>
      </c>
      <c r="M316" s="3">
        <v>0</v>
      </c>
      <c r="N316" s="3" t="s">
        <v>66</v>
      </c>
      <c r="O316" s="3">
        <v>0</v>
      </c>
      <c r="P316" s="3">
        <v>1</v>
      </c>
      <c r="Q316" s="3">
        <v>0</v>
      </c>
      <c r="R316" s="3">
        <v>1</v>
      </c>
      <c r="S316" s="3">
        <v>0</v>
      </c>
      <c r="T316" s="3">
        <v>0</v>
      </c>
      <c r="U316" s="3">
        <v>0</v>
      </c>
      <c r="V316" s="3">
        <v>0</v>
      </c>
      <c r="W316" s="3" t="s">
        <v>6</v>
      </c>
      <c r="X316" s="3">
        <v>1</v>
      </c>
      <c r="Y316" s="3">
        <v>0</v>
      </c>
      <c r="Z316" s="3">
        <v>0</v>
      </c>
      <c r="AA316" s="3">
        <v>1</v>
      </c>
      <c r="AB316" s="3">
        <v>0</v>
      </c>
      <c r="AC316" s="3">
        <v>0</v>
      </c>
      <c r="AD316" s="3">
        <v>0</v>
      </c>
      <c r="AE316" s="3">
        <v>0</v>
      </c>
      <c r="AF316" s="3">
        <v>0</v>
      </c>
      <c r="AG316" s="3">
        <v>0</v>
      </c>
      <c r="AH316" s="3" t="s">
        <v>17</v>
      </c>
      <c r="AI316" s="3" t="s">
        <v>781</v>
      </c>
      <c r="AK316" s="3" t="s">
        <v>838</v>
      </c>
      <c r="AL316" s="3" t="s">
        <v>286</v>
      </c>
    </row>
    <row r="317" spans="1:39" x14ac:dyDescent="0.25">
      <c r="A317" t="s">
        <v>1034</v>
      </c>
      <c r="B317" s="7">
        <v>45514</v>
      </c>
      <c r="C317" s="7" t="s">
        <v>844</v>
      </c>
      <c r="D317" s="3" t="s">
        <v>6</v>
      </c>
      <c r="E317" s="3" t="s">
        <v>379</v>
      </c>
      <c r="F317" s="3" t="s">
        <v>23</v>
      </c>
      <c r="G317" s="3" t="s">
        <v>23</v>
      </c>
      <c r="H317" s="9">
        <v>37.642918410037602</v>
      </c>
      <c r="I317" s="9">
        <v>-0.72334560888483901</v>
      </c>
      <c r="J317" s="3">
        <v>1</v>
      </c>
      <c r="K317" s="3">
        <v>1</v>
      </c>
      <c r="L317" s="3">
        <v>0</v>
      </c>
      <c r="M317" s="3">
        <v>0</v>
      </c>
      <c r="N317" s="3" t="s">
        <v>16</v>
      </c>
      <c r="O317" s="3">
        <v>0</v>
      </c>
      <c r="P317" s="3">
        <v>0</v>
      </c>
      <c r="Q317" s="3">
        <v>1</v>
      </c>
      <c r="R317" s="3">
        <v>0</v>
      </c>
      <c r="S317" s="3">
        <v>0</v>
      </c>
      <c r="T317" s="3">
        <v>0</v>
      </c>
      <c r="U317" s="3">
        <v>0</v>
      </c>
      <c r="V317" s="3">
        <v>1</v>
      </c>
      <c r="W317" s="3" t="s">
        <v>6</v>
      </c>
      <c r="X317" s="3">
        <v>0</v>
      </c>
      <c r="Y317" s="3">
        <v>0</v>
      </c>
      <c r="Z317" s="3">
        <v>0</v>
      </c>
      <c r="AA317" s="3">
        <v>0</v>
      </c>
      <c r="AB317" s="3">
        <v>0</v>
      </c>
      <c r="AC317" s="3">
        <v>0</v>
      </c>
      <c r="AD317" s="3">
        <v>0</v>
      </c>
      <c r="AE317" s="3">
        <v>0</v>
      </c>
      <c r="AF317" s="3">
        <v>0</v>
      </c>
      <c r="AG317" s="3">
        <v>0</v>
      </c>
      <c r="AH317" s="3" t="s">
        <v>17</v>
      </c>
      <c r="AI317" s="3" t="s">
        <v>781</v>
      </c>
      <c r="AK317" s="3" t="s">
        <v>380</v>
      </c>
      <c r="AL317" s="3" t="s">
        <v>249</v>
      </c>
    </row>
    <row r="318" spans="1:39" x14ac:dyDescent="0.25">
      <c r="A318" t="s">
        <v>1220</v>
      </c>
      <c r="B318" s="7">
        <v>45514</v>
      </c>
      <c r="C318" s="7" t="s">
        <v>844</v>
      </c>
      <c r="D318" s="3" t="s">
        <v>6</v>
      </c>
      <c r="E318" s="3" t="s">
        <v>715</v>
      </c>
      <c r="F318" s="3" t="s">
        <v>47</v>
      </c>
      <c r="G318" s="3" t="s">
        <v>21</v>
      </c>
      <c r="H318" s="9">
        <v>37.129925778481599</v>
      </c>
      <c r="I318" s="9">
        <v>-1.8285593264052</v>
      </c>
      <c r="J318" s="3">
        <v>1</v>
      </c>
      <c r="K318" s="3">
        <v>1</v>
      </c>
      <c r="L318" s="3">
        <v>0</v>
      </c>
      <c r="M318" s="3">
        <v>0</v>
      </c>
      <c r="N318" s="3" t="s">
        <v>66</v>
      </c>
      <c r="O318" s="3">
        <v>0</v>
      </c>
      <c r="P318" s="3">
        <v>0</v>
      </c>
      <c r="Q318" s="3">
        <v>1</v>
      </c>
      <c r="R318" s="3">
        <v>0</v>
      </c>
      <c r="S318" s="3">
        <v>0</v>
      </c>
      <c r="T318" s="3">
        <v>0</v>
      </c>
      <c r="U318" s="3">
        <v>0</v>
      </c>
      <c r="V318" s="3">
        <v>1</v>
      </c>
      <c r="W318" s="3" t="s">
        <v>6</v>
      </c>
      <c r="X318" s="3">
        <v>0</v>
      </c>
      <c r="Y318" s="3">
        <v>0</v>
      </c>
      <c r="Z318" s="3">
        <v>0</v>
      </c>
      <c r="AA318" s="3">
        <v>0</v>
      </c>
      <c r="AB318" s="3">
        <v>0</v>
      </c>
      <c r="AC318" s="3">
        <v>0</v>
      </c>
      <c r="AD318" s="3">
        <v>0</v>
      </c>
      <c r="AE318" s="3">
        <v>0</v>
      </c>
      <c r="AF318" s="3">
        <v>0</v>
      </c>
      <c r="AG318" s="3">
        <v>0</v>
      </c>
      <c r="AH318" s="3" t="s">
        <v>17</v>
      </c>
      <c r="AI318" s="3" t="s">
        <v>781</v>
      </c>
      <c r="AK318" s="3" t="s">
        <v>716</v>
      </c>
      <c r="AL318" s="3" t="s">
        <v>316</v>
      </c>
    </row>
    <row r="319" spans="1:39" x14ac:dyDescent="0.25">
      <c r="A319" t="s">
        <v>1290</v>
      </c>
      <c r="B319" s="7">
        <v>45514</v>
      </c>
      <c r="C319" s="7" t="s">
        <v>844</v>
      </c>
      <c r="D319" s="3" t="s">
        <v>6</v>
      </c>
      <c r="E319" s="3" t="s">
        <v>92</v>
      </c>
      <c r="F319" s="3" t="s">
        <v>24</v>
      </c>
      <c r="G319" s="3" t="s">
        <v>20</v>
      </c>
      <c r="H319" s="9">
        <v>41.448042452235903</v>
      </c>
      <c r="I319" s="9">
        <v>2.2535277522550801</v>
      </c>
      <c r="J319" s="3">
        <v>1</v>
      </c>
      <c r="K319" s="3">
        <v>1</v>
      </c>
      <c r="L319" s="3">
        <v>0</v>
      </c>
      <c r="M319" s="3">
        <v>0</v>
      </c>
      <c r="N319" s="3" t="s">
        <v>16</v>
      </c>
      <c r="O319" s="3">
        <v>0</v>
      </c>
      <c r="P319" s="3">
        <v>1</v>
      </c>
      <c r="Q319" s="3">
        <v>0</v>
      </c>
      <c r="R319" s="3">
        <v>1</v>
      </c>
      <c r="S319" s="3">
        <v>0</v>
      </c>
      <c r="T319" s="3">
        <v>0</v>
      </c>
      <c r="U319" s="3">
        <v>0</v>
      </c>
      <c r="V319" s="3">
        <v>0</v>
      </c>
      <c r="W319" s="3" t="s">
        <v>6</v>
      </c>
      <c r="X319" s="3">
        <v>0</v>
      </c>
      <c r="Y319" s="3">
        <v>0</v>
      </c>
      <c r="Z319" s="3">
        <v>0</v>
      </c>
      <c r="AA319" s="3">
        <v>0</v>
      </c>
      <c r="AB319" s="3">
        <v>0</v>
      </c>
      <c r="AC319" s="3">
        <v>0</v>
      </c>
      <c r="AD319" s="3">
        <v>0</v>
      </c>
      <c r="AE319" s="3">
        <v>0</v>
      </c>
      <c r="AF319" s="3">
        <v>0</v>
      </c>
      <c r="AG319" s="3">
        <v>0</v>
      </c>
      <c r="AH319" s="3" t="s">
        <v>17</v>
      </c>
      <c r="AI319" s="3" t="s">
        <v>776</v>
      </c>
      <c r="AK319" s="3" t="s">
        <v>869</v>
      </c>
      <c r="AL319" s="3" t="s">
        <v>316</v>
      </c>
    </row>
    <row r="320" spans="1:39" x14ac:dyDescent="0.25">
      <c r="A320" t="s">
        <v>1001</v>
      </c>
      <c r="B320" s="7">
        <v>45515</v>
      </c>
      <c r="C320" s="7" t="s">
        <v>844</v>
      </c>
      <c r="D320" s="3" t="s">
        <v>6</v>
      </c>
      <c r="E320" s="3" t="s">
        <v>323</v>
      </c>
      <c r="F320" s="3" t="s">
        <v>47</v>
      </c>
      <c r="G320" s="3" t="s">
        <v>21</v>
      </c>
      <c r="H320" s="9">
        <v>36.816375668792297</v>
      </c>
      <c r="I320" s="9">
        <v>-2.3067283493124302</v>
      </c>
      <c r="J320" s="3">
        <v>1</v>
      </c>
      <c r="K320" s="3">
        <v>1</v>
      </c>
      <c r="L320" s="3">
        <v>0</v>
      </c>
      <c r="M320" s="3">
        <v>0</v>
      </c>
      <c r="N320" s="3" t="s">
        <v>16</v>
      </c>
      <c r="O320" s="3">
        <v>0</v>
      </c>
      <c r="P320" s="3">
        <v>0</v>
      </c>
      <c r="Q320" s="3">
        <v>1</v>
      </c>
      <c r="R320" s="3">
        <v>1</v>
      </c>
      <c r="S320" s="3">
        <v>0</v>
      </c>
      <c r="T320" s="3">
        <v>0</v>
      </c>
      <c r="U320" s="3">
        <v>0</v>
      </c>
      <c r="V320" s="3">
        <v>0</v>
      </c>
      <c r="W320" s="3" t="s">
        <v>6</v>
      </c>
      <c r="X320" s="3">
        <v>1</v>
      </c>
      <c r="Y320" s="3">
        <v>0</v>
      </c>
      <c r="Z320" s="3">
        <v>0</v>
      </c>
      <c r="AA320" s="3">
        <v>1</v>
      </c>
      <c r="AB320" s="3">
        <v>0</v>
      </c>
      <c r="AC320" s="3">
        <v>0</v>
      </c>
      <c r="AD320" s="3">
        <v>0</v>
      </c>
      <c r="AE320" s="3">
        <v>0</v>
      </c>
      <c r="AF320" s="3">
        <v>0</v>
      </c>
      <c r="AG320" s="3">
        <v>0</v>
      </c>
      <c r="AH320" s="3" t="s">
        <v>775</v>
      </c>
      <c r="AI320" s="3" t="s">
        <v>81</v>
      </c>
      <c r="AK320" s="3" t="s">
        <v>322</v>
      </c>
      <c r="AL320" s="3" t="s">
        <v>303</v>
      </c>
    </row>
    <row r="321" spans="1:39" x14ac:dyDescent="0.25">
      <c r="A321" t="s">
        <v>1281</v>
      </c>
      <c r="B321" s="7">
        <v>45515</v>
      </c>
      <c r="C321" s="7" t="s">
        <v>844</v>
      </c>
      <c r="D321" s="3" t="s">
        <v>6</v>
      </c>
      <c r="E321" s="3" t="s">
        <v>92</v>
      </c>
      <c r="F321" s="3" t="s">
        <v>24</v>
      </c>
      <c r="G321" s="3" t="s">
        <v>20</v>
      </c>
      <c r="H321" s="9">
        <v>41.429857323906397</v>
      </c>
      <c r="I321" s="9">
        <v>2.2395988800271001</v>
      </c>
      <c r="J321" s="3">
        <v>1</v>
      </c>
      <c r="K321" s="3">
        <v>1</v>
      </c>
      <c r="L321" s="3">
        <v>0</v>
      </c>
      <c r="M321" s="3">
        <v>0</v>
      </c>
      <c r="N321" s="3" t="s">
        <v>66</v>
      </c>
      <c r="O321" s="3">
        <v>0</v>
      </c>
      <c r="P321" s="3">
        <v>0</v>
      </c>
      <c r="Q321" s="3">
        <v>1</v>
      </c>
      <c r="R321" s="3">
        <v>1</v>
      </c>
      <c r="S321" s="3">
        <v>0</v>
      </c>
      <c r="T321" s="3">
        <v>0</v>
      </c>
      <c r="U321" s="3">
        <v>0</v>
      </c>
      <c r="V321" s="3">
        <v>0</v>
      </c>
      <c r="W321" s="3" t="s">
        <v>6</v>
      </c>
      <c r="X321" s="3">
        <v>0</v>
      </c>
      <c r="Y321" s="3">
        <v>0</v>
      </c>
      <c r="Z321" s="3">
        <v>0</v>
      </c>
      <c r="AA321" s="3">
        <v>0</v>
      </c>
      <c r="AB321" s="3">
        <v>0</v>
      </c>
      <c r="AC321" s="3">
        <v>0</v>
      </c>
      <c r="AD321" s="3">
        <v>0</v>
      </c>
      <c r="AE321" s="3">
        <v>0</v>
      </c>
      <c r="AF321" s="3">
        <v>0</v>
      </c>
      <c r="AG321" s="3">
        <v>0</v>
      </c>
      <c r="AH321" s="3" t="s">
        <v>17</v>
      </c>
      <c r="AI321" s="3" t="s">
        <v>781</v>
      </c>
      <c r="AK321" s="3" t="s">
        <v>851</v>
      </c>
      <c r="AL321" s="3" t="s">
        <v>316</v>
      </c>
    </row>
    <row r="322" spans="1:39" x14ac:dyDescent="0.25">
      <c r="A322" t="s">
        <v>1317</v>
      </c>
      <c r="B322" s="7">
        <v>45516</v>
      </c>
      <c r="C322" s="7" t="s">
        <v>844</v>
      </c>
      <c r="D322" s="68">
        <v>0.58680555555555558</v>
      </c>
      <c r="E322" s="3" t="s">
        <v>45</v>
      </c>
      <c r="F322" s="3" t="s">
        <v>24</v>
      </c>
      <c r="G322" s="3" t="s">
        <v>20</v>
      </c>
      <c r="H322" s="9">
        <v>41.507573000000001</v>
      </c>
      <c r="I322" s="9">
        <v>2.41472</v>
      </c>
      <c r="J322" s="3">
        <v>1</v>
      </c>
      <c r="K322" s="3">
        <v>1</v>
      </c>
      <c r="L322" s="3">
        <v>0</v>
      </c>
      <c r="M322" s="3">
        <v>0</v>
      </c>
      <c r="N322" s="3" t="s">
        <v>66</v>
      </c>
      <c r="O322" s="3">
        <v>0</v>
      </c>
      <c r="P322" s="3">
        <v>1</v>
      </c>
      <c r="Q322" s="3">
        <v>0</v>
      </c>
      <c r="R322" s="3">
        <v>0</v>
      </c>
      <c r="S322" s="3">
        <v>0</v>
      </c>
      <c r="T322" s="3">
        <v>0</v>
      </c>
      <c r="U322" s="3">
        <v>0</v>
      </c>
      <c r="V322" s="3">
        <v>1</v>
      </c>
      <c r="W322" s="3" t="s">
        <v>6</v>
      </c>
      <c r="X322" s="3">
        <v>1</v>
      </c>
      <c r="Y322" s="3">
        <v>0</v>
      </c>
      <c r="Z322" s="3">
        <v>0</v>
      </c>
      <c r="AA322" s="3">
        <v>1</v>
      </c>
      <c r="AB322" s="3">
        <v>0</v>
      </c>
      <c r="AC322" s="3">
        <v>0</v>
      </c>
      <c r="AD322" s="3">
        <v>0</v>
      </c>
      <c r="AE322" s="3">
        <v>0</v>
      </c>
      <c r="AF322" s="3">
        <v>0</v>
      </c>
      <c r="AG322" s="3">
        <v>0</v>
      </c>
      <c r="AH322" s="3" t="s">
        <v>775</v>
      </c>
      <c r="AI322" s="3" t="s">
        <v>80</v>
      </c>
      <c r="AK322" t="s">
        <v>264</v>
      </c>
      <c r="AL322" s="3" t="s">
        <v>286</v>
      </c>
      <c r="AM322" t="s">
        <v>22</v>
      </c>
    </row>
    <row r="323" spans="1:39" x14ac:dyDescent="0.25">
      <c r="A323" t="s">
        <v>1316</v>
      </c>
      <c r="B323" s="7">
        <v>45517</v>
      </c>
      <c r="C323" s="7" t="s">
        <v>844</v>
      </c>
      <c r="D323" s="68">
        <v>0.59791666666666665</v>
      </c>
      <c r="E323" s="3" t="s">
        <v>44</v>
      </c>
      <c r="F323" s="3" t="s">
        <v>24</v>
      </c>
      <c r="G323" s="3" t="s">
        <v>20</v>
      </c>
      <c r="H323" s="9">
        <v>41.259323000000002</v>
      </c>
      <c r="I323" s="9">
        <v>1.925179</v>
      </c>
      <c r="J323" s="3">
        <v>1</v>
      </c>
      <c r="K323" s="3">
        <v>1</v>
      </c>
      <c r="L323" s="3">
        <v>0</v>
      </c>
      <c r="M323" s="3">
        <v>0</v>
      </c>
      <c r="N323" s="3" t="s">
        <v>66</v>
      </c>
      <c r="O323" s="3">
        <v>0</v>
      </c>
      <c r="P323" s="3">
        <v>1</v>
      </c>
      <c r="Q323" s="3">
        <v>0</v>
      </c>
      <c r="R323" s="3">
        <v>1</v>
      </c>
      <c r="S323" s="3">
        <v>0</v>
      </c>
      <c r="T323" s="3">
        <v>0</v>
      </c>
      <c r="U323" s="3">
        <v>0</v>
      </c>
      <c r="V323" s="3">
        <v>0</v>
      </c>
      <c r="W323" s="3" t="s">
        <v>6</v>
      </c>
      <c r="X323" s="3">
        <v>0</v>
      </c>
      <c r="Y323" s="3">
        <v>0</v>
      </c>
      <c r="Z323" s="3">
        <v>0</v>
      </c>
      <c r="AA323" s="3">
        <v>0</v>
      </c>
      <c r="AB323" s="3">
        <v>0</v>
      </c>
      <c r="AC323" s="3">
        <v>0</v>
      </c>
      <c r="AD323" s="3">
        <v>0</v>
      </c>
      <c r="AE323" s="3">
        <v>0</v>
      </c>
      <c r="AF323" s="3">
        <v>0</v>
      </c>
      <c r="AG323" s="3">
        <v>0</v>
      </c>
      <c r="AH323" s="3" t="s">
        <v>775</v>
      </c>
      <c r="AI323" s="3" t="s">
        <v>80</v>
      </c>
      <c r="AK323" t="s">
        <v>263</v>
      </c>
      <c r="AL323" s="3" t="s">
        <v>285</v>
      </c>
      <c r="AM323" t="s">
        <v>22</v>
      </c>
    </row>
    <row r="324" spans="1:39" x14ac:dyDescent="0.25">
      <c r="A324" t="s">
        <v>1038</v>
      </c>
      <c r="B324" s="7">
        <v>45517</v>
      </c>
      <c r="C324" s="7" t="s">
        <v>844</v>
      </c>
      <c r="D324" s="3" t="s">
        <v>6</v>
      </c>
      <c r="E324" s="3" t="s">
        <v>136</v>
      </c>
      <c r="F324" s="3" t="s">
        <v>25</v>
      </c>
      <c r="G324" s="3" t="s">
        <v>19</v>
      </c>
      <c r="H324" s="9">
        <v>38.797873085812199</v>
      </c>
      <c r="I324" s="9">
        <v>0.20350006270763299</v>
      </c>
      <c r="J324" s="3">
        <v>1</v>
      </c>
      <c r="K324" s="3">
        <v>1</v>
      </c>
      <c r="L324" s="3">
        <v>0</v>
      </c>
      <c r="M324" s="3">
        <v>0</v>
      </c>
      <c r="N324" s="3" t="s">
        <v>66</v>
      </c>
      <c r="O324" s="3">
        <v>0</v>
      </c>
      <c r="P324" s="3">
        <v>1</v>
      </c>
      <c r="Q324" s="3">
        <v>0</v>
      </c>
      <c r="R324" s="3">
        <v>1</v>
      </c>
      <c r="S324" s="3">
        <v>0</v>
      </c>
      <c r="T324" s="3">
        <v>0</v>
      </c>
      <c r="U324" s="3">
        <v>0</v>
      </c>
      <c r="V324" s="3">
        <v>0</v>
      </c>
      <c r="W324" s="3" t="s">
        <v>6</v>
      </c>
      <c r="X324" s="3">
        <v>0</v>
      </c>
      <c r="Y324" s="3">
        <v>0</v>
      </c>
      <c r="Z324" s="3">
        <v>0</v>
      </c>
      <c r="AA324" s="3">
        <v>0</v>
      </c>
      <c r="AB324" s="3">
        <v>0</v>
      </c>
      <c r="AC324" s="3">
        <v>0</v>
      </c>
      <c r="AD324" s="3">
        <v>0</v>
      </c>
      <c r="AE324" s="3">
        <v>0</v>
      </c>
      <c r="AF324" s="3">
        <v>0</v>
      </c>
      <c r="AG324" s="3">
        <v>0</v>
      </c>
      <c r="AH324" s="3" t="s">
        <v>17</v>
      </c>
      <c r="AI324" s="3" t="s">
        <v>781</v>
      </c>
      <c r="AK324" s="3" t="s">
        <v>386</v>
      </c>
    </row>
    <row r="325" spans="1:39" x14ac:dyDescent="0.25">
      <c r="A325" t="s">
        <v>1253</v>
      </c>
      <c r="B325" s="7">
        <v>45519</v>
      </c>
      <c r="C325" s="7" t="s">
        <v>844</v>
      </c>
      <c r="D325" s="4">
        <v>0.48055555555555557</v>
      </c>
      <c r="E325" s="3" t="s">
        <v>86</v>
      </c>
      <c r="F325" s="3" t="s">
        <v>57</v>
      </c>
      <c r="G325" s="3" t="s">
        <v>21</v>
      </c>
      <c r="H325" s="9">
        <v>36.722035454736201</v>
      </c>
      <c r="I325" s="9">
        <v>-3.5345673776231998</v>
      </c>
      <c r="J325" s="3">
        <v>1</v>
      </c>
      <c r="K325" s="3">
        <v>0</v>
      </c>
      <c r="L325" s="3">
        <v>1</v>
      </c>
      <c r="M325" s="3">
        <v>0</v>
      </c>
      <c r="N325" s="3" t="s">
        <v>16</v>
      </c>
      <c r="O325" s="3">
        <v>0</v>
      </c>
      <c r="P325" s="3">
        <v>0</v>
      </c>
      <c r="Q325" s="3">
        <v>1</v>
      </c>
      <c r="R325" s="3">
        <v>0</v>
      </c>
      <c r="S325" s="3">
        <v>0</v>
      </c>
      <c r="T325" s="3">
        <v>0</v>
      </c>
      <c r="U325" s="3">
        <v>1</v>
      </c>
      <c r="V325" s="3">
        <v>0</v>
      </c>
      <c r="W325" s="3" t="s">
        <v>6</v>
      </c>
      <c r="X325" s="3">
        <v>1</v>
      </c>
      <c r="Y325" s="3">
        <v>0</v>
      </c>
      <c r="Z325" s="3">
        <v>0</v>
      </c>
      <c r="AA325" s="3">
        <v>0</v>
      </c>
      <c r="AB325" s="3">
        <v>1</v>
      </c>
      <c r="AC325" s="3">
        <v>0</v>
      </c>
      <c r="AD325" s="3">
        <v>0</v>
      </c>
      <c r="AE325" s="3">
        <v>1</v>
      </c>
      <c r="AF325" s="3">
        <v>0</v>
      </c>
      <c r="AG325" s="3">
        <v>1</v>
      </c>
      <c r="AH325" s="3" t="s">
        <v>775</v>
      </c>
      <c r="AI325" s="3" t="s">
        <v>759</v>
      </c>
      <c r="AK325" s="3" t="s">
        <v>766</v>
      </c>
      <c r="AL325" s="3" t="s">
        <v>767</v>
      </c>
    </row>
    <row r="326" spans="1:39" x14ac:dyDescent="0.25">
      <c r="A326" t="s">
        <v>1042</v>
      </c>
      <c r="B326" s="7">
        <v>45526</v>
      </c>
      <c r="C326" s="7" t="s">
        <v>844</v>
      </c>
      <c r="D326" s="3" t="s">
        <v>6</v>
      </c>
      <c r="E326" s="3" t="s">
        <v>392</v>
      </c>
      <c r="F326" s="3" t="s">
        <v>23</v>
      </c>
      <c r="G326" s="3" t="s">
        <v>23</v>
      </c>
      <c r="H326" s="9">
        <v>37.662458438653402</v>
      </c>
      <c r="I326" s="9">
        <v>-0.71155329565101999</v>
      </c>
      <c r="J326" s="3">
        <v>1</v>
      </c>
      <c r="K326" s="3">
        <v>1</v>
      </c>
      <c r="L326" s="3">
        <v>0</v>
      </c>
      <c r="M326" s="3">
        <v>0</v>
      </c>
      <c r="N326" s="3" t="s">
        <v>16</v>
      </c>
      <c r="O326" s="3">
        <v>0</v>
      </c>
      <c r="P326" s="3">
        <v>0</v>
      </c>
      <c r="Q326" s="3">
        <v>1</v>
      </c>
      <c r="R326" s="3">
        <v>1</v>
      </c>
      <c r="S326" s="3">
        <v>0</v>
      </c>
      <c r="T326" s="3">
        <v>0</v>
      </c>
      <c r="U326" s="3">
        <v>0</v>
      </c>
      <c r="V326" s="3">
        <v>0</v>
      </c>
      <c r="W326" s="3" t="s">
        <v>6</v>
      </c>
      <c r="X326" s="3">
        <v>0</v>
      </c>
      <c r="Y326" s="3">
        <v>0</v>
      </c>
      <c r="Z326" s="3">
        <v>0</v>
      </c>
      <c r="AA326" s="3">
        <v>0</v>
      </c>
      <c r="AB326" s="3">
        <v>0</v>
      </c>
      <c r="AC326" s="3">
        <v>0</v>
      </c>
      <c r="AD326" s="3">
        <v>0</v>
      </c>
      <c r="AE326" s="3">
        <v>0</v>
      </c>
      <c r="AF326" s="3">
        <v>0</v>
      </c>
      <c r="AG326" s="3">
        <v>0</v>
      </c>
      <c r="AH326" s="3" t="s">
        <v>17</v>
      </c>
      <c r="AI326" s="3" t="s">
        <v>777</v>
      </c>
      <c r="AK326" s="3" t="s">
        <v>393</v>
      </c>
    </row>
    <row r="327" spans="1:39" x14ac:dyDescent="0.25">
      <c r="A327" t="s">
        <v>1016</v>
      </c>
      <c r="B327" s="7">
        <v>45527</v>
      </c>
      <c r="C327" s="7" t="s">
        <v>844</v>
      </c>
      <c r="D327" s="3" t="s">
        <v>6</v>
      </c>
      <c r="E327" s="3" t="s">
        <v>134</v>
      </c>
      <c r="F327" s="3" t="s">
        <v>8</v>
      </c>
      <c r="G327" s="3" t="s">
        <v>8</v>
      </c>
      <c r="H327" s="9">
        <v>40.127931768005801</v>
      </c>
      <c r="I327" s="9">
        <v>3.8286394235082502</v>
      </c>
      <c r="J327" s="3">
        <v>1</v>
      </c>
      <c r="K327" s="3">
        <v>1</v>
      </c>
      <c r="L327" s="3">
        <v>0</v>
      </c>
      <c r="M327" s="3">
        <v>0</v>
      </c>
      <c r="N327" s="3" t="s">
        <v>6</v>
      </c>
      <c r="O327" s="3">
        <v>0</v>
      </c>
      <c r="P327" s="3">
        <v>0</v>
      </c>
      <c r="Q327" s="3">
        <v>1</v>
      </c>
      <c r="R327" s="3">
        <v>0</v>
      </c>
      <c r="S327" s="3">
        <v>0</v>
      </c>
      <c r="T327" s="3">
        <v>0</v>
      </c>
      <c r="U327" s="3">
        <v>0</v>
      </c>
      <c r="V327" s="3">
        <v>1</v>
      </c>
      <c r="W327" s="3" t="s">
        <v>6</v>
      </c>
      <c r="X327" s="3">
        <v>0</v>
      </c>
      <c r="Y327" s="3">
        <v>0</v>
      </c>
      <c r="Z327" s="3">
        <v>0</v>
      </c>
      <c r="AA327" s="3">
        <v>0</v>
      </c>
      <c r="AB327" s="3">
        <v>0</v>
      </c>
      <c r="AC327" s="3">
        <v>0</v>
      </c>
      <c r="AD327" s="3">
        <v>0</v>
      </c>
      <c r="AE327" s="3">
        <v>0</v>
      </c>
      <c r="AF327" s="3">
        <v>0</v>
      </c>
      <c r="AG327" s="3">
        <v>0</v>
      </c>
      <c r="AH327" s="3" t="s">
        <v>775</v>
      </c>
      <c r="AI327" s="3" t="s">
        <v>81</v>
      </c>
      <c r="AK327" s="3" t="s">
        <v>345</v>
      </c>
    </row>
    <row r="328" spans="1:39" x14ac:dyDescent="0.25">
      <c r="A328" t="s">
        <v>1097</v>
      </c>
      <c r="B328" s="7">
        <v>45531</v>
      </c>
      <c r="C328" s="7" t="s">
        <v>844</v>
      </c>
      <c r="D328" s="3" t="s">
        <v>6</v>
      </c>
      <c r="E328" s="3" t="s">
        <v>89</v>
      </c>
      <c r="F328" s="3" t="s">
        <v>47</v>
      </c>
      <c r="G328" s="3" t="s">
        <v>21</v>
      </c>
      <c r="H328" s="9">
        <v>36.7423353454585</v>
      </c>
      <c r="I328" s="9">
        <v>-2.1078587253399101</v>
      </c>
      <c r="J328" s="3">
        <v>1</v>
      </c>
      <c r="K328" s="3">
        <v>1</v>
      </c>
      <c r="L328" s="3">
        <v>0</v>
      </c>
      <c r="M328" s="3">
        <v>0</v>
      </c>
      <c r="N328" s="3" t="s">
        <v>16</v>
      </c>
      <c r="O328" s="3">
        <v>0</v>
      </c>
      <c r="P328" s="3">
        <v>1</v>
      </c>
      <c r="Q328" s="3">
        <v>0</v>
      </c>
      <c r="R328" s="3">
        <v>1</v>
      </c>
      <c r="S328" s="3">
        <v>0</v>
      </c>
      <c r="T328" s="3">
        <v>0</v>
      </c>
      <c r="U328" s="3">
        <v>0</v>
      </c>
      <c r="V328" s="3">
        <v>0</v>
      </c>
      <c r="W328" s="3" t="s">
        <v>6</v>
      </c>
      <c r="X328" s="3">
        <v>1</v>
      </c>
      <c r="Y328" s="3">
        <v>0</v>
      </c>
      <c r="Z328" s="3">
        <v>0</v>
      </c>
      <c r="AA328" s="3">
        <v>1</v>
      </c>
      <c r="AB328" s="3">
        <v>0</v>
      </c>
      <c r="AC328" s="3">
        <v>0</v>
      </c>
      <c r="AD328" s="3">
        <v>0</v>
      </c>
      <c r="AE328" s="3">
        <v>0</v>
      </c>
      <c r="AF328" s="3">
        <v>0</v>
      </c>
      <c r="AG328" s="3">
        <v>0</v>
      </c>
      <c r="AH328" s="3" t="s">
        <v>17</v>
      </c>
      <c r="AI328" s="3" t="s">
        <v>776</v>
      </c>
      <c r="AK328" s="3" t="s">
        <v>490</v>
      </c>
      <c r="AL328" s="3" t="s">
        <v>463</v>
      </c>
    </row>
    <row r="329" spans="1:39" x14ac:dyDescent="0.25">
      <c r="A329" t="s">
        <v>1098</v>
      </c>
      <c r="B329" s="7">
        <v>45534</v>
      </c>
      <c r="C329" s="7" t="s">
        <v>844</v>
      </c>
      <c r="D329" s="3" t="s">
        <v>6</v>
      </c>
      <c r="E329" s="3" t="s">
        <v>491</v>
      </c>
      <c r="F329" s="3" t="s">
        <v>59</v>
      </c>
      <c r="G329" s="3" t="s">
        <v>20</v>
      </c>
      <c r="H329" s="9">
        <v>42.3073259104806</v>
      </c>
      <c r="I329" s="9">
        <v>3.3210662146379701</v>
      </c>
      <c r="J329" s="3">
        <v>1</v>
      </c>
      <c r="K329" s="3">
        <v>1</v>
      </c>
      <c r="L329" s="3">
        <v>0</v>
      </c>
      <c r="M329" s="3">
        <v>0</v>
      </c>
      <c r="N329" s="3" t="s">
        <v>16</v>
      </c>
      <c r="O329" s="3">
        <v>0</v>
      </c>
      <c r="P329" s="3">
        <v>1</v>
      </c>
      <c r="Q329" s="3">
        <v>0</v>
      </c>
      <c r="R329" s="3">
        <v>1</v>
      </c>
      <c r="S329" s="3">
        <v>0</v>
      </c>
      <c r="T329" s="3">
        <v>0</v>
      </c>
      <c r="U329" s="3">
        <v>0</v>
      </c>
      <c r="V329" s="3">
        <v>0</v>
      </c>
      <c r="W329" s="3" t="s">
        <v>6</v>
      </c>
      <c r="X329" s="3">
        <v>1</v>
      </c>
      <c r="Y329" s="3">
        <v>0</v>
      </c>
      <c r="Z329" s="3">
        <v>0</v>
      </c>
      <c r="AA329" s="3">
        <v>1</v>
      </c>
      <c r="AB329" s="3">
        <v>0</v>
      </c>
      <c r="AC329" s="3">
        <v>0</v>
      </c>
      <c r="AD329" s="3">
        <v>0</v>
      </c>
      <c r="AE329" s="3">
        <v>0</v>
      </c>
      <c r="AF329" s="3">
        <v>0</v>
      </c>
      <c r="AG329" s="3">
        <v>0</v>
      </c>
      <c r="AH329" s="3" t="s">
        <v>17</v>
      </c>
      <c r="AI329" s="3" t="s">
        <v>776</v>
      </c>
      <c r="AK329" s="3" t="s">
        <v>492</v>
      </c>
      <c r="AL329" s="3" t="s">
        <v>463</v>
      </c>
    </row>
    <row r="330" spans="1:39" x14ac:dyDescent="0.25">
      <c r="A330" t="s">
        <v>1254</v>
      </c>
      <c r="B330" s="7">
        <v>45534</v>
      </c>
      <c r="C330" s="7" t="s">
        <v>844</v>
      </c>
      <c r="D330" s="4">
        <v>0.65763888888888888</v>
      </c>
      <c r="E330" s="3" t="s">
        <v>130</v>
      </c>
      <c r="F330" s="3" t="s">
        <v>59</v>
      </c>
      <c r="G330" s="3" t="s">
        <v>20</v>
      </c>
      <c r="H330" s="9">
        <v>42.337429410749998</v>
      </c>
      <c r="I330" s="9">
        <v>3.2755654234548199</v>
      </c>
      <c r="J330" s="3">
        <v>1</v>
      </c>
      <c r="K330" s="3">
        <v>1</v>
      </c>
      <c r="L330" s="3">
        <v>0</v>
      </c>
      <c r="M330" s="3">
        <v>0</v>
      </c>
      <c r="N330" s="3" t="s">
        <v>16</v>
      </c>
      <c r="O330" s="3">
        <v>0</v>
      </c>
      <c r="P330" s="3">
        <v>1</v>
      </c>
      <c r="Q330" s="3">
        <v>0</v>
      </c>
      <c r="R330" s="3">
        <v>1</v>
      </c>
      <c r="S330" s="3">
        <v>0</v>
      </c>
      <c r="T330" s="3">
        <v>0</v>
      </c>
      <c r="U330" s="3">
        <v>0</v>
      </c>
      <c r="V330" s="3">
        <v>0</v>
      </c>
      <c r="W330" s="3" t="s">
        <v>6</v>
      </c>
      <c r="X330" s="3">
        <v>1</v>
      </c>
      <c r="Y330" s="3">
        <v>0</v>
      </c>
      <c r="Z330" s="3">
        <v>0</v>
      </c>
      <c r="AA330" s="3">
        <v>1</v>
      </c>
      <c r="AB330" s="3">
        <v>0</v>
      </c>
      <c r="AC330" s="3">
        <v>0</v>
      </c>
      <c r="AD330" s="3">
        <v>0</v>
      </c>
      <c r="AE330" s="3">
        <v>0</v>
      </c>
      <c r="AF330" s="3">
        <v>0</v>
      </c>
      <c r="AG330" s="3">
        <v>0</v>
      </c>
      <c r="AH330" s="3" t="s">
        <v>775</v>
      </c>
      <c r="AI330" s="3" t="s">
        <v>759</v>
      </c>
      <c r="AK330" s="3" t="s">
        <v>768</v>
      </c>
      <c r="AL330" s="3" t="s">
        <v>286</v>
      </c>
    </row>
    <row r="331" spans="1:39" x14ac:dyDescent="0.25">
      <c r="A331" t="s">
        <v>1291</v>
      </c>
      <c r="B331" s="7">
        <v>45535</v>
      </c>
      <c r="C331" s="7" t="s">
        <v>844</v>
      </c>
      <c r="D331" s="3" t="s">
        <v>6</v>
      </c>
      <c r="E331" s="3" t="s">
        <v>109</v>
      </c>
      <c r="F331" s="3" t="s">
        <v>57</v>
      </c>
      <c r="G331" s="3" t="s">
        <v>21</v>
      </c>
      <c r="H331" s="9">
        <v>36.725950234717601</v>
      </c>
      <c r="I331" s="9">
        <v>-3.7423887309668502</v>
      </c>
      <c r="J331" s="3">
        <v>1</v>
      </c>
      <c r="K331" s="3">
        <v>1</v>
      </c>
      <c r="L331" s="3">
        <v>0</v>
      </c>
      <c r="M331" s="3">
        <v>0</v>
      </c>
      <c r="N331" s="3" t="s">
        <v>66</v>
      </c>
      <c r="O331" s="3">
        <v>0</v>
      </c>
      <c r="P331" s="3">
        <v>1</v>
      </c>
      <c r="Q331" s="3">
        <v>0</v>
      </c>
      <c r="R331" s="3">
        <v>1</v>
      </c>
      <c r="S331" s="3">
        <v>0</v>
      </c>
      <c r="T331" s="3">
        <v>0</v>
      </c>
      <c r="U331" s="3">
        <v>0</v>
      </c>
      <c r="V331" s="3">
        <v>0</v>
      </c>
      <c r="W331" s="3" t="s">
        <v>6</v>
      </c>
      <c r="X331" s="3">
        <v>0</v>
      </c>
      <c r="Y331" s="3">
        <v>0</v>
      </c>
      <c r="Z331" s="3">
        <v>0</v>
      </c>
      <c r="AA331" s="3">
        <v>0</v>
      </c>
      <c r="AB331" s="3">
        <v>0</v>
      </c>
      <c r="AC331" s="3">
        <v>0</v>
      </c>
      <c r="AD331" s="3">
        <v>0</v>
      </c>
      <c r="AE331" s="3">
        <v>0</v>
      </c>
      <c r="AF331" s="3">
        <v>0</v>
      </c>
      <c r="AG331" s="3">
        <v>0</v>
      </c>
      <c r="AH331" s="3" t="s">
        <v>17</v>
      </c>
      <c r="AI331" s="3" t="s">
        <v>776</v>
      </c>
      <c r="AK331" s="3" t="s">
        <v>870</v>
      </c>
      <c r="AL331" s="3" t="s">
        <v>316</v>
      </c>
    </row>
    <row r="332" spans="1:39" x14ac:dyDescent="0.25">
      <c r="A332" t="s">
        <v>1293</v>
      </c>
      <c r="B332" s="7">
        <v>45538</v>
      </c>
      <c r="C332" s="7" t="s">
        <v>843</v>
      </c>
      <c r="D332" s="3" t="s">
        <v>6</v>
      </c>
      <c r="E332" s="3" t="s">
        <v>109</v>
      </c>
      <c r="F332" s="3" t="s">
        <v>57</v>
      </c>
      <c r="G332" s="3" t="s">
        <v>21</v>
      </c>
      <c r="H332" s="9">
        <v>36.725950234717601</v>
      </c>
      <c r="I332" s="9">
        <v>-3.7423887309668502</v>
      </c>
      <c r="J332" s="3">
        <v>1</v>
      </c>
      <c r="K332" s="3">
        <v>1</v>
      </c>
      <c r="L332" s="3">
        <v>0</v>
      </c>
      <c r="M332" s="3">
        <v>0</v>
      </c>
      <c r="N332" s="3" t="s">
        <v>16</v>
      </c>
      <c r="O332" s="3">
        <v>0</v>
      </c>
      <c r="P332" s="3">
        <v>1</v>
      </c>
      <c r="Q332" s="3">
        <v>0</v>
      </c>
      <c r="R332" s="3">
        <v>1</v>
      </c>
      <c r="S332" s="3">
        <v>0</v>
      </c>
      <c r="T332" s="3">
        <v>0</v>
      </c>
      <c r="U332" s="3">
        <v>0</v>
      </c>
      <c r="V332" s="3">
        <v>0</v>
      </c>
      <c r="W332" s="3" t="s">
        <v>6</v>
      </c>
      <c r="X332" s="3">
        <v>1</v>
      </c>
      <c r="Y332" s="3">
        <v>0</v>
      </c>
      <c r="Z332" s="3">
        <v>0</v>
      </c>
      <c r="AA332" s="3">
        <v>1</v>
      </c>
      <c r="AB332" s="3">
        <v>0</v>
      </c>
      <c r="AC332" s="3">
        <v>0</v>
      </c>
      <c r="AD332" s="3">
        <v>0</v>
      </c>
      <c r="AE332" s="3">
        <v>0</v>
      </c>
      <c r="AF332" s="3">
        <v>0</v>
      </c>
      <c r="AG332" s="3">
        <v>0</v>
      </c>
      <c r="AH332" s="3" t="s">
        <v>17</v>
      </c>
      <c r="AI332" s="3" t="s">
        <v>776</v>
      </c>
      <c r="AK332" s="3" t="s">
        <v>873</v>
      </c>
      <c r="AL332" s="3" t="s">
        <v>837</v>
      </c>
    </row>
    <row r="333" spans="1:39" x14ac:dyDescent="0.25">
      <c r="A333" t="s">
        <v>1051</v>
      </c>
      <c r="B333" s="7">
        <v>45561</v>
      </c>
      <c r="C333" s="7" t="s">
        <v>844</v>
      </c>
      <c r="D333" s="3" t="s">
        <v>6</v>
      </c>
      <c r="E333" s="3" t="s">
        <v>408</v>
      </c>
      <c r="F333" s="3" t="s">
        <v>47</v>
      </c>
      <c r="G333" s="3" t="s">
        <v>21</v>
      </c>
      <c r="H333" s="9">
        <v>36.984790802408902</v>
      </c>
      <c r="I333" s="9">
        <v>-1.885761966777</v>
      </c>
      <c r="J333" s="3">
        <v>1</v>
      </c>
      <c r="K333" s="3">
        <v>1</v>
      </c>
      <c r="L333" s="3">
        <v>0</v>
      </c>
      <c r="M333" s="3">
        <v>0</v>
      </c>
      <c r="N333" s="3" t="s">
        <v>66</v>
      </c>
      <c r="O333" s="3">
        <v>0</v>
      </c>
      <c r="P333" s="3">
        <v>1</v>
      </c>
      <c r="Q333" s="3">
        <v>0</v>
      </c>
      <c r="R333" s="3">
        <v>0</v>
      </c>
      <c r="S333" s="3">
        <v>0</v>
      </c>
      <c r="T333" s="3">
        <v>0</v>
      </c>
      <c r="U333" s="3">
        <v>0</v>
      </c>
      <c r="V333" s="3">
        <v>1</v>
      </c>
      <c r="W333" s="3" t="s">
        <v>6</v>
      </c>
      <c r="X333" s="3">
        <v>0</v>
      </c>
      <c r="Y333" s="3">
        <v>0</v>
      </c>
      <c r="Z333" s="3">
        <v>0</v>
      </c>
      <c r="AA333" s="3">
        <v>0</v>
      </c>
      <c r="AB333" s="3">
        <v>0</v>
      </c>
      <c r="AC333" s="3">
        <v>0</v>
      </c>
      <c r="AD333" s="3">
        <v>0</v>
      </c>
      <c r="AE333" s="3">
        <v>0</v>
      </c>
      <c r="AF333" s="3">
        <v>0</v>
      </c>
      <c r="AG333" s="3">
        <v>0</v>
      </c>
      <c r="AH333" s="3" t="s">
        <v>17</v>
      </c>
      <c r="AI333" s="3" t="s">
        <v>777</v>
      </c>
      <c r="AK333" s="3" t="s">
        <v>409</v>
      </c>
      <c r="AL333" s="3" t="s">
        <v>316</v>
      </c>
    </row>
    <row r="334" spans="1:39" x14ac:dyDescent="0.25">
      <c r="A334" t="s">
        <v>1267</v>
      </c>
      <c r="B334" s="7">
        <v>45561</v>
      </c>
      <c r="C334" s="7" t="s">
        <v>843</v>
      </c>
      <c r="D334" s="3" t="s">
        <v>6</v>
      </c>
      <c r="E334" s="3" t="s">
        <v>816</v>
      </c>
      <c r="F334" s="3" t="s">
        <v>47</v>
      </c>
      <c r="G334" s="3" t="s">
        <v>21</v>
      </c>
      <c r="H334" s="9">
        <v>36.953335186228401</v>
      </c>
      <c r="I334" s="9">
        <v>-1.8977037115592601</v>
      </c>
      <c r="J334" s="3">
        <v>1</v>
      </c>
      <c r="K334" s="3">
        <v>1</v>
      </c>
      <c r="L334" s="3">
        <v>0</v>
      </c>
      <c r="M334" s="3">
        <v>0</v>
      </c>
      <c r="N334" s="3" t="s">
        <v>66</v>
      </c>
      <c r="O334" s="3">
        <v>0</v>
      </c>
      <c r="P334" s="3">
        <v>1</v>
      </c>
      <c r="Q334" s="3">
        <v>0</v>
      </c>
      <c r="R334" s="3">
        <v>0</v>
      </c>
      <c r="S334" s="3">
        <v>0</v>
      </c>
      <c r="T334" s="3">
        <v>0</v>
      </c>
      <c r="U334" s="3">
        <v>0</v>
      </c>
      <c r="V334" s="3">
        <v>1</v>
      </c>
      <c r="W334" s="3" t="s">
        <v>6</v>
      </c>
      <c r="X334" s="3">
        <v>0</v>
      </c>
      <c r="Y334" s="3">
        <v>0</v>
      </c>
      <c r="Z334" s="3">
        <v>0</v>
      </c>
      <c r="AA334" s="3">
        <v>0</v>
      </c>
      <c r="AB334" s="3">
        <v>0</v>
      </c>
      <c r="AC334" s="3">
        <v>0</v>
      </c>
      <c r="AD334" s="3">
        <v>0</v>
      </c>
      <c r="AE334" s="3">
        <v>0</v>
      </c>
      <c r="AF334" s="3">
        <v>0</v>
      </c>
      <c r="AG334" s="3">
        <v>0</v>
      </c>
      <c r="AH334" s="3" t="s">
        <v>17</v>
      </c>
      <c r="AI334" s="3" t="s">
        <v>781</v>
      </c>
      <c r="AK334" s="3" t="s">
        <v>817</v>
      </c>
    </row>
    <row r="335" spans="1:39" x14ac:dyDescent="0.25">
      <c r="A335" t="s">
        <v>1288</v>
      </c>
      <c r="B335" s="7">
        <v>45564</v>
      </c>
      <c r="C335" s="7" t="s">
        <v>843</v>
      </c>
      <c r="D335" s="3" t="s">
        <v>6</v>
      </c>
      <c r="E335" s="3" t="s">
        <v>135</v>
      </c>
      <c r="F335" s="3" t="s">
        <v>8</v>
      </c>
      <c r="G335" s="3" t="s">
        <v>8</v>
      </c>
      <c r="J335" s="3">
        <v>1</v>
      </c>
      <c r="K335" s="3">
        <v>1</v>
      </c>
      <c r="L335" s="3">
        <v>0</v>
      </c>
      <c r="M335" s="3">
        <v>0</v>
      </c>
      <c r="N335" s="3" t="s">
        <v>16</v>
      </c>
      <c r="O335" s="3">
        <v>1</v>
      </c>
      <c r="P335" s="3">
        <v>0</v>
      </c>
      <c r="Q335" s="3">
        <v>0</v>
      </c>
      <c r="R335" s="3">
        <v>1</v>
      </c>
      <c r="S335" s="3">
        <v>0</v>
      </c>
      <c r="T335" s="3">
        <v>0</v>
      </c>
      <c r="U335" s="3">
        <v>0</v>
      </c>
      <c r="V335" s="3">
        <v>0</v>
      </c>
      <c r="W335" s="3" t="s">
        <v>6</v>
      </c>
      <c r="X335" s="3">
        <v>1</v>
      </c>
      <c r="Y335" s="3">
        <v>0</v>
      </c>
      <c r="Z335" s="3">
        <v>0</v>
      </c>
      <c r="AA335" s="3">
        <v>0</v>
      </c>
      <c r="AB335" s="3">
        <v>0</v>
      </c>
      <c r="AC335" s="3">
        <v>0</v>
      </c>
      <c r="AD335" s="3">
        <v>0</v>
      </c>
      <c r="AE335" s="3">
        <v>1</v>
      </c>
      <c r="AF335" s="3">
        <v>0</v>
      </c>
      <c r="AG335" s="3">
        <v>1</v>
      </c>
      <c r="AH335" s="3" t="s">
        <v>17</v>
      </c>
      <c r="AI335" s="3" t="s">
        <v>776</v>
      </c>
      <c r="AK335" s="3" t="s">
        <v>865</v>
      </c>
      <c r="AL335" s="3" t="s">
        <v>866</v>
      </c>
    </row>
    <row r="336" spans="1:39" x14ac:dyDescent="0.25">
      <c r="A336" t="s">
        <v>1037</v>
      </c>
      <c r="B336" s="7">
        <v>45594</v>
      </c>
      <c r="C336" s="7" t="s">
        <v>844</v>
      </c>
      <c r="D336" s="3" t="s">
        <v>6</v>
      </c>
      <c r="E336" s="3" t="s">
        <v>71</v>
      </c>
      <c r="F336" s="3" t="s">
        <v>23</v>
      </c>
      <c r="G336" s="3" t="s">
        <v>23</v>
      </c>
      <c r="H336" s="9">
        <v>37.548346968769799</v>
      </c>
      <c r="I336" s="9">
        <v>-1.1833120554604599</v>
      </c>
      <c r="J336" s="3">
        <v>1</v>
      </c>
      <c r="K336" s="3">
        <v>1</v>
      </c>
      <c r="L336" s="3">
        <v>0</v>
      </c>
      <c r="M336" s="3">
        <v>0</v>
      </c>
      <c r="N336" s="3" t="s">
        <v>66</v>
      </c>
      <c r="O336" s="3">
        <v>0</v>
      </c>
      <c r="P336" s="3">
        <v>1</v>
      </c>
      <c r="Q336" s="3">
        <v>0</v>
      </c>
      <c r="R336" s="3">
        <v>1</v>
      </c>
      <c r="S336" s="3">
        <v>0</v>
      </c>
      <c r="T336" s="3">
        <v>0</v>
      </c>
      <c r="U336" s="3">
        <v>0</v>
      </c>
      <c r="V336" s="3">
        <v>0</v>
      </c>
      <c r="W336" s="3" t="s">
        <v>6</v>
      </c>
      <c r="X336" s="3">
        <v>0</v>
      </c>
      <c r="Y336" s="3">
        <v>0</v>
      </c>
      <c r="Z336" s="3">
        <v>0</v>
      </c>
      <c r="AA336" s="3">
        <v>0</v>
      </c>
      <c r="AB336" s="3">
        <v>0</v>
      </c>
      <c r="AC336" s="3">
        <v>0</v>
      </c>
      <c r="AD336" s="3">
        <v>0</v>
      </c>
      <c r="AE336" s="3">
        <v>0</v>
      </c>
      <c r="AF336" s="3">
        <v>0</v>
      </c>
      <c r="AG336" s="3">
        <v>0</v>
      </c>
      <c r="AH336" s="3" t="s">
        <v>17</v>
      </c>
      <c r="AI336" s="3" t="s">
        <v>781</v>
      </c>
      <c r="AK336" s="3" t="s">
        <v>385</v>
      </c>
    </row>
    <row r="337" spans="1:38" x14ac:dyDescent="0.25">
      <c r="A337" t="s">
        <v>1041</v>
      </c>
      <c r="B337" s="7">
        <v>45631</v>
      </c>
      <c r="C337" s="7" t="s">
        <v>841</v>
      </c>
      <c r="D337" s="3" t="s">
        <v>6</v>
      </c>
      <c r="E337" s="3" t="s">
        <v>126</v>
      </c>
      <c r="F337" s="3" t="s">
        <v>23</v>
      </c>
      <c r="G337" s="3" t="s">
        <v>23</v>
      </c>
      <c r="H337" s="9">
        <v>37.720505781961997</v>
      </c>
      <c r="I337" s="9">
        <v>-0.71732854801165802</v>
      </c>
      <c r="J337" s="3">
        <v>1</v>
      </c>
      <c r="K337" s="3">
        <v>1</v>
      </c>
      <c r="L337" s="3">
        <v>0</v>
      </c>
      <c r="M337" s="3">
        <v>0</v>
      </c>
      <c r="N337" s="3" t="s">
        <v>66</v>
      </c>
      <c r="O337" s="3">
        <v>0</v>
      </c>
      <c r="P337" s="3">
        <v>1</v>
      </c>
      <c r="Q337" s="3">
        <v>0</v>
      </c>
      <c r="R337" s="3">
        <v>1</v>
      </c>
      <c r="S337" s="3">
        <v>0</v>
      </c>
      <c r="T337" s="3">
        <v>0</v>
      </c>
      <c r="U337" s="3">
        <v>0</v>
      </c>
      <c r="V337" s="3">
        <v>0</v>
      </c>
      <c r="W337" s="3" t="s">
        <v>6</v>
      </c>
      <c r="X337" s="3">
        <v>0</v>
      </c>
      <c r="Y337" s="3">
        <v>0</v>
      </c>
      <c r="Z337" s="3">
        <v>0</v>
      </c>
      <c r="AA337" s="3">
        <v>0</v>
      </c>
      <c r="AB337" s="3">
        <v>0</v>
      </c>
      <c r="AC337" s="3">
        <v>0</v>
      </c>
      <c r="AD337" s="3">
        <v>0</v>
      </c>
      <c r="AE337" s="3">
        <v>0</v>
      </c>
      <c r="AF337" s="3">
        <v>0</v>
      </c>
      <c r="AG337" s="3">
        <v>0</v>
      </c>
      <c r="AH337" s="3" t="s">
        <v>17</v>
      </c>
      <c r="AI337" s="3" t="s">
        <v>777</v>
      </c>
      <c r="AK337" s="3" t="s">
        <v>391</v>
      </c>
    </row>
    <row r="338" spans="1:38" x14ac:dyDescent="0.25">
      <c r="A338" t="s">
        <v>1153</v>
      </c>
      <c r="B338" s="7">
        <v>45792</v>
      </c>
      <c r="C338" s="7" t="s">
        <v>842</v>
      </c>
      <c r="D338" s="3" t="s">
        <v>6</v>
      </c>
      <c r="E338" s="3" t="s">
        <v>635</v>
      </c>
      <c r="F338" s="3" t="s">
        <v>8</v>
      </c>
      <c r="G338" s="3" t="s">
        <v>8</v>
      </c>
      <c r="H338" s="9">
        <v>39.352422459299902</v>
      </c>
      <c r="I338" s="9">
        <v>3.1927702063575998</v>
      </c>
      <c r="J338" s="3">
        <v>1</v>
      </c>
      <c r="K338" s="3">
        <v>0</v>
      </c>
      <c r="L338" s="3">
        <v>1</v>
      </c>
      <c r="M338" s="3">
        <v>0</v>
      </c>
      <c r="N338" s="3" t="s">
        <v>6</v>
      </c>
      <c r="O338" s="3">
        <v>0</v>
      </c>
      <c r="P338" s="3">
        <v>0</v>
      </c>
      <c r="Q338" s="3">
        <v>1</v>
      </c>
      <c r="R338" s="3">
        <v>0</v>
      </c>
      <c r="S338" s="3">
        <v>0</v>
      </c>
      <c r="T338" s="3">
        <v>0</v>
      </c>
      <c r="U338" s="3">
        <v>0</v>
      </c>
      <c r="V338" s="3">
        <v>1</v>
      </c>
      <c r="W338" s="3" t="s">
        <v>6</v>
      </c>
      <c r="X338" s="3">
        <v>0</v>
      </c>
      <c r="Y338" s="3">
        <v>0</v>
      </c>
      <c r="Z338" s="3">
        <v>0</v>
      </c>
      <c r="AA338" s="3">
        <v>0</v>
      </c>
      <c r="AB338" s="3">
        <v>0</v>
      </c>
      <c r="AC338" s="3">
        <v>0</v>
      </c>
      <c r="AD338" s="3">
        <v>0</v>
      </c>
      <c r="AE338" s="3">
        <v>0</v>
      </c>
      <c r="AF338" s="3">
        <v>0</v>
      </c>
      <c r="AG338" s="3">
        <v>0</v>
      </c>
      <c r="AH338" s="3" t="s">
        <v>577</v>
      </c>
      <c r="AI338" s="3" t="s">
        <v>681</v>
      </c>
      <c r="AK338" s="3" t="s">
        <v>681</v>
      </c>
    </row>
    <row r="339" spans="1:38" x14ac:dyDescent="0.25">
      <c r="A339" t="s">
        <v>1154</v>
      </c>
      <c r="B339" s="7">
        <v>45795</v>
      </c>
      <c r="C339" s="7" t="s">
        <v>842</v>
      </c>
      <c r="D339" s="3" t="s">
        <v>6</v>
      </c>
      <c r="E339" s="3" t="s">
        <v>636</v>
      </c>
      <c r="F339" s="3" t="s">
        <v>8</v>
      </c>
      <c r="G339" s="3" t="s">
        <v>8</v>
      </c>
      <c r="H339" s="9">
        <v>39.927642590924997</v>
      </c>
      <c r="I339" s="9">
        <v>3.89215250682755</v>
      </c>
      <c r="J339" s="3">
        <v>1</v>
      </c>
      <c r="K339" s="3">
        <v>1</v>
      </c>
      <c r="L339" s="3">
        <v>0</v>
      </c>
      <c r="M339" s="3">
        <v>0</v>
      </c>
      <c r="N339" s="3" t="s">
        <v>6</v>
      </c>
      <c r="O339" s="3">
        <v>0</v>
      </c>
      <c r="P339" s="3">
        <v>0</v>
      </c>
      <c r="Q339" s="3">
        <v>1</v>
      </c>
      <c r="R339" s="3">
        <v>0</v>
      </c>
      <c r="S339" s="3">
        <v>0</v>
      </c>
      <c r="T339" s="3">
        <v>0</v>
      </c>
      <c r="U339" s="3">
        <v>0</v>
      </c>
      <c r="V339" s="3">
        <v>1</v>
      </c>
      <c r="W339" s="3" t="s">
        <v>6</v>
      </c>
      <c r="X339" s="3">
        <v>0</v>
      </c>
      <c r="Y339" s="3">
        <v>0</v>
      </c>
      <c r="Z339" s="3">
        <v>0</v>
      </c>
      <c r="AA339" s="3">
        <v>0</v>
      </c>
      <c r="AB339" s="3">
        <v>0</v>
      </c>
      <c r="AC339" s="3">
        <v>0</v>
      </c>
      <c r="AD339" s="3">
        <v>0</v>
      </c>
      <c r="AE339" s="3">
        <v>0</v>
      </c>
      <c r="AF339" s="3">
        <v>0</v>
      </c>
      <c r="AG339" s="3">
        <v>0</v>
      </c>
      <c r="AH339" s="3" t="s">
        <v>577</v>
      </c>
      <c r="AI339" s="3" t="s">
        <v>681</v>
      </c>
      <c r="AK339" s="3" t="s">
        <v>681</v>
      </c>
    </row>
    <row r="340" spans="1:38" x14ac:dyDescent="0.25">
      <c r="A340" t="s">
        <v>1155</v>
      </c>
      <c r="B340" s="7">
        <v>45800</v>
      </c>
      <c r="C340" s="7" t="s">
        <v>842</v>
      </c>
      <c r="D340" s="3" t="s">
        <v>6</v>
      </c>
      <c r="E340" s="3" t="s">
        <v>637</v>
      </c>
      <c r="F340" s="3" t="s">
        <v>8</v>
      </c>
      <c r="G340" s="3" t="s">
        <v>8</v>
      </c>
      <c r="H340" s="9">
        <v>38.9120399557643</v>
      </c>
      <c r="I340" s="9">
        <v>1.44112279269795</v>
      </c>
      <c r="J340" s="3">
        <v>1</v>
      </c>
      <c r="K340" s="3">
        <v>1</v>
      </c>
      <c r="L340" s="3">
        <v>0</v>
      </c>
      <c r="M340" s="3">
        <v>0</v>
      </c>
      <c r="N340" s="3" t="s">
        <v>6</v>
      </c>
      <c r="O340" s="3">
        <v>0</v>
      </c>
      <c r="P340" s="3">
        <v>0</v>
      </c>
      <c r="Q340" s="3">
        <v>1</v>
      </c>
      <c r="R340" s="3">
        <v>0</v>
      </c>
      <c r="S340" s="3">
        <v>0</v>
      </c>
      <c r="T340" s="3">
        <v>0</v>
      </c>
      <c r="U340" s="3">
        <v>0</v>
      </c>
      <c r="V340" s="3">
        <v>1</v>
      </c>
      <c r="W340" s="3" t="s">
        <v>6</v>
      </c>
      <c r="X340" s="3">
        <v>0</v>
      </c>
      <c r="Y340" s="3">
        <v>0</v>
      </c>
      <c r="Z340" s="3">
        <v>0</v>
      </c>
      <c r="AA340" s="3">
        <v>0</v>
      </c>
      <c r="AB340" s="3">
        <v>0</v>
      </c>
      <c r="AC340" s="3">
        <v>0</v>
      </c>
      <c r="AD340" s="3">
        <v>0</v>
      </c>
      <c r="AE340" s="3">
        <v>0</v>
      </c>
      <c r="AF340" s="3">
        <v>0</v>
      </c>
      <c r="AG340" s="3">
        <v>0</v>
      </c>
      <c r="AH340" s="3" t="s">
        <v>577</v>
      </c>
      <c r="AI340" s="3" t="s">
        <v>681</v>
      </c>
      <c r="AK340" s="3" t="s">
        <v>681</v>
      </c>
    </row>
    <row r="341" spans="1:38" x14ac:dyDescent="0.25">
      <c r="A341" t="s">
        <v>1156</v>
      </c>
      <c r="B341" s="7">
        <v>45801</v>
      </c>
      <c r="C341" s="7" t="s">
        <v>842</v>
      </c>
      <c r="D341" s="3" t="s">
        <v>6</v>
      </c>
      <c r="E341" s="3" t="s">
        <v>638</v>
      </c>
      <c r="F341" s="3" t="s">
        <v>8</v>
      </c>
      <c r="G341" s="3" t="s">
        <v>8</v>
      </c>
      <c r="H341" s="9">
        <v>40.046388382262897</v>
      </c>
      <c r="I341" s="9">
        <v>3.92220513757273</v>
      </c>
      <c r="J341" s="3">
        <v>1</v>
      </c>
      <c r="K341" s="3">
        <v>1</v>
      </c>
      <c r="L341" s="3">
        <v>0</v>
      </c>
      <c r="M341" s="3">
        <v>0</v>
      </c>
      <c r="N341" s="3" t="s">
        <v>6</v>
      </c>
      <c r="O341" s="3">
        <v>0</v>
      </c>
      <c r="P341" s="3">
        <v>0</v>
      </c>
      <c r="Q341" s="3">
        <v>1</v>
      </c>
      <c r="R341" s="3">
        <v>0</v>
      </c>
      <c r="S341" s="3">
        <v>0</v>
      </c>
      <c r="T341" s="3">
        <v>0</v>
      </c>
      <c r="U341" s="3">
        <v>0</v>
      </c>
      <c r="V341" s="3">
        <v>1</v>
      </c>
      <c r="W341" s="3" t="s">
        <v>6</v>
      </c>
      <c r="X341" s="3">
        <v>0</v>
      </c>
      <c r="Y341" s="3">
        <v>0</v>
      </c>
      <c r="Z341" s="3">
        <v>0</v>
      </c>
      <c r="AA341" s="3">
        <v>0</v>
      </c>
      <c r="AB341" s="3">
        <v>0</v>
      </c>
      <c r="AC341" s="3">
        <v>0</v>
      </c>
      <c r="AD341" s="3">
        <v>0</v>
      </c>
      <c r="AE341" s="3">
        <v>0</v>
      </c>
      <c r="AF341" s="3">
        <v>0</v>
      </c>
      <c r="AG341" s="3">
        <v>0</v>
      </c>
      <c r="AH341" s="3" t="s">
        <v>577</v>
      </c>
      <c r="AI341" s="3" t="s">
        <v>681</v>
      </c>
      <c r="AK341" s="3" t="s">
        <v>681</v>
      </c>
    </row>
    <row r="342" spans="1:38" x14ac:dyDescent="0.25">
      <c r="A342" t="s">
        <v>1157</v>
      </c>
      <c r="B342" s="7">
        <v>45801</v>
      </c>
      <c r="C342" s="7" t="s">
        <v>842</v>
      </c>
      <c r="D342" s="3" t="s">
        <v>6</v>
      </c>
      <c r="E342" s="3" t="s">
        <v>639</v>
      </c>
      <c r="F342" s="3" t="s">
        <v>8</v>
      </c>
      <c r="G342" s="3" t="s">
        <v>8</v>
      </c>
      <c r="H342" s="9">
        <v>39.059790448873599</v>
      </c>
      <c r="I342" s="9">
        <v>1.58931448595319</v>
      </c>
      <c r="J342" s="3">
        <v>1</v>
      </c>
      <c r="K342" s="3">
        <v>1</v>
      </c>
      <c r="L342" s="3">
        <v>0</v>
      </c>
      <c r="M342" s="3">
        <v>0</v>
      </c>
      <c r="N342" s="3" t="s">
        <v>6</v>
      </c>
      <c r="O342" s="3">
        <v>0</v>
      </c>
      <c r="P342" s="3">
        <v>0</v>
      </c>
      <c r="Q342" s="3">
        <v>1</v>
      </c>
      <c r="R342" s="3">
        <v>0</v>
      </c>
      <c r="S342" s="3">
        <v>0</v>
      </c>
      <c r="T342" s="3">
        <v>0</v>
      </c>
      <c r="U342" s="3">
        <v>0</v>
      </c>
      <c r="V342" s="3">
        <v>1</v>
      </c>
      <c r="W342" s="3" t="s">
        <v>6</v>
      </c>
      <c r="X342" s="3">
        <v>0</v>
      </c>
      <c r="Y342" s="3">
        <v>0</v>
      </c>
      <c r="Z342" s="3">
        <v>0</v>
      </c>
      <c r="AA342" s="3">
        <v>0</v>
      </c>
      <c r="AB342" s="3">
        <v>0</v>
      </c>
      <c r="AC342" s="3">
        <v>0</v>
      </c>
      <c r="AD342" s="3">
        <v>0</v>
      </c>
      <c r="AE342" s="3">
        <v>0</v>
      </c>
      <c r="AF342" s="3">
        <v>0</v>
      </c>
      <c r="AG342" s="3">
        <v>0</v>
      </c>
      <c r="AH342" s="3" t="s">
        <v>577</v>
      </c>
      <c r="AI342" s="3" t="s">
        <v>681</v>
      </c>
      <c r="AK342" s="3" t="s">
        <v>681</v>
      </c>
    </row>
    <row r="343" spans="1:38" x14ac:dyDescent="0.25">
      <c r="A343" t="s">
        <v>1031</v>
      </c>
      <c r="B343" s="7">
        <v>45802</v>
      </c>
      <c r="C343" s="7" t="s">
        <v>842</v>
      </c>
      <c r="D343" s="3" t="s">
        <v>6</v>
      </c>
      <c r="E343" s="3" t="s">
        <v>373</v>
      </c>
      <c r="F343" s="3" t="s">
        <v>24</v>
      </c>
      <c r="G343" s="3" t="s">
        <v>20</v>
      </c>
      <c r="H343" s="9">
        <v>41.268562496314502</v>
      </c>
      <c r="I343" s="9">
        <v>2.0372889509815302</v>
      </c>
      <c r="J343" s="3">
        <v>1</v>
      </c>
      <c r="K343" s="3">
        <v>1</v>
      </c>
      <c r="L343" s="3">
        <v>0</v>
      </c>
      <c r="M343" s="3">
        <v>0</v>
      </c>
      <c r="N343" s="3" t="s">
        <v>66</v>
      </c>
      <c r="O343" s="3">
        <v>0</v>
      </c>
      <c r="P343" s="3">
        <v>0</v>
      </c>
      <c r="Q343" s="3">
        <v>1</v>
      </c>
      <c r="R343" s="3">
        <v>0</v>
      </c>
      <c r="S343" s="3">
        <v>0</v>
      </c>
      <c r="T343" s="3">
        <v>0</v>
      </c>
      <c r="U343" s="3">
        <v>0</v>
      </c>
      <c r="V343" s="3">
        <v>1</v>
      </c>
      <c r="W343" s="3" t="s">
        <v>6</v>
      </c>
      <c r="X343" s="3">
        <v>0</v>
      </c>
      <c r="Y343" s="3">
        <v>0</v>
      </c>
      <c r="Z343" s="3">
        <v>0</v>
      </c>
      <c r="AA343" s="3">
        <v>0</v>
      </c>
      <c r="AB343" s="3">
        <v>0</v>
      </c>
      <c r="AC343" s="3">
        <v>0</v>
      </c>
      <c r="AD343" s="3">
        <v>0</v>
      </c>
      <c r="AE343" s="3">
        <v>0</v>
      </c>
      <c r="AF343" s="3">
        <v>0</v>
      </c>
      <c r="AG343" s="3">
        <v>0</v>
      </c>
      <c r="AH343" s="3" t="s">
        <v>17</v>
      </c>
      <c r="AI343" s="3" t="s">
        <v>781</v>
      </c>
      <c r="AK343" s="3" t="s">
        <v>374</v>
      </c>
    </row>
    <row r="344" spans="1:38" x14ac:dyDescent="0.25">
      <c r="A344" t="s">
        <v>1158</v>
      </c>
      <c r="B344" s="7">
        <v>45802</v>
      </c>
      <c r="C344" s="7" t="s">
        <v>842</v>
      </c>
      <c r="D344" s="3" t="s">
        <v>6</v>
      </c>
      <c r="E344" s="3" t="s">
        <v>640</v>
      </c>
      <c r="F344" s="3" t="s">
        <v>8</v>
      </c>
      <c r="G344" s="3" t="s">
        <v>8</v>
      </c>
      <c r="H344" s="9">
        <v>38.970208164722699</v>
      </c>
      <c r="I344" s="9">
        <v>1.3034421665928</v>
      </c>
      <c r="J344" s="3">
        <v>1</v>
      </c>
      <c r="K344" s="3">
        <v>1</v>
      </c>
      <c r="L344" s="3">
        <v>0</v>
      </c>
      <c r="M344" s="3">
        <v>0</v>
      </c>
      <c r="N344" s="3" t="s">
        <v>6</v>
      </c>
      <c r="O344" s="3">
        <v>0</v>
      </c>
      <c r="P344" s="3">
        <v>0</v>
      </c>
      <c r="Q344" s="3">
        <v>1</v>
      </c>
      <c r="R344" s="3">
        <v>0</v>
      </c>
      <c r="S344" s="3">
        <v>0</v>
      </c>
      <c r="T344" s="3">
        <v>0</v>
      </c>
      <c r="U344" s="3">
        <v>0</v>
      </c>
      <c r="V344" s="3">
        <v>1</v>
      </c>
      <c r="W344" s="3" t="s">
        <v>6</v>
      </c>
      <c r="X344" s="3">
        <v>0</v>
      </c>
      <c r="Y344" s="3">
        <v>0</v>
      </c>
      <c r="Z344" s="3">
        <v>0</v>
      </c>
      <c r="AA344" s="3">
        <v>0</v>
      </c>
      <c r="AB344" s="3">
        <v>0</v>
      </c>
      <c r="AC344" s="3">
        <v>0</v>
      </c>
      <c r="AD344" s="3">
        <v>0</v>
      </c>
      <c r="AE344" s="3">
        <v>0</v>
      </c>
      <c r="AF344" s="3">
        <v>0</v>
      </c>
      <c r="AG344" s="3">
        <v>0</v>
      </c>
      <c r="AH344" s="3" t="s">
        <v>577</v>
      </c>
      <c r="AI344" s="3" t="s">
        <v>681</v>
      </c>
      <c r="AK344" s="3" t="s">
        <v>681</v>
      </c>
    </row>
    <row r="345" spans="1:38" x14ac:dyDescent="0.25">
      <c r="A345" t="s">
        <v>1245</v>
      </c>
      <c r="B345" s="7">
        <v>45802</v>
      </c>
      <c r="C345" s="7" t="s">
        <v>842</v>
      </c>
      <c r="D345" s="3" t="s">
        <v>6</v>
      </c>
      <c r="E345" s="3" t="s">
        <v>749</v>
      </c>
      <c r="F345" s="3" t="s">
        <v>59</v>
      </c>
      <c r="G345" s="3" t="s">
        <v>20</v>
      </c>
      <c r="H345" s="9">
        <v>41.789938641311799</v>
      </c>
      <c r="I345" s="9">
        <v>3.0486584489317399</v>
      </c>
      <c r="J345" s="3">
        <v>1</v>
      </c>
      <c r="K345" s="3">
        <v>1</v>
      </c>
      <c r="L345" s="3">
        <v>0</v>
      </c>
      <c r="M345" s="3">
        <v>0</v>
      </c>
      <c r="N345" s="3" t="s">
        <v>16</v>
      </c>
      <c r="O345" s="3">
        <v>1</v>
      </c>
      <c r="P345" s="3">
        <v>0</v>
      </c>
      <c r="Q345" s="3">
        <v>0</v>
      </c>
      <c r="R345" s="3">
        <v>1</v>
      </c>
      <c r="S345" s="3">
        <v>0</v>
      </c>
      <c r="T345" s="3">
        <v>0</v>
      </c>
      <c r="U345" s="3">
        <v>0</v>
      </c>
      <c r="V345" s="3">
        <v>0</v>
      </c>
      <c r="W345" s="3" t="s">
        <v>6</v>
      </c>
      <c r="X345" s="3">
        <v>0</v>
      </c>
      <c r="Y345" s="3">
        <v>0</v>
      </c>
      <c r="Z345" s="3">
        <v>0</v>
      </c>
      <c r="AA345" s="3">
        <v>0</v>
      </c>
      <c r="AB345" s="3">
        <v>0</v>
      </c>
      <c r="AC345" s="3">
        <v>0</v>
      </c>
      <c r="AD345" s="3">
        <v>0</v>
      </c>
      <c r="AE345" s="3">
        <v>0</v>
      </c>
      <c r="AF345" s="3">
        <v>0</v>
      </c>
      <c r="AG345" s="3">
        <v>0</v>
      </c>
      <c r="AH345" s="3" t="s">
        <v>17</v>
      </c>
      <c r="AI345" s="3" t="s">
        <v>780</v>
      </c>
      <c r="AK345" s="3" t="s">
        <v>750</v>
      </c>
      <c r="AL345" s="3" t="s">
        <v>249</v>
      </c>
    </row>
    <row r="346" spans="1:38" x14ac:dyDescent="0.25">
      <c r="A346" t="s">
        <v>1139</v>
      </c>
      <c r="B346" s="7">
        <v>45803</v>
      </c>
      <c r="C346" s="7" t="s">
        <v>842</v>
      </c>
      <c r="D346" s="3" t="s">
        <v>6</v>
      </c>
      <c r="E346" s="3" t="s">
        <v>405</v>
      </c>
      <c r="F346" s="3" t="s">
        <v>24</v>
      </c>
      <c r="G346" s="3" t="s">
        <v>20</v>
      </c>
      <c r="H346" s="9">
        <v>41.454660455716201</v>
      </c>
      <c r="I346" s="9">
        <v>2.2606209429900002</v>
      </c>
      <c r="J346" s="3">
        <v>1</v>
      </c>
      <c r="K346" s="3">
        <v>1</v>
      </c>
      <c r="L346" s="3">
        <v>0</v>
      </c>
      <c r="M346" s="3">
        <v>0</v>
      </c>
      <c r="N346" s="3" t="s">
        <v>6</v>
      </c>
      <c r="O346" s="3">
        <v>0</v>
      </c>
      <c r="P346" s="3">
        <v>0</v>
      </c>
      <c r="Q346" s="3">
        <v>1</v>
      </c>
      <c r="R346" s="3">
        <v>0</v>
      </c>
      <c r="S346" s="3">
        <v>0</v>
      </c>
      <c r="T346" s="3">
        <v>0</v>
      </c>
      <c r="U346" s="3">
        <v>0</v>
      </c>
      <c r="V346" s="3">
        <v>1</v>
      </c>
      <c r="W346" s="3" t="s">
        <v>6</v>
      </c>
      <c r="X346" s="3">
        <v>0</v>
      </c>
      <c r="Y346" s="3">
        <v>0</v>
      </c>
      <c r="Z346" s="3">
        <v>0</v>
      </c>
      <c r="AA346" s="3">
        <v>0</v>
      </c>
      <c r="AB346" s="3">
        <v>0</v>
      </c>
      <c r="AC346" s="3">
        <v>0</v>
      </c>
      <c r="AD346" s="3">
        <v>0</v>
      </c>
      <c r="AE346" s="3">
        <v>0</v>
      </c>
      <c r="AF346" s="3">
        <v>0</v>
      </c>
      <c r="AG346" s="3">
        <v>0</v>
      </c>
      <c r="AH346" s="3" t="s">
        <v>17</v>
      </c>
      <c r="AI346" s="3" t="s">
        <v>780</v>
      </c>
      <c r="AK346" s="3" t="s">
        <v>625</v>
      </c>
    </row>
    <row r="347" spans="1:38" x14ac:dyDescent="0.25">
      <c r="A347" t="s">
        <v>1159</v>
      </c>
      <c r="B347" s="7">
        <v>45803</v>
      </c>
      <c r="C347" s="7" t="s">
        <v>842</v>
      </c>
      <c r="D347" s="3" t="s">
        <v>6</v>
      </c>
      <c r="E347" s="3" t="s">
        <v>641</v>
      </c>
      <c r="F347" s="3" t="s">
        <v>8</v>
      </c>
      <c r="G347" s="3" t="s">
        <v>8</v>
      </c>
      <c r="H347" s="9">
        <v>39.503035312824203</v>
      </c>
      <c r="I347" s="9">
        <v>2.7498882543045702</v>
      </c>
      <c r="J347" s="3">
        <v>1</v>
      </c>
      <c r="K347" s="3">
        <v>1</v>
      </c>
      <c r="L347" s="3">
        <v>0</v>
      </c>
      <c r="M347" s="3">
        <v>0</v>
      </c>
      <c r="N347" s="3" t="s">
        <v>6</v>
      </c>
      <c r="O347" s="3">
        <v>0</v>
      </c>
      <c r="P347" s="3">
        <v>0</v>
      </c>
      <c r="Q347" s="3">
        <v>1</v>
      </c>
      <c r="R347" s="3">
        <v>0</v>
      </c>
      <c r="S347" s="3">
        <v>0</v>
      </c>
      <c r="T347" s="3">
        <v>0</v>
      </c>
      <c r="U347" s="3">
        <v>0</v>
      </c>
      <c r="V347" s="3">
        <v>1</v>
      </c>
      <c r="W347" s="3" t="s">
        <v>6</v>
      </c>
      <c r="X347" s="3">
        <v>0</v>
      </c>
      <c r="Y347" s="3">
        <v>0</v>
      </c>
      <c r="Z347" s="3">
        <v>0</v>
      </c>
      <c r="AA347" s="3">
        <v>0</v>
      </c>
      <c r="AB347" s="3">
        <v>0</v>
      </c>
      <c r="AC347" s="3">
        <v>0</v>
      </c>
      <c r="AD347" s="3">
        <v>0</v>
      </c>
      <c r="AE347" s="3">
        <v>0</v>
      </c>
      <c r="AF347" s="3">
        <v>0</v>
      </c>
      <c r="AG347" s="3">
        <v>0</v>
      </c>
      <c r="AH347" s="3" t="s">
        <v>577</v>
      </c>
      <c r="AI347" s="3" t="s">
        <v>681</v>
      </c>
      <c r="AK347" s="3" t="s">
        <v>681</v>
      </c>
    </row>
    <row r="348" spans="1:38" x14ac:dyDescent="0.25">
      <c r="A348" t="s">
        <v>1216</v>
      </c>
      <c r="B348" s="7">
        <v>45803</v>
      </c>
      <c r="C348" s="7" t="s">
        <v>842</v>
      </c>
      <c r="D348" s="3" t="s">
        <v>6</v>
      </c>
      <c r="E348" s="3" t="s">
        <v>131</v>
      </c>
      <c r="F348" s="3" t="s">
        <v>8</v>
      </c>
      <c r="G348" s="3" t="s">
        <v>8</v>
      </c>
      <c r="H348" s="9">
        <v>38.959645490571098</v>
      </c>
      <c r="I348" s="9">
        <v>1.53101671416745</v>
      </c>
      <c r="J348" s="3">
        <v>1</v>
      </c>
      <c r="K348" s="3">
        <v>1</v>
      </c>
      <c r="L348" s="3">
        <v>0</v>
      </c>
      <c r="M348" s="3">
        <v>0</v>
      </c>
      <c r="N348" s="3" t="s">
        <v>16</v>
      </c>
      <c r="O348" s="3">
        <v>0</v>
      </c>
      <c r="P348" s="3">
        <v>0</v>
      </c>
      <c r="Q348" s="3">
        <v>1</v>
      </c>
      <c r="R348" s="3">
        <v>1</v>
      </c>
      <c r="S348" s="3">
        <v>0</v>
      </c>
      <c r="T348" s="3">
        <v>0</v>
      </c>
      <c r="U348" s="3">
        <v>0</v>
      </c>
      <c r="V348" s="3">
        <v>0</v>
      </c>
      <c r="W348" s="3" t="s">
        <v>6</v>
      </c>
      <c r="X348" s="3">
        <v>0</v>
      </c>
      <c r="Y348" s="3">
        <v>0</v>
      </c>
      <c r="Z348" s="3">
        <v>0</v>
      </c>
      <c r="AA348" s="3">
        <v>0</v>
      </c>
      <c r="AB348" s="3">
        <v>0</v>
      </c>
      <c r="AC348" s="3">
        <v>0</v>
      </c>
      <c r="AD348" s="3">
        <v>0</v>
      </c>
      <c r="AE348" s="3">
        <v>0</v>
      </c>
      <c r="AF348" s="3">
        <v>0</v>
      </c>
      <c r="AG348" s="3">
        <v>0</v>
      </c>
      <c r="AH348" s="3" t="s">
        <v>775</v>
      </c>
      <c r="AI348" s="3" t="s">
        <v>81</v>
      </c>
      <c r="AK348" s="3" t="s">
        <v>710</v>
      </c>
    </row>
    <row r="349" spans="1:38" x14ac:dyDescent="0.25">
      <c r="A349" t="s">
        <v>1132</v>
      </c>
      <c r="B349" s="7">
        <v>45804</v>
      </c>
      <c r="C349" s="7" t="s">
        <v>842</v>
      </c>
      <c r="D349" s="3" t="s">
        <v>6</v>
      </c>
      <c r="E349" s="3" t="s">
        <v>610</v>
      </c>
      <c r="F349" s="3" t="s">
        <v>24</v>
      </c>
      <c r="G349" s="3" t="s">
        <v>20</v>
      </c>
      <c r="H349" s="9">
        <v>41.263451731565098</v>
      </c>
      <c r="I349" s="9">
        <v>1.98923846485426</v>
      </c>
      <c r="J349" s="3">
        <v>1</v>
      </c>
      <c r="K349" s="3">
        <v>1</v>
      </c>
      <c r="L349" s="3">
        <v>0</v>
      </c>
      <c r="M349" s="3">
        <v>0</v>
      </c>
      <c r="N349" s="3" t="s">
        <v>16</v>
      </c>
      <c r="O349" s="3">
        <v>0</v>
      </c>
      <c r="P349" s="3">
        <v>1</v>
      </c>
      <c r="Q349" s="3">
        <v>0</v>
      </c>
      <c r="R349" s="3">
        <v>1</v>
      </c>
      <c r="S349" s="3">
        <v>0</v>
      </c>
      <c r="T349" s="3">
        <v>0</v>
      </c>
      <c r="U349" s="3">
        <v>0</v>
      </c>
      <c r="V349" s="3">
        <v>0</v>
      </c>
      <c r="W349" s="3" t="s">
        <v>6</v>
      </c>
      <c r="X349" s="3">
        <v>0</v>
      </c>
      <c r="Y349" s="3">
        <v>0</v>
      </c>
      <c r="Z349" s="3">
        <v>0</v>
      </c>
      <c r="AA349" s="3">
        <v>0</v>
      </c>
      <c r="AB349" s="3">
        <v>0</v>
      </c>
      <c r="AC349" s="3">
        <v>0</v>
      </c>
      <c r="AD349" s="3">
        <v>0</v>
      </c>
      <c r="AE349" s="3">
        <v>0</v>
      </c>
      <c r="AF349" s="3">
        <v>0</v>
      </c>
      <c r="AG349" s="3">
        <v>0</v>
      </c>
      <c r="AH349" s="3" t="s">
        <v>17</v>
      </c>
      <c r="AI349" s="3" t="s">
        <v>776</v>
      </c>
      <c r="AK349" s="3" t="s">
        <v>611</v>
      </c>
      <c r="AL349" s="3" t="s">
        <v>612</v>
      </c>
    </row>
    <row r="350" spans="1:38" x14ac:dyDescent="0.25">
      <c r="A350" t="s">
        <v>1160</v>
      </c>
      <c r="B350" s="7">
        <v>45804</v>
      </c>
      <c r="C350" s="7" t="s">
        <v>842</v>
      </c>
      <c r="D350" s="3" t="s">
        <v>6</v>
      </c>
      <c r="E350" s="3" t="s">
        <v>642</v>
      </c>
      <c r="F350" s="3" t="s">
        <v>8</v>
      </c>
      <c r="G350" s="3" t="s">
        <v>8</v>
      </c>
      <c r="H350" s="9">
        <v>39.635637010508503</v>
      </c>
      <c r="I350" s="9">
        <v>3.40409399385209</v>
      </c>
      <c r="J350" s="3">
        <v>1</v>
      </c>
      <c r="K350" s="3">
        <v>1</v>
      </c>
      <c r="L350" s="3">
        <v>0</v>
      </c>
      <c r="M350" s="3">
        <v>0</v>
      </c>
      <c r="N350" s="3" t="s">
        <v>6</v>
      </c>
      <c r="O350" s="3">
        <v>0</v>
      </c>
      <c r="P350" s="3">
        <v>0</v>
      </c>
      <c r="Q350" s="3">
        <v>1</v>
      </c>
      <c r="R350" s="3">
        <v>0</v>
      </c>
      <c r="S350" s="3">
        <v>0</v>
      </c>
      <c r="T350" s="3">
        <v>0</v>
      </c>
      <c r="U350" s="3">
        <v>0</v>
      </c>
      <c r="V350" s="3">
        <v>1</v>
      </c>
      <c r="W350" s="3" t="s">
        <v>6</v>
      </c>
      <c r="X350" s="3">
        <v>0</v>
      </c>
      <c r="Y350" s="3">
        <v>0</v>
      </c>
      <c r="Z350" s="3">
        <v>0</v>
      </c>
      <c r="AA350" s="3">
        <v>0</v>
      </c>
      <c r="AB350" s="3">
        <v>0</v>
      </c>
      <c r="AC350" s="3">
        <v>0</v>
      </c>
      <c r="AD350" s="3">
        <v>0</v>
      </c>
      <c r="AE350" s="3">
        <v>0</v>
      </c>
      <c r="AF350" s="3">
        <v>0</v>
      </c>
      <c r="AG350" s="3">
        <v>0</v>
      </c>
      <c r="AH350" s="3" t="s">
        <v>577</v>
      </c>
      <c r="AI350" s="3" t="s">
        <v>681</v>
      </c>
      <c r="AK350" s="3" t="s">
        <v>681</v>
      </c>
    </row>
    <row r="351" spans="1:38" x14ac:dyDescent="0.25">
      <c r="A351" t="s">
        <v>1231</v>
      </c>
      <c r="B351" s="7">
        <v>45804</v>
      </c>
      <c r="C351" s="7" t="s">
        <v>842</v>
      </c>
      <c r="D351" s="3" t="s">
        <v>6</v>
      </c>
      <c r="E351" s="3" t="s">
        <v>232</v>
      </c>
      <c r="F351" s="3" t="s">
        <v>24</v>
      </c>
      <c r="G351" s="3" t="s">
        <v>20</v>
      </c>
      <c r="H351" s="9">
        <v>41.172413428148303</v>
      </c>
      <c r="I351" s="9">
        <v>1.5097765921978701</v>
      </c>
      <c r="J351" s="3">
        <v>1</v>
      </c>
      <c r="K351" s="3">
        <v>1</v>
      </c>
      <c r="L351" s="3">
        <v>0</v>
      </c>
      <c r="M351" s="3">
        <v>0</v>
      </c>
      <c r="N351" s="3" t="s">
        <v>16</v>
      </c>
      <c r="O351" s="3">
        <v>0</v>
      </c>
      <c r="P351" s="3">
        <v>0</v>
      </c>
      <c r="Q351" s="3">
        <v>1</v>
      </c>
      <c r="R351" s="3">
        <v>0</v>
      </c>
      <c r="S351" s="3">
        <v>0</v>
      </c>
      <c r="T351" s="3">
        <v>0</v>
      </c>
      <c r="U351" s="3">
        <v>0</v>
      </c>
      <c r="V351" s="3">
        <v>1</v>
      </c>
      <c r="W351" s="3" t="s">
        <v>6</v>
      </c>
      <c r="X351" s="3">
        <v>0</v>
      </c>
      <c r="Y351" s="3">
        <v>0</v>
      </c>
      <c r="Z351" s="3">
        <v>0</v>
      </c>
      <c r="AA351" s="3">
        <v>0</v>
      </c>
      <c r="AB351" s="3">
        <v>0</v>
      </c>
      <c r="AC351" s="3">
        <v>0</v>
      </c>
      <c r="AD351" s="3">
        <v>0</v>
      </c>
      <c r="AE351" s="3">
        <v>0</v>
      </c>
      <c r="AF351" s="3">
        <v>0</v>
      </c>
      <c r="AG351" s="3">
        <v>0</v>
      </c>
      <c r="AH351" s="3" t="s">
        <v>17</v>
      </c>
      <c r="AI351" s="3" t="s">
        <v>776</v>
      </c>
      <c r="AK351" s="3" t="s">
        <v>733</v>
      </c>
      <c r="AL351" s="3" t="s">
        <v>734</v>
      </c>
    </row>
    <row r="352" spans="1:38" x14ac:dyDescent="0.25">
      <c r="A352" t="s">
        <v>1140</v>
      </c>
      <c r="B352" s="7">
        <v>45805</v>
      </c>
      <c r="C352" s="7" t="s">
        <v>842</v>
      </c>
      <c r="D352" s="4">
        <v>0.45833333333333331</v>
      </c>
      <c r="E352" s="3" t="s">
        <v>626</v>
      </c>
      <c r="F352" s="3" t="s">
        <v>59</v>
      </c>
      <c r="G352" s="3" t="s">
        <v>20</v>
      </c>
      <c r="H352" s="9">
        <v>42.287480315489397</v>
      </c>
      <c r="I352" s="9">
        <v>3.2789993710245602</v>
      </c>
      <c r="J352" s="3">
        <v>1</v>
      </c>
      <c r="K352" s="3">
        <v>1</v>
      </c>
      <c r="L352" s="3">
        <v>0</v>
      </c>
      <c r="M352" s="3">
        <v>0</v>
      </c>
      <c r="N352" s="3" t="s">
        <v>6</v>
      </c>
      <c r="O352" s="3">
        <v>0</v>
      </c>
      <c r="P352" s="3">
        <v>1</v>
      </c>
      <c r="Q352" s="3">
        <v>0</v>
      </c>
      <c r="R352" s="3">
        <v>1</v>
      </c>
      <c r="S352" s="3">
        <v>0</v>
      </c>
      <c r="T352" s="3">
        <v>0</v>
      </c>
      <c r="U352" s="3">
        <v>0</v>
      </c>
      <c r="V352" s="3">
        <v>0</v>
      </c>
      <c r="W352" s="3" t="s">
        <v>6</v>
      </c>
      <c r="X352" s="3">
        <v>1</v>
      </c>
      <c r="Y352" s="3">
        <v>0</v>
      </c>
      <c r="Z352" s="3">
        <v>0</v>
      </c>
      <c r="AA352" s="3">
        <v>0</v>
      </c>
      <c r="AB352" s="3">
        <v>0</v>
      </c>
      <c r="AC352" s="3">
        <v>0</v>
      </c>
      <c r="AD352" s="3">
        <v>0</v>
      </c>
      <c r="AE352" s="3">
        <v>1</v>
      </c>
      <c r="AF352" s="3">
        <v>0</v>
      </c>
      <c r="AG352" s="3">
        <v>0</v>
      </c>
      <c r="AH352" s="3" t="s">
        <v>17</v>
      </c>
      <c r="AI352" s="3" t="s">
        <v>780</v>
      </c>
      <c r="AK352" s="3" t="s">
        <v>627</v>
      </c>
      <c r="AL352" s="3" t="s">
        <v>628</v>
      </c>
    </row>
    <row r="353" spans="1:38" x14ac:dyDescent="0.25">
      <c r="A353" t="s">
        <v>1161</v>
      </c>
      <c r="B353" s="7">
        <v>45805</v>
      </c>
      <c r="C353" s="7" t="s">
        <v>842</v>
      </c>
      <c r="D353" s="3" t="s">
        <v>6</v>
      </c>
      <c r="E353" s="3" t="s">
        <v>643</v>
      </c>
      <c r="F353" s="3" t="s">
        <v>8</v>
      </c>
      <c r="G353" s="3" t="s">
        <v>8</v>
      </c>
      <c r="H353" s="9">
        <v>39.793610484140601</v>
      </c>
      <c r="I353" s="9">
        <v>2.6955520988411101</v>
      </c>
      <c r="J353" s="3">
        <v>1</v>
      </c>
      <c r="K353" s="3">
        <v>1</v>
      </c>
      <c r="L353" s="3">
        <v>0</v>
      </c>
      <c r="M353" s="3">
        <v>0</v>
      </c>
      <c r="N353" s="3" t="s">
        <v>6</v>
      </c>
      <c r="O353" s="3">
        <v>0</v>
      </c>
      <c r="P353" s="3">
        <v>0</v>
      </c>
      <c r="Q353" s="3">
        <v>1</v>
      </c>
      <c r="R353" s="3">
        <v>0</v>
      </c>
      <c r="S353" s="3">
        <v>0</v>
      </c>
      <c r="T353" s="3">
        <v>0</v>
      </c>
      <c r="U353" s="3">
        <v>0</v>
      </c>
      <c r="V353" s="3">
        <v>1</v>
      </c>
      <c r="W353" s="3" t="s">
        <v>6</v>
      </c>
      <c r="X353" s="3">
        <v>0</v>
      </c>
      <c r="Y353" s="3">
        <v>0</v>
      </c>
      <c r="Z353" s="3">
        <v>0</v>
      </c>
      <c r="AA353" s="3">
        <v>0</v>
      </c>
      <c r="AB353" s="3">
        <v>0</v>
      </c>
      <c r="AC353" s="3">
        <v>0</v>
      </c>
      <c r="AD353" s="3">
        <v>0</v>
      </c>
      <c r="AE353" s="3">
        <v>0</v>
      </c>
      <c r="AF353" s="3">
        <v>0</v>
      </c>
      <c r="AG353" s="3">
        <v>0</v>
      </c>
      <c r="AH353" s="3" t="s">
        <v>577</v>
      </c>
      <c r="AI353" s="3" t="s">
        <v>681</v>
      </c>
      <c r="AK353" s="3" t="s">
        <v>681</v>
      </c>
    </row>
    <row r="354" spans="1:38" x14ac:dyDescent="0.25">
      <c r="A354" t="s">
        <v>1162</v>
      </c>
      <c r="B354" s="7">
        <v>45805</v>
      </c>
      <c r="C354" s="7" t="s">
        <v>842</v>
      </c>
      <c r="D354" s="3" t="s">
        <v>6</v>
      </c>
      <c r="E354" s="3" t="s">
        <v>644</v>
      </c>
      <c r="F354" s="3" t="s">
        <v>8</v>
      </c>
      <c r="G354" s="3" t="s">
        <v>8</v>
      </c>
      <c r="H354" s="9">
        <v>39.923571393640898</v>
      </c>
      <c r="I354" s="9">
        <v>3.83326562996452</v>
      </c>
      <c r="J354" s="3">
        <v>1</v>
      </c>
      <c r="K354" s="3">
        <v>0</v>
      </c>
      <c r="L354" s="3">
        <v>1</v>
      </c>
      <c r="M354" s="3">
        <v>0</v>
      </c>
      <c r="N354" s="3" t="s">
        <v>6</v>
      </c>
      <c r="O354" s="3">
        <v>0</v>
      </c>
      <c r="P354" s="3">
        <v>0</v>
      </c>
      <c r="Q354" s="3">
        <v>1</v>
      </c>
      <c r="R354" s="3">
        <v>0</v>
      </c>
      <c r="S354" s="3">
        <v>0</v>
      </c>
      <c r="T354" s="3">
        <v>0</v>
      </c>
      <c r="U354" s="3">
        <v>0</v>
      </c>
      <c r="V354" s="3">
        <v>1</v>
      </c>
      <c r="W354" s="3" t="s">
        <v>6</v>
      </c>
      <c r="X354" s="3">
        <v>0</v>
      </c>
      <c r="Y354" s="3">
        <v>0</v>
      </c>
      <c r="Z354" s="3">
        <v>0</v>
      </c>
      <c r="AA354" s="3">
        <v>0</v>
      </c>
      <c r="AB354" s="3">
        <v>0</v>
      </c>
      <c r="AC354" s="3">
        <v>0</v>
      </c>
      <c r="AD354" s="3">
        <v>0</v>
      </c>
      <c r="AE354" s="3">
        <v>0</v>
      </c>
      <c r="AF354" s="3">
        <v>0</v>
      </c>
      <c r="AG354" s="3">
        <v>0</v>
      </c>
      <c r="AH354" s="3" t="s">
        <v>577</v>
      </c>
      <c r="AI354" s="3" t="s">
        <v>681</v>
      </c>
      <c r="AK354" s="3" t="s">
        <v>681</v>
      </c>
    </row>
    <row r="355" spans="1:38" x14ac:dyDescent="0.25">
      <c r="A355" t="s">
        <v>1217</v>
      </c>
      <c r="B355" s="7">
        <v>45805</v>
      </c>
      <c r="C355" s="7" t="s">
        <v>842</v>
      </c>
      <c r="D355" s="3" t="s">
        <v>6</v>
      </c>
      <c r="E355" s="3" t="s">
        <v>134</v>
      </c>
      <c r="F355" s="3" t="s">
        <v>8</v>
      </c>
      <c r="G355" s="3" t="s">
        <v>8</v>
      </c>
      <c r="H355" s="9">
        <v>39.890303703477997</v>
      </c>
      <c r="I355" s="9">
        <v>4.0813475658571798</v>
      </c>
      <c r="J355" s="3">
        <v>1</v>
      </c>
      <c r="K355" s="3">
        <v>0</v>
      </c>
      <c r="L355" s="3">
        <v>1</v>
      </c>
      <c r="M355" s="3">
        <v>0</v>
      </c>
      <c r="N355" s="3" t="s">
        <v>66</v>
      </c>
      <c r="O355" s="3">
        <v>1</v>
      </c>
      <c r="P355" s="3">
        <v>0</v>
      </c>
      <c r="Q355" s="3">
        <v>0</v>
      </c>
      <c r="R355" s="3">
        <v>1</v>
      </c>
      <c r="S355" s="3">
        <v>0</v>
      </c>
      <c r="T355" s="3">
        <v>0</v>
      </c>
      <c r="U355" s="3">
        <v>0</v>
      </c>
      <c r="V355" s="3">
        <v>0</v>
      </c>
      <c r="W355" s="3" t="s">
        <v>6</v>
      </c>
      <c r="X355" s="3">
        <v>0</v>
      </c>
      <c r="Y355" s="3">
        <v>0</v>
      </c>
      <c r="Z355" s="3">
        <v>0</v>
      </c>
      <c r="AA355" s="3">
        <v>0</v>
      </c>
      <c r="AB355" s="3">
        <v>0</v>
      </c>
      <c r="AC355" s="3">
        <v>0</v>
      </c>
      <c r="AD355" s="3">
        <v>0</v>
      </c>
      <c r="AE355" s="3">
        <v>0</v>
      </c>
      <c r="AF355" s="3">
        <v>0</v>
      </c>
      <c r="AG355" s="3">
        <v>0</v>
      </c>
      <c r="AH355" s="3" t="s">
        <v>775</v>
      </c>
      <c r="AI355" s="3" t="s">
        <v>81</v>
      </c>
      <c r="AK355" s="3" t="s">
        <v>711</v>
      </c>
    </row>
    <row r="356" spans="1:38" x14ac:dyDescent="0.25">
      <c r="A356" t="s">
        <v>1255</v>
      </c>
      <c r="B356" s="7">
        <v>45805</v>
      </c>
      <c r="C356" s="7" t="s">
        <v>842</v>
      </c>
      <c r="D356" s="4">
        <v>0.54861111111111105</v>
      </c>
      <c r="E356" s="3" t="s">
        <v>769</v>
      </c>
      <c r="F356" s="3" t="s">
        <v>59</v>
      </c>
      <c r="G356" s="3" t="s">
        <v>20</v>
      </c>
      <c r="H356" s="9">
        <v>42.271003216785303</v>
      </c>
      <c r="I356" s="9">
        <v>3.2848670543665501</v>
      </c>
      <c r="J356" s="3">
        <v>1</v>
      </c>
      <c r="K356" s="3">
        <v>1</v>
      </c>
      <c r="L356" s="3">
        <v>0</v>
      </c>
      <c r="M356" s="3">
        <v>0</v>
      </c>
      <c r="N356" s="3" t="s">
        <v>16</v>
      </c>
      <c r="O356" s="3">
        <v>0</v>
      </c>
      <c r="P356" s="3">
        <v>0</v>
      </c>
      <c r="Q356" s="3">
        <v>1</v>
      </c>
      <c r="R356" s="3">
        <v>1</v>
      </c>
      <c r="S356" s="3">
        <v>0</v>
      </c>
      <c r="T356" s="3">
        <v>0</v>
      </c>
      <c r="U356" s="3">
        <v>0</v>
      </c>
      <c r="V356" s="3">
        <v>0</v>
      </c>
      <c r="W356" s="3" t="s">
        <v>6</v>
      </c>
      <c r="X356" s="3">
        <v>0</v>
      </c>
      <c r="Y356" s="3">
        <v>0</v>
      </c>
      <c r="Z356" s="3">
        <v>0</v>
      </c>
      <c r="AA356" s="3">
        <v>0</v>
      </c>
      <c r="AB356" s="3">
        <v>0</v>
      </c>
      <c r="AC356" s="3">
        <v>0</v>
      </c>
      <c r="AD356" s="3">
        <v>0</v>
      </c>
      <c r="AE356" s="3">
        <v>0</v>
      </c>
      <c r="AF356" s="3">
        <v>0</v>
      </c>
      <c r="AG356" s="3">
        <v>0</v>
      </c>
      <c r="AH356" s="3" t="s">
        <v>775</v>
      </c>
      <c r="AI356" s="3" t="s">
        <v>759</v>
      </c>
      <c r="AK356" s="3" t="s">
        <v>770</v>
      </c>
    </row>
    <row r="357" spans="1:38" x14ac:dyDescent="0.25">
      <c r="A357" t="s">
        <v>1163</v>
      </c>
      <c r="B357" s="7">
        <v>45806</v>
      </c>
      <c r="C357" s="7" t="s">
        <v>842</v>
      </c>
      <c r="D357" s="3" t="s">
        <v>6</v>
      </c>
      <c r="E357" s="3" t="s">
        <v>645</v>
      </c>
      <c r="F357" s="3" t="s">
        <v>8</v>
      </c>
      <c r="G357" s="3" t="s">
        <v>8</v>
      </c>
      <c r="H357" s="9">
        <v>39.532787066600697</v>
      </c>
      <c r="I357" s="9">
        <v>2.72228610396294</v>
      </c>
      <c r="J357" s="3">
        <v>1</v>
      </c>
      <c r="K357" s="3">
        <v>1</v>
      </c>
      <c r="L357" s="3">
        <v>0</v>
      </c>
      <c r="M357" s="3">
        <v>0</v>
      </c>
      <c r="N357" s="3" t="s">
        <v>6</v>
      </c>
      <c r="O357" s="3">
        <v>0</v>
      </c>
      <c r="P357" s="3">
        <v>0</v>
      </c>
      <c r="Q357" s="3">
        <v>1</v>
      </c>
      <c r="R357" s="3">
        <v>0</v>
      </c>
      <c r="S357" s="3">
        <v>0</v>
      </c>
      <c r="T357" s="3">
        <v>0</v>
      </c>
      <c r="U357" s="3">
        <v>0</v>
      </c>
      <c r="V357" s="3">
        <v>1</v>
      </c>
      <c r="W357" s="3" t="s">
        <v>6</v>
      </c>
      <c r="X357" s="3">
        <v>0</v>
      </c>
      <c r="Y357" s="3">
        <v>0</v>
      </c>
      <c r="Z357" s="3">
        <v>0</v>
      </c>
      <c r="AA357" s="3">
        <v>0</v>
      </c>
      <c r="AB357" s="3">
        <v>0</v>
      </c>
      <c r="AC357" s="3">
        <v>0</v>
      </c>
      <c r="AD357" s="3">
        <v>0</v>
      </c>
      <c r="AE357" s="3">
        <v>0</v>
      </c>
      <c r="AF357" s="3">
        <v>0</v>
      </c>
      <c r="AG357" s="3">
        <v>0</v>
      </c>
      <c r="AH357" s="3" t="s">
        <v>577</v>
      </c>
      <c r="AI357" s="3" t="s">
        <v>681</v>
      </c>
      <c r="AK357" s="3" t="s">
        <v>681</v>
      </c>
    </row>
    <row r="358" spans="1:38" x14ac:dyDescent="0.25">
      <c r="A358" t="s">
        <v>1224</v>
      </c>
      <c r="B358" s="7">
        <v>45806</v>
      </c>
      <c r="C358" s="7" t="s">
        <v>842</v>
      </c>
      <c r="D358" s="3" t="s">
        <v>6</v>
      </c>
      <c r="E358" s="3" t="s">
        <v>721</v>
      </c>
      <c r="F358" s="3" t="s">
        <v>59</v>
      </c>
      <c r="G358" s="3" t="s">
        <v>20</v>
      </c>
      <c r="H358" s="9">
        <v>41.719618325916102</v>
      </c>
      <c r="I358" s="9">
        <v>2.93441803734156</v>
      </c>
      <c r="J358" s="3">
        <v>1</v>
      </c>
      <c r="K358" s="3">
        <v>0</v>
      </c>
      <c r="L358" s="3">
        <v>0</v>
      </c>
      <c r="M358" s="3">
        <v>1</v>
      </c>
      <c r="N358" s="3" t="s">
        <v>6</v>
      </c>
      <c r="O358" s="3">
        <v>0</v>
      </c>
      <c r="P358" s="3">
        <v>0</v>
      </c>
      <c r="Q358" s="3">
        <v>1</v>
      </c>
      <c r="R358" s="3">
        <v>0</v>
      </c>
      <c r="S358" s="3">
        <v>0</v>
      </c>
      <c r="T358" s="3">
        <v>0</v>
      </c>
      <c r="U358" s="3">
        <v>0</v>
      </c>
      <c r="V358" s="3">
        <v>1</v>
      </c>
      <c r="W358" s="3" t="s">
        <v>6</v>
      </c>
      <c r="X358" s="3">
        <v>0</v>
      </c>
      <c r="Y358" s="3">
        <v>0</v>
      </c>
      <c r="Z358" s="3">
        <v>0</v>
      </c>
      <c r="AA358" s="3">
        <v>0</v>
      </c>
      <c r="AB358" s="3">
        <v>0</v>
      </c>
      <c r="AC358" s="3">
        <v>0</v>
      </c>
      <c r="AD358" s="3">
        <v>0</v>
      </c>
      <c r="AE358" s="3">
        <v>0</v>
      </c>
      <c r="AF358" s="3">
        <v>0</v>
      </c>
      <c r="AG358" s="3">
        <v>0</v>
      </c>
      <c r="AH358" s="3" t="s">
        <v>17</v>
      </c>
      <c r="AI358" s="3" t="s">
        <v>776</v>
      </c>
      <c r="AK358" s="3" t="s">
        <v>720</v>
      </c>
    </row>
    <row r="359" spans="1:38" x14ac:dyDescent="0.25">
      <c r="A359" t="s">
        <v>1225</v>
      </c>
      <c r="B359" s="7">
        <v>45806</v>
      </c>
      <c r="C359" s="7" t="s">
        <v>842</v>
      </c>
      <c r="D359" s="3" t="s">
        <v>6</v>
      </c>
      <c r="E359" s="3" t="s">
        <v>722</v>
      </c>
      <c r="F359" s="3" t="s">
        <v>59</v>
      </c>
      <c r="G359" s="3" t="s">
        <v>20</v>
      </c>
      <c r="H359" s="9">
        <v>42.287200476742001</v>
      </c>
      <c r="I359" s="9">
        <v>3.2763585546135099</v>
      </c>
      <c r="J359" s="3">
        <v>1</v>
      </c>
      <c r="K359" s="3">
        <v>0</v>
      </c>
      <c r="L359" s="3">
        <v>0</v>
      </c>
      <c r="M359" s="3">
        <v>1</v>
      </c>
      <c r="N359" s="3" t="s">
        <v>6</v>
      </c>
      <c r="O359" s="3">
        <v>0</v>
      </c>
      <c r="P359" s="3">
        <v>0</v>
      </c>
      <c r="Q359" s="3">
        <v>1</v>
      </c>
      <c r="R359" s="3">
        <v>0</v>
      </c>
      <c r="S359" s="3">
        <v>0</v>
      </c>
      <c r="T359" s="3">
        <v>0</v>
      </c>
      <c r="U359" s="3">
        <v>0</v>
      </c>
      <c r="V359" s="3">
        <v>1</v>
      </c>
      <c r="W359" s="3" t="s">
        <v>6</v>
      </c>
      <c r="X359" s="3">
        <v>0</v>
      </c>
      <c r="Y359" s="3">
        <v>0</v>
      </c>
      <c r="Z359" s="3">
        <v>0</v>
      </c>
      <c r="AA359" s="3">
        <v>0</v>
      </c>
      <c r="AB359" s="3">
        <v>0</v>
      </c>
      <c r="AC359" s="3">
        <v>0</v>
      </c>
      <c r="AD359" s="3">
        <v>0</v>
      </c>
      <c r="AE359" s="3">
        <v>0</v>
      </c>
      <c r="AF359" s="3">
        <v>0</v>
      </c>
      <c r="AG359" s="3">
        <v>0</v>
      </c>
      <c r="AH359" s="3" t="s">
        <v>17</v>
      </c>
      <c r="AI359" s="3" t="s">
        <v>776</v>
      </c>
      <c r="AK359" s="3" t="s">
        <v>720</v>
      </c>
    </row>
    <row r="360" spans="1:38" x14ac:dyDescent="0.25">
      <c r="A360" t="s">
        <v>1278</v>
      </c>
      <c r="B360" s="7">
        <v>45806</v>
      </c>
      <c r="C360" s="7" t="s">
        <v>842</v>
      </c>
      <c r="D360" s="3" t="s">
        <v>6</v>
      </c>
      <c r="E360" s="3" t="s">
        <v>609</v>
      </c>
      <c r="F360" s="3" t="s">
        <v>59</v>
      </c>
      <c r="G360" s="3" t="s">
        <v>20</v>
      </c>
      <c r="H360" s="9">
        <v>42.280813526849101</v>
      </c>
      <c r="I360" s="9">
        <v>3.2769318918251602</v>
      </c>
      <c r="J360" s="3">
        <v>1</v>
      </c>
      <c r="K360" s="3">
        <v>1</v>
      </c>
      <c r="L360" s="3">
        <v>0</v>
      </c>
      <c r="M360" s="3">
        <v>0</v>
      </c>
      <c r="N360" s="3" t="s">
        <v>66</v>
      </c>
      <c r="O360" s="3">
        <v>0</v>
      </c>
      <c r="P360" s="3">
        <v>1</v>
      </c>
      <c r="Q360" s="3">
        <v>0</v>
      </c>
      <c r="R360" s="3">
        <v>1</v>
      </c>
      <c r="S360" s="3">
        <v>0</v>
      </c>
      <c r="T360" s="3">
        <v>0</v>
      </c>
      <c r="U360" s="3">
        <v>0</v>
      </c>
      <c r="V360" s="3">
        <v>0</v>
      </c>
      <c r="W360" s="3" t="s">
        <v>6</v>
      </c>
      <c r="X360" s="3">
        <v>0</v>
      </c>
      <c r="Y360" s="3">
        <v>0</v>
      </c>
      <c r="Z360" s="3">
        <v>0</v>
      </c>
      <c r="AA360" s="3">
        <v>0</v>
      </c>
      <c r="AB360" s="3">
        <v>0</v>
      </c>
      <c r="AC360" s="3">
        <v>0</v>
      </c>
      <c r="AD360" s="3">
        <v>0</v>
      </c>
      <c r="AE360" s="3">
        <v>0</v>
      </c>
      <c r="AF360" s="3">
        <v>0</v>
      </c>
      <c r="AG360" s="3">
        <v>0</v>
      </c>
      <c r="AH360" s="3" t="s">
        <v>17</v>
      </c>
      <c r="AI360" s="3" t="s">
        <v>776</v>
      </c>
      <c r="AK360" s="3" t="s">
        <v>720</v>
      </c>
      <c r="AL360" s="3" t="s">
        <v>249</v>
      </c>
    </row>
    <row r="361" spans="1:38" x14ac:dyDescent="0.25">
      <c r="A361" t="s">
        <v>1036</v>
      </c>
      <c r="B361" s="7">
        <v>45807</v>
      </c>
      <c r="C361" s="7" t="s">
        <v>842</v>
      </c>
      <c r="D361" s="3" t="s">
        <v>6</v>
      </c>
      <c r="E361" s="3" t="s">
        <v>383</v>
      </c>
      <c r="F361" s="3" t="s">
        <v>78</v>
      </c>
      <c r="G361" s="3" t="s">
        <v>19</v>
      </c>
      <c r="H361" s="9">
        <v>40.363358039617403</v>
      </c>
      <c r="I361" s="9">
        <v>0.40367278078777602</v>
      </c>
      <c r="J361" s="3">
        <v>1</v>
      </c>
      <c r="K361" s="3">
        <v>1</v>
      </c>
      <c r="L361" s="3">
        <v>0</v>
      </c>
      <c r="M361" s="3">
        <v>0</v>
      </c>
      <c r="N361" s="3" t="s">
        <v>6</v>
      </c>
      <c r="O361" s="3">
        <v>0</v>
      </c>
      <c r="P361" s="3">
        <v>1</v>
      </c>
      <c r="Q361" s="3">
        <v>0</v>
      </c>
      <c r="R361" s="3">
        <v>1</v>
      </c>
      <c r="S361" s="3">
        <v>0</v>
      </c>
      <c r="T361" s="3">
        <v>0</v>
      </c>
      <c r="U361" s="3">
        <v>0</v>
      </c>
      <c r="V361" s="3">
        <v>0</v>
      </c>
      <c r="W361" s="3" t="s">
        <v>6</v>
      </c>
      <c r="X361" s="3">
        <v>1</v>
      </c>
      <c r="Y361" s="3">
        <v>0</v>
      </c>
      <c r="Z361" s="3">
        <v>0</v>
      </c>
      <c r="AA361" s="3">
        <v>1</v>
      </c>
      <c r="AB361" s="3">
        <v>0</v>
      </c>
      <c r="AC361" s="3">
        <v>0</v>
      </c>
      <c r="AD361" s="3">
        <v>0</v>
      </c>
      <c r="AE361" s="3">
        <v>0</v>
      </c>
      <c r="AF361" s="3">
        <v>0</v>
      </c>
      <c r="AG361" s="3">
        <v>0</v>
      </c>
      <c r="AH361" s="3" t="s">
        <v>17</v>
      </c>
      <c r="AI361" s="3" t="s">
        <v>781</v>
      </c>
      <c r="AK361" s="3" t="s">
        <v>384</v>
      </c>
      <c r="AL361" s="3" t="s">
        <v>249</v>
      </c>
    </row>
    <row r="362" spans="1:38" x14ac:dyDescent="0.25">
      <c r="A362" t="s">
        <v>1164</v>
      </c>
      <c r="B362" s="7">
        <v>45809</v>
      </c>
      <c r="C362" s="7" t="s">
        <v>844</v>
      </c>
      <c r="D362" s="3" t="s">
        <v>6</v>
      </c>
      <c r="E362" s="3" t="s">
        <v>646</v>
      </c>
      <c r="F362" s="3" t="s">
        <v>8</v>
      </c>
      <c r="G362" s="3" t="s">
        <v>8</v>
      </c>
      <c r="H362" s="9">
        <v>39.5370446654901</v>
      </c>
      <c r="I362" s="9">
        <v>2.4198731969442902</v>
      </c>
      <c r="J362" s="3">
        <v>1</v>
      </c>
      <c r="K362" s="3">
        <v>1</v>
      </c>
      <c r="L362" s="3">
        <v>0</v>
      </c>
      <c r="M362" s="3">
        <v>0</v>
      </c>
      <c r="N362" s="3" t="s">
        <v>6</v>
      </c>
      <c r="O362" s="3">
        <v>0</v>
      </c>
      <c r="P362" s="3">
        <v>0</v>
      </c>
      <c r="Q362" s="3">
        <v>1</v>
      </c>
      <c r="R362" s="3">
        <v>0</v>
      </c>
      <c r="S362" s="3">
        <v>0</v>
      </c>
      <c r="T362" s="3">
        <v>0</v>
      </c>
      <c r="U362" s="3">
        <v>0</v>
      </c>
      <c r="V362" s="3">
        <v>1</v>
      </c>
      <c r="W362" s="3" t="s">
        <v>6</v>
      </c>
      <c r="X362" s="3">
        <v>0</v>
      </c>
      <c r="Y362" s="3">
        <v>0</v>
      </c>
      <c r="Z362" s="3">
        <v>0</v>
      </c>
      <c r="AA362" s="3">
        <v>0</v>
      </c>
      <c r="AB362" s="3">
        <v>0</v>
      </c>
      <c r="AC362" s="3">
        <v>0</v>
      </c>
      <c r="AD362" s="3">
        <v>0</v>
      </c>
      <c r="AE362" s="3">
        <v>0</v>
      </c>
      <c r="AF362" s="3">
        <v>0</v>
      </c>
      <c r="AG362" s="3">
        <v>0</v>
      </c>
      <c r="AH362" s="3" t="s">
        <v>577</v>
      </c>
      <c r="AI362" s="3" t="s">
        <v>681</v>
      </c>
      <c r="AK362" s="3" t="s">
        <v>681</v>
      </c>
    </row>
    <row r="363" spans="1:38" x14ac:dyDescent="0.25">
      <c r="A363" t="s">
        <v>1165</v>
      </c>
      <c r="B363" s="7">
        <v>45809</v>
      </c>
      <c r="C363" s="7" t="s">
        <v>844</v>
      </c>
      <c r="D363" s="3" t="s">
        <v>6</v>
      </c>
      <c r="E363" s="3" t="s">
        <v>647</v>
      </c>
      <c r="F363" s="3" t="s">
        <v>8</v>
      </c>
      <c r="G363" s="3" t="s">
        <v>8</v>
      </c>
      <c r="H363" s="9">
        <v>39.899277184437601</v>
      </c>
      <c r="I363" s="9">
        <v>4.0713763874106297</v>
      </c>
      <c r="J363" s="3">
        <v>1</v>
      </c>
      <c r="K363" s="3">
        <v>1</v>
      </c>
      <c r="L363" s="3">
        <v>0</v>
      </c>
      <c r="M363" s="3">
        <v>0</v>
      </c>
      <c r="N363" s="3" t="s">
        <v>6</v>
      </c>
      <c r="O363" s="3">
        <v>0</v>
      </c>
      <c r="P363" s="3">
        <v>0</v>
      </c>
      <c r="Q363" s="3">
        <v>1</v>
      </c>
      <c r="R363" s="3">
        <v>0</v>
      </c>
      <c r="S363" s="3">
        <v>0</v>
      </c>
      <c r="T363" s="3">
        <v>0</v>
      </c>
      <c r="U363" s="3">
        <v>0</v>
      </c>
      <c r="V363" s="3">
        <v>1</v>
      </c>
      <c r="W363" s="3" t="s">
        <v>6</v>
      </c>
      <c r="X363" s="3">
        <v>0</v>
      </c>
      <c r="Y363" s="3">
        <v>0</v>
      </c>
      <c r="Z363" s="3">
        <v>0</v>
      </c>
      <c r="AA363" s="3">
        <v>0</v>
      </c>
      <c r="AB363" s="3">
        <v>0</v>
      </c>
      <c r="AC363" s="3">
        <v>0</v>
      </c>
      <c r="AD363" s="3">
        <v>0</v>
      </c>
      <c r="AE363" s="3">
        <v>0</v>
      </c>
      <c r="AF363" s="3">
        <v>0</v>
      </c>
      <c r="AG363" s="3">
        <v>0</v>
      </c>
      <c r="AH363" s="3" t="s">
        <v>577</v>
      </c>
      <c r="AI363" s="3" t="s">
        <v>681</v>
      </c>
      <c r="AK363" s="3" t="s">
        <v>681</v>
      </c>
    </row>
    <row r="364" spans="1:38" x14ac:dyDescent="0.25">
      <c r="A364" t="s">
        <v>1166</v>
      </c>
      <c r="B364" s="7">
        <v>45809</v>
      </c>
      <c r="C364" s="7" t="s">
        <v>844</v>
      </c>
      <c r="D364" s="3" t="s">
        <v>6</v>
      </c>
      <c r="E364" s="3" t="s">
        <v>648</v>
      </c>
      <c r="F364" s="3" t="s">
        <v>8</v>
      </c>
      <c r="G364" s="3" t="s">
        <v>8</v>
      </c>
      <c r="H364" s="9">
        <v>39.527143994070599</v>
      </c>
      <c r="I364" s="9">
        <v>2.7299849378361101</v>
      </c>
      <c r="J364" s="3">
        <v>1</v>
      </c>
      <c r="K364" s="3">
        <v>1</v>
      </c>
      <c r="L364" s="3">
        <v>0</v>
      </c>
      <c r="M364" s="3">
        <v>0</v>
      </c>
      <c r="N364" s="3" t="s">
        <v>6</v>
      </c>
      <c r="O364" s="3">
        <v>0</v>
      </c>
      <c r="P364" s="3">
        <v>0</v>
      </c>
      <c r="Q364" s="3">
        <v>1</v>
      </c>
      <c r="R364" s="3">
        <v>0</v>
      </c>
      <c r="S364" s="3">
        <v>0</v>
      </c>
      <c r="T364" s="3">
        <v>0</v>
      </c>
      <c r="U364" s="3">
        <v>0</v>
      </c>
      <c r="V364" s="3">
        <v>1</v>
      </c>
      <c r="W364" s="3" t="s">
        <v>6</v>
      </c>
      <c r="X364" s="3">
        <v>0</v>
      </c>
      <c r="Y364" s="3">
        <v>0</v>
      </c>
      <c r="Z364" s="3">
        <v>0</v>
      </c>
      <c r="AA364" s="3">
        <v>0</v>
      </c>
      <c r="AB364" s="3">
        <v>0</v>
      </c>
      <c r="AC364" s="3">
        <v>0</v>
      </c>
      <c r="AD364" s="3">
        <v>0</v>
      </c>
      <c r="AE364" s="3">
        <v>0</v>
      </c>
      <c r="AF364" s="3">
        <v>0</v>
      </c>
      <c r="AG364" s="3">
        <v>0</v>
      </c>
      <c r="AH364" s="3" t="s">
        <v>577</v>
      </c>
      <c r="AI364" s="3" t="s">
        <v>681</v>
      </c>
      <c r="AK364" s="3" t="s">
        <v>681</v>
      </c>
    </row>
    <row r="365" spans="1:38" x14ac:dyDescent="0.25">
      <c r="A365" t="s">
        <v>1168</v>
      </c>
      <c r="B365" s="7">
        <v>45809</v>
      </c>
      <c r="C365" s="7" t="s">
        <v>844</v>
      </c>
      <c r="D365" s="3" t="s">
        <v>6</v>
      </c>
      <c r="E365" s="3" t="s">
        <v>650</v>
      </c>
      <c r="F365" s="3" t="s">
        <v>8</v>
      </c>
      <c r="G365" s="3" t="s">
        <v>8</v>
      </c>
      <c r="H365" s="9">
        <v>38.913876715728598</v>
      </c>
      <c r="I365" s="9">
        <v>1.2235663082200701</v>
      </c>
      <c r="J365" s="3">
        <v>1</v>
      </c>
      <c r="K365" s="3">
        <v>1</v>
      </c>
      <c r="L365" s="3">
        <v>0</v>
      </c>
      <c r="M365" s="3">
        <v>0</v>
      </c>
      <c r="N365" s="3" t="s">
        <v>6</v>
      </c>
      <c r="O365" s="3">
        <v>0</v>
      </c>
      <c r="P365" s="3">
        <v>0</v>
      </c>
      <c r="Q365" s="3">
        <v>1</v>
      </c>
      <c r="R365" s="3">
        <v>0</v>
      </c>
      <c r="S365" s="3">
        <v>0</v>
      </c>
      <c r="T365" s="3">
        <v>0</v>
      </c>
      <c r="U365" s="3">
        <v>0</v>
      </c>
      <c r="V365" s="3">
        <v>1</v>
      </c>
      <c r="W365" s="3" t="s">
        <v>6</v>
      </c>
      <c r="X365" s="3">
        <v>0</v>
      </c>
      <c r="Y365" s="3">
        <v>0</v>
      </c>
      <c r="Z365" s="3">
        <v>0</v>
      </c>
      <c r="AA365" s="3">
        <v>0</v>
      </c>
      <c r="AB365" s="3">
        <v>0</v>
      </c>
      <c r="AC365" s="3">
        <v>0</v>
      </c>
      <c r="AD365" s="3">
        <v>0</v>
      </c>
      <c r="AE365" s="3">
        <v>0</v>
      </c>
      <c r="AF365" s="3">
        <v>0</v>
      </c>
      <c r="AG365" s="3">
        <v>0</v>
      </c>
      <c r="AH365" s="3" t="s">
        <v>577</v>
      </c>
      <c r="AI365" s="3" t="s">
        <v>681</v>
      </c>
      <c r="AK365" s="3" t="s">
        <v>681</v>
      </c>
    </row>
    <row r="366" spans="1:38" x14ac:dyDescent="0.25">
      <c r="A366" t="s">
        <v>1314</v>
      </c>
      <c r="B366" s="7">
        <v>45810</v>
      </c>
      <c r="C366" s="7" t="s">
        <v>844</v>
      </c>
      <c r="D366" s="4" t="s">
        <v>6</v>
      </c>
      <c r="E366" s="3" t="s">
        <v>15</v>
      </c>
      <c r="F366" s="3" t="s">
        <v>8</v>
      </c>
      <c r="G366" s="3" t="s">
        <v>8</v>
      </c>
      <c r="H366" s="9">
        <v>38.913876715728598</v>
      </c>
      <c r="I366" s="9">
        <v>1.2235663082200701</v>
      </c>
      <c r="J366" s="3">
        <v>1</v>
      </c>
      <c r="K366" s="3">
        <v>1</v>
      </c>
      <c r="L366" s="3">
        <v>0</v>
      </c>
      <c r="M366" s="3">
        <v>0</v>
      </c>
      <c r="N366" s="3" t="s">
        <v>16</v>
      </c>
      <c r="O366" s="3">
        <v>0</v>
      </c>
      <c r="P366" s="3">
        <v>0</v>
      </c>
      <c r="Q366" s="3">
        <v>1</v>
      </c>
      <c r="R366" s="3">
        <v>0</v>
      </c>
      <c r="S366" s="3">
        <v>0</v>
      </c>
      <c r="T366" s="3">
        <v>0</v>
      </c>
      <c r="U366" s="3">
        <v>0</v>
      </c>
      <c r="V366" s="3">
        <v>1</v>
      </c>
      <c r="W366" s="3" t="s">
        <v>6</v>
      </c>
      <c r="X366" s="3">
        <v>0</v>
      </c>
      <c r="Y366" s="3">
        <v>0</v>
      </c>
      <c r="Z366" s="3">
        <v>0</v>
      </c>
      <c r="AA366" s="3">
        <v>0</v>
      </c>
      <c r="AB366" s="3">
        <v>0</v>
      </c>
      <c r="AC366" s="3">
        <v>0</v>
      </c>
      <c r="AD366" s="3">
        <v>0</v>
      </c>
      <c r="AE366" s="3">
        <v>0</v>
      </c>
      <c r="AF366" s="3">
        <v>0</v>
      </c>
      <c r="AG366" s="3">
        <v>0</v>
      </c>
      <c r="AH366" s="3" t="s">
        <v>17</v>
      </c>
      <c r="AI366" s="3" t="s">
        <v>776</v>
      </c>
      <c r="AK366" s="3" t="s">
        <v>14</v>
      </c>
      <c r="AL366" s="3" t="s">
        <v>18</v>
      </c>
    </row>
    <row r="367" spans="1:38" x14ac:dyDescent="0.25">
      <c r="A367" t="s">
        <v>1167</v>
      </c>
      <c r="B367" s="7">
        <v>45810</v>
      </c>
      <c r="C367" s="7" t="s">
        <v>844</v>
      </c>
      <c r="D367" s="3" t="s">
        <v>6</v>
      </c>
      <c r="E367" s="3" t="s">
        <v>649</v>
      </c>
      <c r="F367" s="3" t="s">
        <v>8</v>
      </c>
      <c r="G367" s="3" t="s">
        <v>8</v>
      </c>
      <c r="H367" s="9">
        <v>40.0003032439446</v>
      </c>
      <c r="I367" s="9">
        <v>3.8129008084265501</v>
      </c>
      <c r="J367" s="3">
        <v>1</v>
      </c>
      <c r="K367" s="3">
        <v>0</v>
      </c>
      <c r="L367" s="3">
        <v>1</v>
      </c>
      <c r="M367" s="3">
        <v>0</v>
      </c>
      <c r="N367" s="3" t="s">
        <v>6</v>
      </c>
      <c r="O367" s="3">
        <v>0</v>
      </c>
      <c r="P367" s="3">
        <v>0</v>
      </c>
      <c r="Q367" s="3">
        <v>1</v>
      </c>
      <c r="R367" s="3">
        <v>0</v>
      </c>
      <c r="S367" s="3">
        <v>0</v>
      </c>
      <c r="T367" s="3">
        <v>0</v>
      </c>
      <c r="U367" s="3">
        <v>0</v>
      </c>
      <c r="V367" s="3">
        <v>1</v>
      </c>
      <c r="W367" s="3" t="s">
        <v>6</v>
      </c>
      <c r="X367" s="3">
        <v>0</v>
      </c>
      <c r="Y367" s="3">
        <v>0</v>
      </c>
      <c r="Z367" s="3">
        <v>0</v>
      </c>
      <c r="AA367" s="3">
        <v>0</v>
      </c>
      <c r="AB367" s="3">
        <v>0</v>
      </c>
      <c r="AC367" s="3">
        <v>0</v>
      </c>
      <c r="AD367" s="3">
        <v>0</v>
      </c>
      <c r="AE367" s="3">
        <v>0</v>
      </c>
      <c r="AF367" s="3">
        <v>0</v>
      </c>
      <c r="AG367" s="3">
        <v>0</v>
      </c>
      <c r="AH367" s="3" t="s">
        <v>577</v>
      </c>
      <c r="AI367" s="3" t="s">
        <v>681</v>
      </c>
      <c r="AK367" s="3" t="s">
        <v>681</v>
      </c>
    </row>
    <row r="368" spans="1:38" x14ac:dyDescent="0.25">
      <c r="A368" t="s">
        <v>1169</v>
      </c>
      <c r="B368" s="7">
        <v>45810</v>
      </c>
      <c r="C368" s="7" t="s">
        <v>844</v>
      </c>
      <c r="D368" s="3" t="s">
        <v>6</v>
      </c>
      <c r="E368" s="3" t="s">
        <v>651</v>
      </c>
      <c r="F368" s="3" t="s">
        <v>8</v>
      </c>
      <c r="G368" s="3" t="s">
        <v>8</v>
      </c>
      <c r="H368" s="9">
        <v>39.601647256680899</v>
      </c>
      <c r="I368" s="9">
        <v>3.38614675034589</v>
      </c>
      <c r="J368" s="3">
        <v>1</v>
      </c>
      <c r="K368" s="3">
        <v>1</v>
      </c>
      <c r="L368" s="3">
        <v>0</v>
      </c>
      <c r="M368" s="3">
        <v>0</v>
      </c>
      <c r="N368" s="3" t="s">
        <v>6</v>
      </c>
      <c r="O368" s="3">
        <v>0</v>
      </c>
      <c r="P368" s="3">
        <v>0</v>
      </c>
      <c r="Q368" s="3">
        <v>1</v>
      </c>
      <c r="R368" s="3">
        <v>0</v>
      </c>
      <c r="S368" s="3">
        <v>0</v>
      </c>
      <c r="T368" s="3">
        <v>0</v>
      </c>
      <c r="U368" s="3">
        <v>0</v>
      </c>
      <c r="V368" s="3">
        <v>1</v>
      </c>
      <c r="W368" s="3" t="s">
        <v>6</v>
      </c>
      <c r="X368" s="3">
        <v>0</v>
      </c>
      <c r="Y368" s="3">
        <v>0</v>
      </c>
      <c r="Z368" s="3">
        <v>0</v>
      </c>
      <c r="AA368" s="3">
        <v>0</v>
      </c>
      <c r="AB368" s="3">
        <v>0</v>
      </c>
      <c r="AC368" s="3">
        <v>0</v>
      </c>
      <c r="AD368" s="3">
        <v>0</v>
      </c>
      <c r="AE368" s="3">
        <v>0</v>
      </c>
      <c r="AF368" s="3">
        <v>0</v>
      </c>
      <c r="AG368" s="3">
        <v>0</v>
      </c>
      <c r="AH368" s="3" t="s">
        <v>577</v>
      </c>
      <c r="AI368" s="3" t="s">
        <v>681</v>
      </c>
      <c r="AK368" s="3" t="s">
        <v>681</v>
      </c>
    </row>
    <row r="369" spans="1:38" x14ac:dyDescent="0.25">
      <c r="A369" t="s">
        <v>1134</v>
      </c>
      <c r="B369" s="7">
        <v>45811</v>
      </c>
      <c r="C369" s="7" t="s">
        <v>844</v>
      </c>
      <c r="D369" s="3" t="s">
        <v>6</v>
      </c>
      <c r="E369" s="3" t="s">
        <v>383</v>
      </c>
      <c r="F369" s="3" t="s">
        <v>78</v>
      </c>
      <c r="G369" s="3" t="s">
        <v>19</v>
      </c>
      <c r="H369" s="9">
        <v>40.361753261012602</v>
      </c>
      <c r="I369" s="9">
        <v>0.40385290366826598</v>
      </c>
      <c r="J369" s="3">
        <v>1</v>
      </c>
      <c r="K369" s="3">
        <v>1</v>
      </c>
      <c r="L369" s="3">
        <v>0</v>
      </c>
      <c r="M369" s="3">
        <v>0</v>
      </c>
      <c r="N369" s="3" t="s">
        <v>66</v>
      </c>
      <c r="O369" s="3">
        <v>0</v>
      </c>
      <c r="P369" s="3">
        <v>1</v>
      </c>
      <c r="Q369" s="3">
        <v>0</v>
      </c>
      <c r="R369" s="3">
        <v>1</v>
      </c>
      <c r="S369" s="3">
        <v>0</v>
      </c>
      <c r="T369" s="3">
        <v>0</v>
      </c>
      <c r="U369" s="3">
        <v>0</v>
      </c>
      <c r="V369" s="3">
        <v>0</v>
      </c>
      <c r="W369" s="3" t="s">
        <v>6</v>
      </c>
      <c r="X369" s="3">
        <v>1</v>
      </c>
      <c r="Y369" s="3">
        <v>0</v>
      </c>
      <c r="Z369" s="3">
        <v>0</v>
      </c>
      <c r="AA369" s="3">
        <v>1</v>
      </c>
      <c r="AB369" s="3">
        <v>0</v>
      </c>
      <c r="AC369" s="3">
        <v>0</v>
      </c>
      <c r="AD369" s="3">
        <v>0</v>
      </c>
      <c r="AE369" s="3">
        <v>0</v>
      </c>
      <c r="AF369" s="3">
        <v>0</v>
      </c>
      <c r="AG369" s="3">
        <v>0</v>
      </c>
      <c r="AH369" s="3" t="s">
        <v>17</v>
      </c>
      <c r="AI369" s="3" t="s">
        <v>776</v>
      </c>
      <c r="AK369" s="3" t="s">
        <v>617</v>
      </c>
      <c r="AL369" s="3" t="s">
        <v>463</v>
      </c>
    </row>
    <row r="370" spans="1:38" x14ac:dyDescent="0.25">
      <c r="A370" t="s">
        <v>1170</v>
      </c>
      <c r="B370" s="7">
        <v>45812</v>
      </c>
      <c r="C370" s="7" t="s">
        <v>844</v>
      </c>
      <c r="D370" s="3" t="s">
        <v>6</v>
      </c>
      <c r="E370" s="3" t="s">
        <v>652</v>
      </c>
      <c r="F370" s="3" t="s">
        <v>8</v>
      </c>
      <c r="G370" s="3" t="s">
        <v>8</v>
      </c>
      <c r="H370" s="9">
        <v>40.0463531200879</v>
      </c>
      <c r="I370" s="9">
        <v>3.9222222870224401</v>
      </c>
      <c r="J370" s="3">
        <v>1</v>
      </c>
      <c r="K370" s="3">
        <v>1</v>
      </c>
      <c r="L370" s="3">
        <v>0</v>
      </c>
      <c r="M370" s="3">
        <v>0</v>
      </c>
      <c r="N370" s="3" t="s">
        <v>6</v>
      </c>
      <c r="O370" s="3">
        <v>0</v>
      </c>
      <c r="P370" s="3">
        <v>0</v>
      </c>
      <c r="Q370" s="3">
        <v>1</v>
      </c>
      <c r="R370" s="3">
        <v>0</v>
      </c>
      <c r="S370" s="3">
        <v>0</v>
      </c>
      <c r="T370" s="3">
        <v>0</v>
      </c>
      <c r="U370" s="3">
        <v>0</v>
      </c>
      <c r="V370" s="3">
        <v>1</v>
      </c>
      <c r="W370" s="3" t="s">
        <v>6</v>
      </c>
      <c r="X370" s="3">
        <v>0</v>
      </c>
      <c r="Y370" s="3">
        <v>0</v>
      </c>
      <c r="Z370" s="3">
        <v>0</v>
      </c>
      <c r="AA370" s="3">
        <v>0</v>
      </c>
      <c r="AB370" s="3">
        <v>0</v>
      </c>
      <c r="AC370" s="3">
        <v>0</v>
      </c>
      <c r="AD370" s="3">
        <v>0</v>
      </c>
      <c r="AE370" s="3">
        <v>0</v>
      </c>
      <c r="AF370" s="3">
        <v>0</v>
      </c>
      <c r="AG370" s="3">
        <v>0</v>
      </c>
      <c r="AH370" s="3" t="s">
        <v>577</v>
      </c>
      <c r="AI370" s="3" t="s">
        <v>681</v>
      </c>
      <c r="AK370" s="3" t="s">
        <v>681</v>
      </c>
    </row>
    <row r="371" spans="1:38" x14ac:dyDescent="0.25">
      <c r="A371" t="s">
        <v>1111</v>
      </c>
      <c r="B371" s="7">
        <v>45813</v>
      </c>
      <c r="C371" s="7" t="s">
        <v>844</v>
      </c>
      <c r="D371" s="4">
        <v>0.875</v>
      </c>
      <c r="E371" s="3" t="s">
        <v>510</v>
      </c>
      <c r="F371" s="3" t="s">
        <v>8</v>
      </c>
      <c r="G371" s="3" t="s">
        <v>8</v>
      </c>
      <c r="H371" s="9">
        <v>39.080680146577002</v>
      </c>
      <c r="I371" s="9">
        <v>1.4403684633526199</v>
      </c>
      <c r="J371" s="3">
        <v>1</v>
      </c>
      <c r="K371" s="3">
        <v>1</v>
      </c>
      <c r="L371" s="3">
        <v>0</v>
      </c>
      <c r="M371" s="3">
        <v>0</v>
      </c>
      <c r="N371" s="3" t="s">
        <v>16</v>
      </c>
      <c r="O371" s="3">
        <v>0</v>
      </c>
      <c r="P371" s="3">
        <v>1</v>
      </c>
      <c r="Q371" s="3">
        <v>0</v>
      </c>
      <c r="R371" s="3">
        <v>1</v>
      </c>
      <c r="S371" s="3">
        <v>0</v>
      </c>
      <c r="T371" s="3">
        <v>0</v>
      </c>
      <c r="U371" s="3">
        <v>0</v>
      </c>
      <c r="V371" s="3">
        <v>0</v>
      </c>
      <c r="W371" s="3" t="s">
        <v>6</v>
      </c>
      <c r="X371" s="3">
        <v>1</v>
      </c>
      <c r="Y371" s="3">
        <v>0</v>
      </c>
      <c r="Z371" s="3">
        <v>0</v>
      </c>
      <c r="AA371" s="3">
        <v>1</v>
      </c>
      <c r="AB371" s="3">
        <v>0</v>
      </c>
      <c r="AC371" s="3">
        <v>0</v>
      </c>
      <c r="AD371" s="3">
        <v>0</v>
      </c>
      <c r="AE371" s="3">
        <v>0</v>
      </c>
      <c r="AF371" s="3">
        <v>0</v>
      </c>
      <c r="AG371" s="3">
        <v>0</v>
      </c>
      <c r="AH371" s="3" t="s">
        <v>233</v>
      </c>
      <c r="AI371" s="3" t="s">
        <v>792</v>
      </c>
      <c r="AK371" s="3" t="s">
        <v>511</v>
      </c>
      <c r="AL371" s="3" t="s">
        <v>463</v>
      </c>
    </row>
    <row r="372" spans="1:38" x14ac:dyDescent="0.25">
      <c r="A372" t="s">
        <v>1030</v>
      </c>
      <c r="B372" s="7">
        <v>45814</v>
      </c>
      <c r="C372" s="7" t="s">
        <v>844</v>
      </c>
      <c r="D372" s="3" t="s">
        <v>6</v>
      </c>
      <c r="E372" s="3" t="s">
        <v>370</v>
      </c>
      <c r="F372" s="3" t="s">
        <v>8</v>
      </c>
      <c r="G372" s="3" t="s">
        <v>8</v>
      </c>
      <c r="H372" s="9">
        <v>39.036527617121301</v>
      </c>
      <c r="I372" s="9">
        <v>1.6093427470683399</v>
      </c>
      <c r="J372" s="3">
        <v>1</v>
      </c>
      <c r="K372" s="3">
        <v>1</v>
      </c>
      <c r="L372" s="3">
        <v>0</v>
      </c>
      <c r="M372" s="3">
        <v>0</v>
      </c>
      <c r="N372" s="3" t="s">
        <v>66</v>
      </c>
      <c r="O372" s="3">
        <v>0</v>
      </c>
      <c r="P372" s="3">
        <v>0</v>
      </c>
      <c r="Q372" s="3">
        <v>1</v>
      </c>
      <c r="R372" s="3">
        <v>0</v>
      </c>
      <c r="S372" s="3">
        <v>0</v>
      </c>
      <c r="T372" s="3">
        <v>0</v>
      </c>
      <c r="U372" s="3">
        <v>0</v>
      </c>
      <c r="V372" s="3">
        <v>1</v>
      </c>
      <c r="W372" s="3" t="s">
        <v>6</v>
      </c>
      <c r="X372" s="3">
        <v>0</v>
      </c>
      <c r="Y372" s="3">
        <v>0</v>
      </c>
      <c r="Z372" s="3">
        <v>0</v>
      </c>
      <c r="AA372" s="3">
        <v>0</v>
      </c>
      <c r="AB372" s="3">
        <v>0</v>
      </c>
      <c r="AC372" s="3">
        <v>0</v>
      </c>
      <c r="AD372" s="3">
        <v>0</v>
      </c>
      <c r="AE372" s="3">
        <v>0</v>
      </c>
      <c r="AF372" s="3">
        <v>0</v>
      </c>
      <c r="AG372" s="3">
        <v>0</v>
      </c>
      <c r="AH372" s="3" t="s">
        <v>17</v>
      </c>
      <c r="AI372" s="3" t="s">
        <v>780</v>
      </c>
      <c r="AK372" s="3" t="s">
        <v>371</v>
      </c>
      <c r="AL372" s="3" t="s">
        <v>372</v>
      </c>
    </row>
    <row r="373" spans="1:38" x14ac:dyDescent="0.25">
      <c r="A373" t="s">
        <v>1171</v>
      </c>
      <c r="B373" s="7">
        <v>45815</v>
      </c>
      <c r="C373" s="7" t="s">
        <v>844</v>
      </c>
      <c r="D373" s="3" t="s">
        <v>6</v>
      </c>
      <c r="E373" s="3" t="s">
        <v>653</v>
      </c>
      <c r="F373" s="3" t="s">
        <v>8</v>
      </c>
      <c r="G373" s="3" t="s">
        <v>8</v>
      </c>
      <c r="H373" s="9">
        <v>39.515974184198498</v>
      </c>
      <c r="I373" s="9">
        <v>2.4791298454538002</v>
      </c>
      <c r="J373" s="3">
        <v>1</v>
      </c>
      <c r="K373" s="3">
        <v>1</v>
      </c>
      <c r="L373" s="3">
        <v>0</v>
      </c>
      <c r="M373" s="3">
        <v>0</v>
      </c>
      <c r="N373" s="3" t="s">
        <v>6</v>
      </c>
      <c r="O373" s="3">
        <v>0</v>
      </c>
      <c r="P373" s="3">
        <v>0</v>
      </c>
      <c r="Q373" s="3">
        <v>1</v>
      </c>
      <c r="R373" s="3">
        <v>0</v>
      </c>
      <c r="S373" s="3">
        <v>0</v>
      </c>
      <c r="T373" s="3">
        <v>0</v>
      </c>
      <c r="U373" s="3">
        <v>0</v>
      </c>
      <c r="V373" s="3">
        <v>1</v>
      </c>
      <c r="W373" s="3" t="s">
        <v>6</v>
      </c>
      <c r="X373" s="3">
        <v>0</v>
      </c>
      <c r="Y373" s="3">
        <v>0</v>
      </c>
      <c r="Z373" s="3">
        <v>0</v>
      </c>
      <c r="AA373" s="3">
        <v>0</v>
      </c>
      <c r="AB373" s="3">
        <v>0</v>
      </c>
      <c r="AC373" s="3">
        <v>0</v>
      </c>
      <c r="AD373" s="3">
        <v>0</v>
      </c>
      <c r="AE373" s="3">
        <v>0</v>
      </c>
      <c r="AF373" s="3">
        <v>0</v>
      </c>
      <c r="AG373" s="3">
        <v>0</v>
      </c>
      <c r="AH373" s="3" t="s">
        <v>577</v>
      </c>
      <c r="AI373" s="3" t="s">
        <v>681</v>
      </c>
      <c r="AK373" s="3" t="s">
        <v>681</v>
      </c>
    </row>
    <row r="374" spans="1:38" x14ac:dyDescent="0.25">
      <c r="A374" t="s">
        <v>1172</v>
      </c>
      <c r="B374" s="7">
        <v>45815</v>
      </c>
      <c r="C374" s="7" t="s">
        <v>844</v>
      </c>
      <c r="D374" s="3" t="s">
        <v>6</v>
      </c>
      <c r="E374" s="3" t="s">
        <v>654</v>
      </c>
      <c r="F374" s="3" t="s">
        <v>8</v>
      </c>
      <c r="G374" s="3" t="s">
        <v>8</v>
      </c>
      <c r="H374" s="9">
        <v>39.925622079515897</v>
      </c>
      <c r="I374" s="9">
        <v>3.84250256757834</v>
      </c>
      <c r="J374" s="3">
        <v>1</v>
      </c>
      <c r="K374" s="3">
        <v>1</v>
      </c>
      <c r="L374" s="3">
        <v>0</v>
      </c>
      <c r="M374" s="3">
        <v>0</v>
      </c>
      <c r="N374" s="3" t="s">
        <v>6</v>
      </c>
      <c r="O374" s="3">
        <v>0</v>
      </c>
      <c r="P374" s="3">
        <v>0</v>
      </c>
      <c r="Q374" s="3">
        <v>1</v>
      </c>
      <c r="R374" s="3">
        <v>0</v>
      </c>
      <c r="S374" s="3">
        <v>0</v>
      </c>
      <c r="T374" s="3">
        <v>0</v>
      </c>
      <c r="U374" s="3">
        <v>0</v>
      </c>
      <c r="V374" s="3">
        <v>1</v>
      </c>
      <c r="W374" s="3" t="s">
        <v>6</v>
      </c>
      <c r="X374" s="3">
        <v>0</v>
      </c>
      <c r="Y374" s="3">
        <v>0</v>
      </c>
      <c r="Z374" s="3">
        <v>0</v>
      </c>
      <c r="AA374" s="3">
        <v>0</v>
      </c>
      <c r="AB374" s="3">
        <v>0</v>
      </c>
      <c r="AC374" s="3">
        <v>0</v>
      </c>
      <c r="AD374" s="3">
        <v>0</v>
      </c>
      <c r="AE374" s="3">
        <v>0</v>
      </c>
      <c r="AF374" s="3">
        <v>0</v>
      </c>
      <c r="AG374" s="3">
        <v>0</v>
      </c>
      <c r="AH374" s="3" t="s">
        <v>577</v>
      </c>
      <c r="AI374" s="3" t="s">
        <v>681</v>
      </c>
      <c r="AK374" s="3" t="s">
        <v>681</v>
      </c>
    </row>
    <row r="375" spans="1:38" x14ac:dyDescent="0.25">
      <c r="A375" t="s">
        <v>1173</v>
      </c>
      <c r="B375" s="7">
        <v>45815</v>
      </c>
      <c r="C375" s="7" t="s">
        <v>844</v>
      </c>
      <c r="D375" s="3" t="s">
        <v>6</v>
      </c>
      <c r="E375" s="3" t="s">
        <v>655</v>
      </c>
      <c r="F375" s="3" t="s">
        <v>8</v>
      </c>
      <c r="G375" s="3" t="s">
        <v>8</v>
      </c>
      <c r="H375" s="9">
        <v>39.352749577144898</v>
      </c>
      <c r="I375" s="9">
        <v>2.9136156380879998</v>
      </c>
      <c r="J375" s="3">
        <v>1</v>
      </c>
      <c r="K375" s="3">
        <v>1</v>
      </c>
      <c r="L375" s="3">
        <v>0</v>
      </c>
      <c r="M375" s="3">
        <v>0</v>
      </c>
      <c r="N375" s="3" t="s">
        <v>6</v>
      </c>
      <c r="O375" s="3">
        <v>0</v>
      </c>
      <c r="P375" s="3">
        <v>0</v>
      </c>
      <c r="Q375" s="3">
        <v>1</v>
      </c>
      <c r="R375" s="3">
        <v>0</v>
      </c>
      <c r="S375" s="3">
        <v>0</v>
      </c>
      <c r="T375" s="3">
        <v>0</v>
      </c>
      <c r="U375" s="3">
        <v>0</v>
      </c>
      <c r="V375" s="3">
        <v>1</v>
      </c>
      <c r="W375" s="3" t="s">
        <v>6</v>
      </c>
      <c r="X375" s="3">
        <v>0</v>
      </c>
      <c r="Y375" s="3">
        <v>0</v>
      </c>
      <c r="Z375" s="3">
        <v>0</v>
      </c>
      <c r="AA375" s="3">
        <v>0</v>
      </c>
      <c r="AB375" s="3">
        <v>0</v>
      </c>
      <c r="AC375" s="3">
        <v>0</v>
      </c>
      <c r="AD375" s="3">
        <v>0</v>
      </c>
      <c r="AE375" s="3">
        <v>0</v>
      </c>
      <c r="AF375" s="3">
        <v>0</v>
      </c>
      <c r="AG375" s="3">
        <v>0</v>
      </c>
      <c r="AH375" s="3" t="s">
        <v>577</v>
      </c>
      <c r="AI375" s="3" t="s">
        <v>681</v>
      </c>
      <c r="AK375" s="3" t="s">
        <v>681</v>
      </c>
    </row>
    <row r="376" spans="1:38" x14ac:dyDescent="0.25">
      <c r="A376" t="s">
        <v>1121</v>
      </c>
      <c r="B376" s="7">
        <v>45816</v>
      </c>
      <c r="C376" s="7" t="s">
        <v>844</v>
      </c>
      <c r="D376" s="3" t="s">
        <v>6</v>
      </c>
      <c r="E376" s="3" t="s">
        <v>581</v>
      </c>
      <c r="F376" s="3" t="s">
        <v>87</v>
      </c>
      <c r="G376" s="3" t="s">
        <v>19</v>
      </c>
      <c r="H376" s="9">
        <v>39.161316697415302</v>
      </c>
      <c r="I376" s="9">
        <v>-0.24015395044339599</v>
      </c>
      <c r="J376" s="3">
        <v>1</v>
      </c>
      <c r="K376" s="3">
        <v>1</v>
      </c>
      <c r="L376" s="3">
        <v>0</v>
      </c>
      <c r="M376" s="3">
        <v>0</v>
      </c>
      <c r="N376" s="3" t="s">
        <v>6</v>
      </c>
      <c r="O376" s="3">
        <v>0</v>
      </c>
      <c r="P376" s="3">
        <v>0</v>
      </c>
      <c r="Q376" s="3">
        <v>1</v>
      </c>
      <c r="R376" s="3">
        <v>1</v>
      </c>
      <c r="S376" s="3">
        <v>0</v>
      </c>
      <c r="T376" s="3">
        <v>0</v>
      </c>
      <c r="U376" s="3">
        <v>0</v>
      </c>
      <c r="V376" s="3">
        <v>0</v>
      </c>
      <c r="W376" s="3" t="s">
        <v>6</v>
      </c>
      <c r="X376" s="3">
        <v>0</v>
      </c>
      <c r="Y376" s="3">
        <v>0</v>
      </c>
      <c r="Z376" s="3">
        <v>0</v>
      </c>
      <c r="AA376" s="3">
        <v>0</v>
      </c>
      <c r="AB376" s="3">
        <v>0</v>
      </c>
      <c r="AC376" s="3">
        <v>0</v>
      </c>
      <c r="AD376" s="3">
        <v>0</v>
      </c>
      <c r="AE376" s="3">
        <v>0</v>
      </c>
      <c r="AF376" s="3">
        <v>0</v>
      </c>
      <c r="AG376" s="3">
        <v>0</v>
      </c>
      <c r="AH376" s="3" t="s">
        <v>17</v>
      </c>
      <c r="AI376" s="3" t="s">
        <v>781</v>
      </c>
      <c r="AK376" s="3" t="s">
        <v>582</v>
      </c>
      <c r="AL376" s="3" t="s">
        <v>249</v>
      </c>
    </row>
    <row r="377" spans="1:38" x14ac:dyDescent="0.25">
      <c r="A377" t="s">
        <v>1174</v>
      </c>
      <c r="B377" s="7">
        <v>45816</v>
      </c>
      <c r="C377" s="7" t="s">
        <v>844</v>
      </c>
      <c r="D377" s="3" t="s">
        <v>6</v>
      </c>
      <c r="E377" s="3" t="s">
        <v>656</v>
      </c>
      <c r="F377" s="3" t="s">
        <v>8</v>
      </c>
      <c r="G377" s="3" t="s">
        <v>8</v>
      </c>
      <c r="H377" s="9">
        <v>39.344547051671299</v>
      </c>
      <c r="I377" s="9">
        <v>2.9838383200804799</v>
      </c>
      <c r="J377" s="3">
        <v>1</v>
      </c>
      <c r="K377" s="3">
        <v>1</v>
      </c>
      <c r="L377" s="3">
        <v>0</v>
      </c>
      <c r="M377" s="3">
        <v>0</v>
      </c>
      <c r="N377" s="3" t="s">
        <v>6</v>
      </c>
      <c r="O377" s="3">
        <v>0</v>
      </c>
      <c r="P377" s="3">
        <v>0</v>
      </c>
      <c r="Q377" s="3">
        <v>1</v>
      </c>
      <c r="R377" s="3">
        <v>0</v>
      </c>
      <c r="S377" s="3">
        <v>0</v>
      </c>
      <c r="T377" s="3">
        <v>0</v>
      </c>
      <c r="U377" s="3">
        <v>0</v>
      </c>
      <c r="V377" s="3">
        <v>1</v>
      </c>
      <c r="W377" s="3" t="s">
        <v>6</v>
      </c>
      <c r="X377" s="3">
        <v>0</v>
      </c>
      <c r="Y377" s="3">
        <v>0</v>
      </c>
      <c r="Z377" s="3">
        <v>0</v>
      </c>
      <c r="AA377" s="3">
        <v>0</v>
      </c>
      <c r="AB377" s="3">
        <v>0</v>
      </c>
      <c r="AC377" s="3">
        <v>0</v>
      </c>
      <c r="AD377" s="3">
        <v>0</v>
      </c>
      <c r="AE377" s="3">
        <v>0</v>
      </c>
      <c r="AF377" s="3">
        <v>0</v>
      </c>
      <c r="AG377" s="3">
        <v>0</v>
      </c>
      <c r="AH377" s="3" t="s">
        <v>577</v>
      </c>
      <c r="AI377" s="3" t="s">
        <v>681</v>
      </c>
      <c r="AK377" s="3" t="s">
        <v>681</v>
      </c>
    </row>
    <row r="378" spans="1:38" x14ac:dyDescent="0.25">
      <c r="A378" t="s">
        <v>1175</v>
      </c>
      <c r="B378" s="7">
        <v>45816</v>
      </c>
      <c r="C378" s="7" t="s">
        <v>844</v>
      </c>
      <c r="D378" s="3" t="s">
        <v>6</v>
      </c>
      <c r="E378" s="3" t="s">
        <v>657</v>
      </c>
      <c r="F378" s="3" t="s">
        <v>8</v>
      </c>
      <c r="G378" s="3" t="s">
        <v>8</v>
      </c>
      <c r="H378" s="9">
        <v>39.794075571276501</v>
      </c>
      <c r="I378" s="9">
        <v>2.6957700502641901</v>
      </c>
      <c r="J378" s="3">
        <v>1</v>
      </c>
      <c r="K378" s="3">
        <v>1</v>
      </c>
      <c r="L378" s="3">
        <v>0</v>
      </c>
      <c r="M378" s="3">
        <v>0</v>
      </c>
      <c r="N378" s="3" t="s">
        <v>6</v>
      </c>
      <c r="O378" s="3">
        <v>0</v>
      </c>
      <c r="P378" s="3">
        <v>0</v>
      </c>
      <c r="Q378" s="3">
        <v>1</v>
      </c>
      <c r="R378" s="3">
        <v>0</v>
      </c>
      <c r="S378" s="3">
        <v>0</v>
      </c>
      <c r="T378" s="3">
        <v>0</v>
      </c>
      <c r="U378" s="3">
        <v>0</v>
      </c>
      <c r="V378" s="3">
        <v>1</v>
      </c>
      <c r="W378" s="3" t="s">
        <v>6</v>
      </c>
      <c r="X378" s="3">
        <v>0</v>
      </c>
      <c r="Y378" s="3">
        <v>0</v>
      </c>
      <c r="Z378" s="3">
        <v>0</v>
      </c>
      <c r="AA378" s="3">
        <v>0</v>
      </c>
      <c r="AB378" s="3">
        <v>0</v>
      </c>
      <c r="AC378" s="3">
        <v>0</v>
      </c>
      <c r="AD378" s="3">
        <v>0</v>
      </c>
      <c r="AE378" s="3">
        <v>0</v>
      </c>
      <c r="AF378" s="3">
        <v>0</v>
      </c>
      <c r="AG378" s="3">
        <v>0</v>
      </c>
      <c r="AH378" s="3" t="s">
        <v>577</v>
      </c>
      <c r="AI378" s="3" t="s">
        <v>681</v>
      </c>
      <c r="AK378" s="3" t="s">
        <v>681</v>
      </c>
    </row>
    <row r="379" spans="1:38" x14ac:dyDescent="0.25">
      <c r="A379" t="s">
        <v>1282</v>
      </c>
      <c r="B379" s="7">
        <v>45816</v>
      </c>
      <c r="C379" s="7" t="s">
        <v>844</v>
      </c>
      <c r="D379" s="3" t="s">
        <v>6</v>
      </c>
      <c r="E379" s="3" t="s">
        <v>852</v>
      </c>
      <c r="F379" s="3" t="s">
        <v>8</v>
      </c>
      <c r="G379" s="3" t="s">
        <v>8</v>
      </c>
      <c r="H379" s="9">
        <v>39.705446363285297</v>
      </c>
      <c r="I379" s="9">
        <v>3.4565637600042098</v>
      </c>
      <c r="J379" s="3">
        <v>1</v>
      </c>
      <c r="K379" s="3">
        <v>1</v>
      </c>
      <c r="L379" s="3">
        <v>0</v>
      </c>
      <c r="M379" s="3">
        <v>0</v>
      </c>
      <c r="N379" s="3" t="s">
        <v>6</v>
      </c>
      <c r="O379" s="3">
        <v>0</v>
      </c>
      <c r="P379" s="3">
        <v>0</v>
      </c>
      <c r="Q379" s="3">
        <v>1</v>
      </c>
      <c r="R379" s="3">
        <v>1</v>
      </c>
      <c r="S379" s="3">
        <v>0</v>
      </c>
      <c r="T379" s="3">
        <v>0</v>
      </c>
      <c r="U379" s="3">
        <v>0</v>
      </c>
      <c r="V379" s="3">
        <v>0</v>
      </c>
      <c r="W379" s="3" t="s">
        <v>6</v>
      </c>
      <c r="X379" s="3">
        <v>0</v>
      </c>
      <c r="Y379" s="3">
        <v>0</v>
      </c>
      <c r="Z379" s="3">
        <v>0</v>
      </c>
      <c r="AA379" s="3">
        <v>0</v>
      </c>
      <c r="AB379" s="3">
        <v>0</v>
      </c>
      <c r="AC379" s="3">
        <v>0</v>
      </c>
      <c r="AD379" s="3">
        <v>0</v>
      </c>
      <c r="AE379" s="3">
        <v>0</v>
      </c>
      <c r="AF379" s="3">
        <v>0</v>
      </c>
      <c r="AG379" s="3">
        <v>0</v>
      </c>
      <c r="AH379" s="3" t="s">
        <v>17</v>
      </c>
      <c r="AI379" s="3" t="s">
        <v>781</v>
      </c>
      <c r="AK379" s="3" t="s">
        <v>853</v>
      </c>
      <c r="AL379" s="3" t="s">
        <v>249</v>
      </c>
    </row>
    <row r="380" spans="1:38" x14ac:dyDescent="0.25">
      <c r="A380" t="s">
        <v>1176</v>
      </c>
      <c r="B380" s="7">
        <v>45817</v>
      </c>
      <c r="C380" s="7" t="s">
        <v>844</v>
      </c>
      <c r="D380" s="3" t="s">
        <v>6</v>
      </c>
      <c r="E380" s="3" t="s">
        <v>658</v>
      </c>
      <c r="F380" s="3" t="s">
        <v>8</v>
      </c>
      <c r="G380" s="3" t="s">
        <v>8</v>
      </c>
      <c r="H380" s="9">
        <v>39.349883774542299</v>
      </c>
      <c r="I380" s="9">
        <v>3.1859067742771798</v>
      </c>
      <c r="J380" s="3">
        <v>1</v>
      </c>
      <c r="K380" s="3">
        <v>1</v>
      </c>
      <c r="L380" s="3">
        <v>0</v>
      </c>
      <c r="M380" s="3">
        <v>0</v>
      </c>
      <c r="N380" s="3" t="s">
        <v>6</v>
      </c>
      <c r="O380" s="3">
        <v>0</v>
      </c>
      <c r="P380" s="3">
        <v>0</v>
      </c>
      <c r="Q380" s="3">
        <v>1</v>
      </c>
      <c r="R380" s="3">
        <v>0</v>
      </c>
      <c r="S380" s="3">
        <v>0</v>
      </c>
      <c r="T380" s="3">
        <v>0</v>
      </c>
      <c r="U380" s="3">
        <v>0</v>
      </c>
      <c r="V380" s="3">
        <v>1</v>
      </c>
      <c r="W380" s="3" t="s">
        <v>6</v>
      </c>
      <c r="X380" s="3">
        <v>0</v>
      </c>
      <c r="Y380" s="3">
        <v>0</v>
      </c>
      <c r="Z380" s="3">
        <v>0</v>
      </c>
      <c r="AA380" s="3">
        <v>0</v>
      </c>
      <c r="AB380" s="3">
        <v>0</v>
      </c>
      <c r="AC380" s="3">
        <v>0</v>
      </c>
      <c r="AD380" s="3">
        <v>0</v>
      </c>
      <c r="AE380" s="3">
        <v>0</v>
      </c>
      <c r="AF380" s="3">
        <v>0</v>
      </c>
      <c r="AG380" s="3">
        <v>0</v>
      </c>
      <c r="AH380" s="3" t="s">
        <v>577</v>
      </c>
      <c r="AI380" s="3" t="s">
        <v>681</v>
      </c>
      <c r="AK380" s="3" t="s">
        <v>681</v>
      </c>
    </row>
    <row r="381" spans="1:38" x14ac:dyDescent="0.25">
      <c r="A381" t="s">
        <v>1177</v>
      </c>
      <c r="B381" s="7">
        <v>45817</v>
      </c>
      <c r="C381" s="7" t="s">
        <v>844</v>
      </c>
      <c r="D381" s="3" t="s">
        <v>6</v>
      </c>
      <c r="E381" s="3" t="s">
        <v>659</v>
      </c>
      <c r="F381" s="3" t="s">
        <v>8</v>
      </c>
      <c r="G381" s="3" t="s">
        <v>8</v>
      </c>
      <c r="H381" s="9">
        <v>39.532332474230898</v>
      </c>
      <c r="I381" s="9">
        <v>2.5898835045617101</v>
      </c>
      <c r="J381" s="3">
        <v>1</v>
      </c>
      <c r="K381" s="3">
        <v>1</v>
      </c>
      <c r="L381" s="3">
        <v>0</v>
      </c>
      <c r="M381" s="3">
        <v>0</v>
      </c>
      <c r="N381" s="3" t="s">
        <v>6</v>
      </c>
      <c r="O381" s="3">
        <v>0</v>
      </c>
      <c r="P381" s="3">
        <v>0</v>
      </c>
      <c r="Q381" s="3">
        <v>1</v>
      </c>
      <c r="R381" s="3">
        <v>0</v>
      </c>
      <c r="S381" s="3">
        <v>0</v>
      </c>
      <c r="T381" s="3">
        <v>0</v>
      </c>
      <c r="U381" s="3">
        <v>0</v>
      </c>
      <c r="V381" s="3">
        <v>1</v>
      </c>
      <c r="W381" s="3" t="s">
        <v>6</v>
      </c>
      <c r="X381" s="3">
        <v>0</v>
      </c>
      <c r="Y381" s="3">
        <v>0</v>
      </c>
      <c r="Z381" s="3">
        <v>0</v>
      </c>
      <c r="AA381" s="3">
        <v>0</v>
      </c>
      <c r="AB381" s="3">
        <v>0</v>
      </c>
      <c r="AC381" s="3">
        <v>0</v>
      </c>
      <c r="AD381" s="3">
        <v>0</v>
      </c>
      <c r="AE381" s="3">
        <v>0</v>
      </c>
      <c r="AF381" s="3">
        <v>0</v>
      </c>
      <c r="AG381" s="3">
        <v>0</v>
      </c>
      <c r="AH381" s="3" t="s">
        <v>577</v>
      </c>
      <c r="AI381" s="3" t="s">
        <v>681</v>
      </c>
      <c r="AK381" s="3" t="s">
        <v>681</v>
      </c>
    </row>
    <row r="382" spans="1:38" x14ac:dyDescent="0.25">
      <c r="A382" t="s">
        <v>1130</v>
      </c>
      <c r="B382" s="7">
        <v>45818</v>
      </c>
      <c r="C382" s="7" t="s">
        <v>844</v>
      </c>
      <c r="D382" s="3" t="s">
        <v>6</v>
      </c>
      <c r="E382" s="3" t="s">
        <v>605</v>
      </c>
      <c r="F382" s="3" t="s">
        <v>8</v>
      </c>
      <c r="G382" s="3" t="s">
        <v>8</v>
      </c>
      <c r="H382" s="9">
        <v>38.901702067807001</v>
      </c>
      <c r="I382" s="9">
        <v>1.4207028902585299</v>
      </c>
      <c r="J382" s="3">
        <v>1</v>
      </c>
      <c r="K382" s="3">
        <v>1</v>
      </c>
      <c r="L382" s="3">
        <v>0</v>
      </c>
      <c r="M382" s="3">
        <v>0</v>
      </c>
      <c r="N382" s="3" t="s">
        <v>6</v>
      </c>
      <c r="O382" s="3">
        <v>0</v>
      </c>
      <c r="P382" s="3">
        <v>0</v>
      </c>
      <c r="Q382" s="3">
        <v>1</v>
      </c>
      <c r="R382" s="3">
        <v>1</v>
      </c>
      <c r="S382" s="3">
        <v>0</v>
      </c>
      <c r="T382" s="3">
        <v>0</v>
      </c>
      <c r="U382" s="3">
        <v>0</v>
      </c>
      <c r="V382" s="3">
        <v>0</v>
      </c>
      <c r="W382" s="3" t="s">
        <v>6</v>
      </c>
      <c r="X382" s="3">
        <v>0</v>
      </c>
      <c r="Y382" s="3">
        <v>0</v>
      </c>
      <c r="Z382" s="3">
        <v>0</v>
      </c>
      <c r="AA382" s="3">
        <v>0</v>
      </c>
      <c r="AB382" s="3">
        <v>0</v>
      </c>
      <c r="AC382" s="3">
        <v>0</v>
      </c>
      <c r="AD382" s="3">
        <v>0</v>
      </c>
      <c r="AE382" s="3">
        <v>0</v>
      </c>
      <c r="AF382" s="3">
        <v>0</v>
      </c>
      <c r="AG382" s="3">
        <v>0</v>
      </c>
      <c r="AH382" s="3" t="s">
        <v>233</v>
      </c>
      <c r="AI382" s="3" t="s">
        <v>792</v>
      </c>
      <c r="AK382" s="3" t="s">
        <v>606</v>
      </c>
      <c r="AL382" s="3" t="s">
        <v>249</v>
      </c>
    </row>
    <row r="383" spans="1:38" x14ac:dyDescent="0.25">
      <c r="A383" t="s">
        <v>1138</v>
      </c>
      <c r="B383" s="7">
        <v>45818</v>
      </c>
      <c r="C383" s="7" t="s">
        <v>844</v>
      </c>
      <c r="D383" s="3" t="s">
        <v>6</v>
      </c>
      <c r="E383" s="3" t="s">
        <v>623</v>
      </c>
      <c r="F383" s="3" t="s">
        <v>8</v>
      </c>
      <c r="G383" s="3" t="s">
        <v>8</v>
      </c>
      <c r="H383" s="9">
        <v>39.704860295657902</v>
      </c>
      <c r="I383" s="9">
        <v>3.45835063650514</v>
      </c>
      <c r="J383" s="3">
        <v>1</v>
      </c>
      <c r="K383" s="3">
        <v>1</v>
      </c>
      <c r="L383" s="3">
        <v>0</v>
      </c>
      <c r="M383" s="3">
        <v>0</v>
      </c>
      <c r="N383" s="3" t="s">
        <v>6</v>
      </c>
      <c r="O383" s="3">
        <v>0</v>
      </c>
      <c r="P383" s="3">
        <v>0</v>
      </c>
      <c r="Q383" s="3">
        <v>1</v>
      </c>
      <c r="R383" s="3">
        <v>0</v>
      </c>
      <c r="S383" s="3">
        <v>0</v>
      </c>
      <c r="T383" s="3">
        <v>0</v>
      </c>
      <c r="U383" s="3">
        <v>0</v>
      </c>
      <c r="V383" s="3">
        <v>1</v>
      </c>
      <c r="W383" s="3" t="s">
        <v>6</v>
      </c>
      <c r="X383" s="3">
        <v>0</v>
      </c>
      <c r="Y383" s="3">
        <v>0</v>
      </c>
      <c r="Z383" s="3">
        <v>0</v>
      </c>
      <c r="AA383" s="3">
        <v>0</v>
      </c>
      <c r="AB383" s="3">
        <v>0</v>
      </c>
      <c r="AC383" s="3">
        <v>0</v>
      </c>
      <c r="AD383" s="3">
        <v>0</v>
      </c>
      <c r="AE383" s="3">
        <v>0</v>
      </c>
      <c r="AF383" s="3">
        <v>0</v>
      </c>
      <c r="AG383" s="3">
        <v>0</v>
      </c>
      <c r="AH383" s="3" t="s">
        <v>17</v>
      </c>
      <c r="AI383" s="3" t="s">
        <v>780</v>
      </c>
      <c r="AK383" s="3" t="s">
        <v>624</v>
      </c>
      <c r="AL383" s="3" t="s">
        <v>249</v>
      </c>
    </row>
    <row r="384" spans="1:38" x14ac:dyDescent="0.25">
      <c r="A384" t="s">
        <v>1178</v>
      </c>
      <c r="B384" s="7">
        <v>45818</v>
      </c>
      <c r="C384" s="7" t="s">
        <v>844</v>
      </c>
      <c r="D384" s="3" t="s">
        <v>6</v>
      </c>
      <c r="E384" s="3" t="s">
        <v>660</v>
      </c>
      <c r="F384" s="3" t="s">
        <v>8</v>
      </c>
      <c r="G384" s="3" t="s">
        <v>8</v>
      </c>
      <c r="H384" s="9">
        <v>39.851469631532098</v>
      </c>
      <c r="I384" s="9">
        <v>2.7998787514478898</v>
      </c>
      <c r="J384" s="3">
        <v>1</v>
      </c>
      <c r="K384" s="3">
        <v>1</v>
      </c>
      <c r="L384" s="3">
        <v>0</v>
      </c>
      <c r="M384" s="3">
        <v>0</v>
      </c>
      <c r="N384" s="3" t="s">
        <v>6</v>
      </c>
      <c r="O384" s="3">
        <v>0</v>
      </c>
      <c r="P384" s="3">
        <v>0</v>
      </c>
      <c r="Q384" s="3">
        <v>1</v>
      </c>
      <c r="R384" s="3">
        <v>0</v>
      </c>
      <c r="S384" s="3">
        <v>0</v>
      </c>
      <c r="T384" s="3">
        <v>0</v>
      </c>
      <c r="U384" s="3">
        <v>0</v>
      </c>
      <c r="V384" s="3">
        <v>1</v>
      </c>
      <c r="W384" s="3" t="s">
        <v>6</v>
      </c>
      <c r="X384" s="3">
        <v>0</v>
      </c>
      <c r="Y384" s="3">
        <v>0</v>
      </c>
      <c r="Z384" s="3">
        <v>0</v>
      </c>
      <c r="AA384" s="3">
        <v>0</v>
      </c>
      <c r="AB384" s="3">
        <v>0</v>
      </c>
      <c r="AC384" s="3">
        <v>0</v>
      </c>
      <c r="AD384" s="3">
        <v>0</v>
      </c>
      <c r="AE384" s="3">
        <v>0</v>
      </c>
      <c r="AF384" s="3">
        <v>0</v>
      </c>
      <c r="AG384" s="3">
        <v>0</v>
      </c>
      <c r="AH384" s="3" t="s">
        <v>577</v>
      </c>
      <c r="AI384" s="3" t="s">
        <v>681</v>
      </c>
      <c r="AK384" s="3" t="s">
        <v>681</v>
      </c>
    </row>
    <row r="385" spans="1:39" x14ac:dyDescent="0.25">
      <c r="A385" t="s">
        <v>1179</v>
      </c>
      <c r="B385" s="7">
        <v>45818</v>
      </c>
      <c r="C385" s="7" t="s">
        <v>844</v>
      </c>
      <c r="D385" s="3" t="s">
        <v>6</v>
      </c>
      <c r="E385" s="3" t="s">
        <v>661</v>
      </c>
      <c r="F385" s="3" t="s">
        <v>8</v>
      </c>
      <c r="G385" s="3" t="s">
        <v>8</v>
      </c>
      <c r="H385" s="9">
        <v>39.744615322097701</v>
      </c>
      <c r="I385" s="9">
        <v>3.4337827940673802</v>
      </c>
      <c r="J385" s="3">
        <v>1</v>
      </c>
      <c r="K385" s="3">
        <v>1</v>
      </c>
      <c r="L385" s="3">
        <v>0</v>
      </c>
      <c r="M385" s="3">
        <v>0</v>
      </c>
      <c r="N385" s="3" t="s">
        <v>6</v>
      </c>
      <c r="O385" s="3">
        <v>0</v>
      </c>
      <c r="P385" s="3">
        <v>0</v>
      </c>
      <c r="Q385" s="3">
        <v>1</v>
      </c>
      <c r="R385" s="3">
        <v>0</v>
      </c>
      <c r="S385" s="3">
        <v>0</v>
      </c>
      <c r="T385" s="3">
        <v>0</v>
      </c>
      <c r="U385" s="3">
        <v>0</v>
      </c>
      <c r="V385" s="3">
        <v>1</v>
      </c>
      <c r="W385" s="3" t="s">
        <v>6</v>
      </c>
      <c r="X385" s="3">
        <v>0</v>
      </c>
      <c r="Y385" s="3">
        <v>0</v>
      </c>
      <c r="Z385" s="3">
        <v>0</v>
      </c>
      <c r="AA385" s="3">
        <v>0</v>
      </c>
      <c r="AB385" s="3">
        <v>0</v>
      </c>
      <c r="AC385" s="3">
        <v>0</v>
      </c>
      <c r="AD385" s="3">
        <v>0</v>
      </c>
      <c r="AE385" s="3">
        <v>0</v>
      </c>
      <c r="AF385" s="3">
        <v>0</v>
      </c>
      <c r="AG385" s="3">
        <v>0</v>
      </c>
      <c r="AH385" s="3" t="s">
        <v>577</v>
      </c>
      <c r="AI385" s="3" t="s">
        <v>681</v>
      </c>
      <c r="AK385" s="3" t="s">
        <v>681</v>
      </c>
    </row>
    <row r="386" spans="1:39" x14ac:dyDescent="0.25">
      <c r="A386" t="s">
        <v>1118</v>
      </c>
      <c r="B386" s="7">
        <v>45819</v>
      </c>
      <c r="C386" s="7" t="s">
        <v>844</v>
      </c>
      <c r="D386" s="3" t="s">
        <v>6</v>
      </c>
      <c r="E386" s="3" t="s">
        <v>575</v>
      </c>
      <c r="F386" s="3" t="s">
        <v>8</v>
      </c>
      <c r="G386" s="3" t="s">
        <v>8</v>
      </c>
      <c r="H386" s="9">
        <v>39.351351665364099</v>
      </c>
      <c r="I386" s="9">
        <v>3.1883753985003498</v>
      </c>
      <c r="J386" s="3">
        <v>1</v>
      </c>
      <c r="K386" s="3">
        <v>1</v>
      </c>
      <c r="L386" s="3">
        <v>0</v>
      </c>
      <c r="M386" s="3">
        <v>0</v>
      </c>
      <c r="N386" s="3" t="s">
        <v>16</v>
      </c>
      <c r="O386" s="3">
        <v>0</v>
      </c>
      <c r="P386" s="3">
        <v>1</v>
      </c>
      <c r="Q386" s="3">
        <v>0</v>
      </c>
      <c r="R386" s="3">
        <v>1</v>
      </c>
      <c r="S386" s="3">
        <v>0</v>
      </c>
      <c r="T386" s="3">
        <v>0</v>
      </c>
      <c r="U386" s="3">
        <v>0</v>
      </c>
      <c r="V386" s="3">
        <v>0</v>
      </c>
      <c r="W386" s="3" t="s">
        <v>6</v>
      </c>
      <c r="X386" s="3">
        <v>0</v>
      </c>
      <c r="Y386" s="3">
        <v>0</v>
      </c>
      <c r="Z386" s="3">
        <v>0</v>
      </c>
      <c r="AA386" s="3">
        <v>0</v>
      </c>
      <c r="AB386" s="3">
        <v>0</v>
      </c>
      <c r="AC386" s="3">
        <v>0</v>
      </c>
      <c r="AD386" s="3">
        <v>0</v>
      </c>
      <c r="AE386" s="3">
        <v>0</v>
      </c>
      <c r="AF386" s="3">
        <v>0</v>
      </c>
      <c r="AG386" s="3">
        <v>0</v>
      </c>
      <c r="AH386" s="3" t="s">
        <v>233</v>
      </c>
      <c r="AI386" s="3" t="s">
        <v>794</v>
      </c>
      <c r="AK386" s="3" t="s">
        <v>576</v>
      </c>
    </row>
    <row r="387" spans="1:39" x14ac:dyDescent="0.25">
      <c r="A387" t="s">
        <v>1119</v>
      </c>
      <c r="B387" s="7">
        <v>45819</v>
      </c>
      <c r="C387" s="7" t="s">
        <v>844</v>
      </c>
      <c r="D387" s="3" t="s">
        <v>6</v>
      </c>
      <c r="F387" s="3" t="s">
        <v>69</v>
      </c>
      <c r="G387" s="3" t="s">
        <v>20</v>
      </c>
      <c r="H387" s="9">
        <v>40.434176999999998</v>
      </c>
      <c r="I387" s="9">
        <v>1.4808779999999999</v>
      </c>
      <c r="J387" s="3">
        <v>3</v>
      </c>
      <c r="K387" s="3">
        <v>3</v>
      </c>
      <c r="L387" s="3">
        <v>0</v>
      </c>
      <c r="M387" s="3">
        <v>0</v>
      </c>
      <c r="N387" s="3" t="s">
        <v>6</v>
      </c>
      <c r="O387" s="3">
        <v>0</v>
      </c>
      <c r="P387" s="3">
        <v>0</v>
      </c>
      <c r="Q387" s="3">
        <v>3</v>
      </c>
      <c r="R387" s="3">
        <v>0</v>
      </c>
      <c r="S387" s="3">
        <v>0</v>
      </c>
      <c r="T387" s="3">
        <v>0</v>
      </c>
      <c r="U387" s="3">
        <v>0</v>
      </c>
      <c r="V387" s="3">
        <v>3</v>
      </c>
      <c r="W387" s="3" t="s">
        <v>6</v>
      </c>
      <c r="X387" s="3">
        <v>1</v>
      </c>
      <c r="Y387" s="3">
        <v>0</v>
      </c>
      <c r="Z387" s="3">
        <v>0</v>
      </c>
      <c r="AA387" s="3">
        <v>0</v>
      </c>
      <c r="AB387" s="3">
        <v>0</v>
      </c>
      <c r="AC387" s="3">
        <v>1</v>
      </c>
      <c r="AD387" s="3">
        <v>0</v>
      </c>
      <c r="AE387" s="3">
        <v>0</v>
      </c>
      <c r="AF387" s="3">
        <v>0</v>
      </c>
      <c r="AG387" s="3">
        <v>0</v>
      </c>
      <c r="AH387" s="3" t="s">
        <v>577</v>
      </c>
      <c r="AI387" s="3" t="s">
        <v>578</v>
      </c>
      <c r="AK387" s="3" t="s">
        <v>578</v>
      </c>
      <c r="AL387" s="3" t="s">
        <v>579</v>
      </c>
    </row>
    <row r="388" spans="1:39" x14ac:dyDescent="0.25">
      <c r="A388" t="s">
        <v>1124</v>
      </c>
      <c r="B388" s="7">
        <v>45819</v>
      </c>
      <c r="C388" s="7" t="s">
        <v>844</v>
      </c>
      <c r="D388" s="4">
        <v>0.40138888888888885</v>
      </c>
      <c r="E388" s="3" t="s">
        <v>587</v>
      </c>
      <c r="F388" s="3" t="s">
        <v>8</v>
      </c>
      <c r="G388" s="3" t="s">
        <v>8</v>
      </c>
      <c r="H388" s="9">
        <v>39.853767790798202</v>
      </c>
      <c r="I388" s="9">
        <v>2.8033808974825001</v>
      </c>
      <c r="J388" s="3">
        <v>1</v>
      </c>
      <c r="K388" s="3">
        <v>1</v>
      </c>
      <c r="L388" s="3">
        <v>0</v>
      </c>
      <c r="M388" s="3">
        <v>0</v>
      </c>
      <c r="N388" s="3" t="s">
        <v>16</v>
      </c>
      <c r="O388" s="3">
        <v>0</v>
      </c>
      <c r="P388" s="3">
        <v>0</v>
      </c>
      <c r="Q388" s="3">
        <v>1</v>
      </c>
      <c r="R388" s="3">
        <v>1</v>
      </c>
      <c r="S388" s="3">
        <v>0</v>
      </c>
      <c r="T388" s="3">
        <v>0</v>
      </c>
      <c r="U388" s="3">
        <v>0</v>
      </c>
      <c r="V388" s="3">
        <v>0</v>
      </c>
      <c r="W388" s="3" t="s">
        <v>6</v>
      </c>
      <c r="X388" s="3">
        <v>0</v>
      </c>
      <c r="Y388" s="3">
        <v>0</v>
      </c>
      <c r="Z388" s="3">
        <v>0</v>
      </c>
      <c r="AA388" s="3">
        <v>0</v>
      </c>
      <c r="AB388" s="3">
        <v>0</v>
      </c>
      <c r="AC388" s="3">
        <v>0</v>
      </c>
      <c r="AD388" s="3">
        <v>0</v>
      </c>
      <c r="AE388" s="3">
        <v>0</v>
      </c>
      <c r="AF388" s="3">
        <v>0</v>
      </c>
      <c r="AG388" s="3">
        <v>0</v>
      </c>
      <c r="AH388" s="3" t="s">
        <v>233</v>
      </c>
      <c r="AI388" s="3" t="s">
        <v>795</v>
      </c>
      <c r="AK388" s="3" t="s">
        <v>586</v>
      </c>
    </row>
    <row r="389" spans="1:39" x14ac:dyDescent="0.25">
      <c r="A389" t="s">
        <v>1180</v>
      </c>
      <c r="B389" s="7">
        <v>45819</v>
      </c>
      <c r="C389" s="7" t="s">
        <v>844</v>
      </c>
      <c r="D389" s="3" t="s">
        <v>6</v>
      </c>
      <c r="E389" s="3" t="s">
        <v>662</v>
      </c>
      <c r="F389" s="3" t="s">
        <v>8</v>
      </c>
      <c r="G389" s="3" t="s">
        <v>8</v>
      </c>
      <c r="H389" s="9">
        <v>38.993237793889001</v>
      </c>
      <c r="I389" s="9">
        <v>1.5612605048889201</v>
      </c>
      <c r="J389" s="3">
        <v>1</v>
      </c>
      <c r="K389" s="3">
        <v>1</v>
      </c>
      <c r="L389" s="3">
        <v>0</v>
      </c>
      <c r="M389" s="3">
        <v>0</v>
      </c>
      <c r="N389" s="3" t="s">
        <v>6</v>
      </c>
      <c r="O389" s="3">
        <v>0</v>
      </c>
      <c r="P389" s="3">
        <v>0</v>
      </c>
      <c r="Q389" s="3">
        <v>1</v>
      </c>
      <c r="R389" s="3">
        <v>0</v>
      </c>
      <c r="S389" s="3">
        <v>0</v>
      </c>
      <c r="T389" s="3">
        <v>0</v>
      </c>
      <c r="U389" s="3">
        <v>0</v>
      </c>
      <c r="V389" s="3">
        <v>1</v>
      </c>
      <c r="W389" s="3" t="s">
        <v>6</v>
      </c>
      <c r="X389" s="3">
        <v>0</v>
      </c>
      <c r="Y389" s="3">
        <v>0</v>
      </c>
      <c r="Z389" s="3">
        <v>0</v>
      </c>
      <c r="AA389" s="3">
        <v>0</v>
      </c>
      <c r="AB389" s="3">
        <v>0</v>
      </c>
      <c r="AC389" s="3">
        <v>0</v>
      </c>
      <c r="AD389" s="3">
        <v>0</v>
      </c>
      <c r="AE389" s="3">
        <v>0</v>
      </c>
      <c r="AF389" s="3">
        <v>0</v>
      </c>
      <c r="AG389" s="3">
        <v>0</v>
      </c>
      <c r="AH389" s="3" t="s">
        <v>577</v>
      </c>
      <c r="AI389" s="3" t="s">
        <v>681</v>
      </c>
      <c r="AK389" s="3" t="s">
        <v>681</v>
      </c>
    </row>
    <row r="390" spans="1:39" x14ac:dyDescent="0.25">
      <c r="A390" t="s">
        <v>1181</v>
      </c>
      <c r="B390" s="7">
        <v>45820</v>
      </c>
      <c r="C390" s="7" t="s">
        <v>844</v>
      </c>
      <c r="D390" s="3" t="s">
        <v>6</v>
      </c>
      <c r="E390" s="3" t="s">
        <v>663</v>
      </c>
      <c r="F390" s="3" t="s">
        <v>8</v>
      </c>
      <c r="G390" s="3" t="s">
        <v>8</v>
      </c>
      <c r="H390" s="9">
        <v>38.940745100686698</v>
      </c>
      <c r="I390" s="9">
        <v>1.23389225428883</v>
      </c>
      <c r="J390" s="3">
        <v>1</v>
      </c>
      <c r="K390" s="3">
        <v>1</v>
      </c>
      <c r="L390" s="3">
        <v>0</v>
      </c>
      <c r="M390" s="3">
        <v>0</v>
      </c>
      <c r="N390" s="3" t="s">
        <v>6</v>
      </c>
      <c r="O390" s="3">
        <v>0</v>
      </c>
      <c r="P390" s="3">
        <v>0</v>
      </c>
      <c r="Q390" s="3">
        <v>1</v>
      </c>
      <c r="R390" s="3">
        <v>0</v>
      </c>
      <c r="S390" s="3">
        <v>0</v>
      </c>
      <c r="T390" s="3">
        <v>0</v>
      </c>
      <c r="U390" s="3">
        <v>0</v>
      </c>
      <c r="V390" s="3">
        <v>1</v>
      </c>
      <c r="W390" s="3" t="s">
        <v>6</v>
      </c>
      <c r="X390" s="3">
        <v>0</v>
      </c>
      <c r="Y390" s="3">
        <v>0</v>
      </c>
      <c r="Z390" s="3">
        <v>0</v>
      </c>
      <c r="AA390" s="3">
        <v>0</v>
      </c>
      <c r="AB390" s="3">
        <v>0</v>
      </c>
      <c r="AC390" s="3">
        <v>0</v>
      </c>
      <c r="AD390" s="3">
        <v>0</v>
      </c>
      <c r="AE390" s="3">
        <v>0</v>
      </c>
      <c r="AF390" s="3">
        <v>0</v>
      </c>
      <c r="AG390" s="3">
        <v>0</v>
      </c>
      <c r="AH390" s="3" t="s">
        <v>577</v>
      </c>
      <c r="AI390" s="3" t="s">
        <v>681</v>
      </c>
      <c r="AK390" s="3" t="s">
        <v>681</v>
      </c>
    </row>
    <row r="391" spans="1:39" x14ac:dyDescent="0.25">
      <c r="A391" t="s">
        <v>1182</v>
      </c>
      <c r="B391" s="7">
        <v>45820</v>
      </c>
      <c r="C391" s="7" t="s">
        <v>844</v>
      </c>
      <c r="D391" s="3" t="s">
        <v>6</v>
      </c>
      <c r="E391" s="3" t="s">
        <v>664</v>
      </c>
      <c r="F391" s="3" t="s">
        <v>8</v>
      </c>
      <c r="G391" s="3" t="s">
        <v>8</v>
      </c>
      <c r="H391" s="9">
        <v>39.938291787360498</v>
      </c>
      <c r="I391" s="9">
        <v>3.9371144112545502</v>
      </c>
      <c r="J391" s="3">
        <v>1</v>
      </c>
      <c r="K391" s="3">
        <v>1</v>
      </c>
      <c r="L391" s="3">
        <v>0</v>
      </c>
      <c r="M391" s="3">
        <v>0</v>
      </c>
      <c r="N391" s="3" t="s">
        <v>6</v>
      </c>
      <c r="O391" s="3">
        <v>0</v>
      </c>
      <c r="P391" s="3">
        <v>0</v>
      </c>
      <c r="Q391" s="3">
        <v>1</v>
      </c>
      <c r="R391" s="3">
        <v>0</v>
      </c>
      <c r="S391" s="3">
        <v>0</v>
      </c>
      <c r="T391" s="3">
        <v>0</v>
      </c>
      <c r="U391" s="3">
        <v>0</v>
      </c>
      <c r="V391" s="3">
        <v>1</v>
      </c>
      <c r="W391" s="3" t="s">
        <v>6</v>
      </c>
      <c r="X391" s="3">
        <v>0</v>
      </c>
      <c r="Y391" s="3">
        <v>0</v>
      </c>
      <c r="Z391" s="3">
        <v>0</v>
      </c>
      <c r="AA391" s="3">
        <v>0</v>
      </c>
      <c r="AB391" s="3">
        <v>0</v>
      </c>
      <c r="AC391" s="3">
        <v>0</v>
      </c>
      <c r="AD391" s="3">
        <v>0</v>
      </c>
      <c r="AE391" s="3">
        <v>0</v>
      </c>
      <c r="AF391" s="3">
        <v>0</v>
      </c>
      <c r="AG391" s="3">
        <v>0</v>
      </c>
      <c r="AH391" s="3" t="s">
        <v>577</v>
      </c>
      <c r="AI391" s="3" t="s">
        <v>681</v>
      </c>
      <c r="AK391" s="3" t="s">
        <v>681</v>
      </c>
    </row>
    <row r="392" spans="1:39" x14ac:dyDescent="0.25">
      <c r="A392" t="s">
        <v>1143</v>
      </c>
      <c r="B392" s="7">
        <v>45821</v>
      </c>
      <c r="C392" s="7" t="s">
        <v>844</v>
      </c>
      <c r="D392" s="4">
        <v>0.52222222222222225</v>
      </c>
      <c r="E392" s="3" t="s">
        <v>631</v>
      </c>
      <c r="F392" s="3" t="s">
        <v>8</v>
      </c>
      <c r="G392" s="3" t="s">
        <v>8</v>
      </c>
      <c r="H392" s="9">
        <v>38.740209456443303</v>
      </c>
      <c r="I392" s="9">
        <v>1.4285083001715899</v>
      </c>
      <c r="J392" s="3">
        <v>1</v>
      </c>
      <c r="K392" s="3">
        <v>1</v>
      </c>
      <c r="L392" s="3">
        <v>0</v>
      </c>
      <c r="M392" s="3">
        <v>0</v>
      </c>
      <c r="N392" s="3" t="s">
        <v>16</v>
      </c>
      <c r="O392" s="3">
        <v>1</v>
      </c>
      <c r="P392" s="3">
        <v>0</v>
      </c>
      <c r="Q392" s="3">
        <v>0</v>
      </c>
      <c r="R392" s="3">
        <v>1</v>
      </c>
      <c r="S392" s="3">
        <v>0</v>
      </c>
      <c r="T392" s="3">
        <v>0</v>
      </c>
      <c r="U392" s="3">
        <v>0</v>
      </c>
      <c r="V392" s="3">
        <v>0</v>
      </c>
      <c r="W392" s="3" t="s">
        <v>6</v>
      </c>
      <c r="X392" s="3">
        <v>0</v>
      </c>
      <c r="Y392" s="3">
        <v>0</v>
      </c>
      <c r="Z392" s="3">
        <v>0</v>
      </c>
      <c r="AA392" s="3">
        <v>0</v>
      </c>
      <c r="AB392" s="3">
        <v>0</v>
      </c>
      <c r="AC392" s="3">
        <v>0</v>
      </c>
      <c r="AD392" s="3">
        <v>0</v>
      </c>
      <c r="AE392" s="3">
        <v>0</v>
      </c>
      <c r="AF392" s="3">
        <v>0</v>
      </c>
      <c r="AG392" s="3">
        <v>0</v>
      </c>
      <c r="AH392" s="3" t="s">
        <v>17</v>
      </c>
      <c r="AI392" s="3" t="s">
        <v>780</v>
      </c>
      <c r="AK392" s="3" t="s">
        <v>632</v>
      </c>
      <c r="AL392" s="3" t="s">
        <v>249</v>
      </c>
    </row>
    <row r="393" spans="1:39" x14ac:dyDescent="0.25">
      <c r="A393" t="s">
        <v>1183</v>
      </c>
      <c r="B393" s="7">
        <v>45821</v>
      </c>
      <c r="C393" s="7" t="s">
        <v>844</v>
      </c>
      <c r="D393" s="3" t="s">
        <v>6</v>
      </c>
      <c r="E393" s="3" t="s">
        <v>665</v>
      </c>
      <c r="F393" s="3" t="s">
        <v>8</v>
      </c>
      <c r="G393" s="3" t="s">
        <v>8</v>
      </c>
      <c r="H393" s="9">
        <v>38.950148716805401</v>
      </c>
      <c r="I393" s="9">
        <v>1.22757339367413</v>
      </c>
      <c r="J393" s="3">
        <v>1</v>
      </c>
      <c r="K393" s="3">
        <v>1</v>
      </c>
      <c r="L393" s="3">
        <v>0</v>
      </c>
      <c r="M393" s="3">
        <v>0</v>
      </c>
      <c r="N393" s="3" t="s">
        <v>6</v>
      </c>
      <c r="O393" s="3">
        <v>0</v>
      </c>
      <c r="P393" s="3">
        <v>0</v>
      </c>
      <c r="Q393" s="3">
        <v>1</v>
      </c>
      <c r="R393" s="3">
        <v>0</v>
      </c>
      <c r="S393" s="3">
        <v>0</v>
      </c>
      <c r="T393" s="3">
        <v>0</v>
      </c>
      <c r="U393" s="3">
        <v>0</v>
      </c>
      <c r="V393" s="3">
        <v>1</v>
      </c>
      <c r="W393" s="3" t="s">
        <v>6</v>
      </c>
      <c r="X393" s="3">
        <v>0</v>
      </c>
      <c r="Y393" s="3">
        <v>0</v>
      </c>
      <c r="Z393" s="3">
        <v>0</v>
      </c>
      <c r="AA393" s="3">
        <v>0</v>
      </c>
      <c r="AB393" s="3">
        <v>0</v>
      </c>
      <c r="AC393" s="3">
        <v>0</v>
      </c>
      <c r="AD393" s="3">
        <v>0</v>
      </c>
      <c r="AE393" s="3">
        <v>0</v>
      </c>
      <c r="AF393" s="3">
        <v>0</v>
      </c>
      <c r="AG393" s="3">
        <v>0</v>
      </c>
      <c r="AH393" s="3" t="s">
        <v>577</v>
      </c>
      <c r="AI393" s="3" t="s">
        <v>681</v>
      </c>
      <c r="AK393" s="3" t="s">
        <v>681</v>
      </c>
    </row>
    <row r="394" spans="1:39" x14ac:dyDescent="0.25">
      <c r="A394" t="s">
        <v>1184</v>
      </c>
      <c r="B394" s="7">
        <v>45821</v>
      </c>
      <c r="C394" s="7" t="s">
        <v>844</v>
      </c>
      <c r="D394" s="3" t="s">
        <v>6</v>
      </c>
      <c r="E394" s="3" t="s">
        <v>666</v>
      </c>
      <c r="F394" s="3" t="s">
        <v>8</v>
      </c>
      <c r="G394" s="3" t="s">
        <v>8</v>
      </c>
      <c r="H394" s="9">
        <v>39.495243099235502</v>
      </c>
      <c r="I394" s="9">
        <v>2.5342585266519699</v>
      </c>
      <c r="J394" s="3">
        <v>1</v>
      </c>
      <c r="K394" s="3">
        <v>1</v>
      </c>
      <c r="L394" s="3">
        <v>0</v>
      </c>
      <c r="M394" s="3">
        <v>0</v>
      </c>
      <c r="N394" s="3" t="s">
        <v>6</v>
      </c>
      <c r="O394" s="3">
        <v>0</v>
      </c>
      <c r="P394" s="3">
        <v>0</v>
      </c>
      <c r="Q394" s="3">
        <v>1</v>
      </c>
      <c r="R394" s="3">
        <v>0</v>
      </c>
      <c r="S394" s="3">
        <v>0</v>
      </c>
      <c r="T394" s="3">
        <v>0</v>
      </c>
      <c r="U394" s="3">
        <v>0</v>
      </c>
      <c r="V394" s="3">
        <v>1</v>
      </c>
      <c r="W394" s="3" t="s">
        <v>6</v>
      </c>
      <c r="X394" s="3">
        <v>0</v>
      </c>
      <c r="Y394" s="3">
        <v>0</v>
      </c>
      <c r="Z394" s="3">
        <v>0</v>
      </c>
      <c r="AA394" s="3">
        <v>0</v>
      </c>
      <c r="AB394" s="3">
        <v>0</v>
      </c>
      <c r="AC394" s="3">
        <v>0</v>
      </c>
      <c r="AD394" s="3">
        <v>0</v>
      </c>
      <c r="AE394" s="3">
        <v>0</v>
      </c>
      <c r="AF394" s="3">
        <v>0</v>
      </c>
      <c r="AG394" s="3">
        <v>0</v>
      </c>
      <c r="AH394" s="3" t="s">
        <v>577</v>
      </c>
      <c r="AI394" s="3" t="s">
        <v>681</v>
      </c>
      <c r="AK394" s="3" t="s">
        <v>681</v>
      </c>
    </row>
    <row r="395" spans="1:39" x14ac:dyDescent="0.25">
      <c r="A395" t="s">
        <v>1123</v>
      </c>
      <c r="B395" s="7">
        <v>45822</v>
      </c>
      <c r="C395" s="7" t="s">
        <v>844</v>
      </c>
      <c r="D395" s="4" t="s">
        <v>6</v>
      </c>
      <c r="E395" s="3" t="s">
        <v>583</v>
      </c>
      <c r="F395" s="3" t="s">
        <v>8</v>
      </c>
      <c r="G395" s="3" t="s">
        <v>8</v>
      </c>
      <c r="H395" s="9">
        <v>39.507263586010801</v>
      </c>
      <c r="I395" s="9">
        <v>2.5373844888983701</v>
      </c>
      <c r="J395" s="3">
        <v>1</v>
      </c>
      <c r="K395" s="3">
        <v>1</v>
      </c>
      <c r="L395" s="3">
        <v>0</v>
      </c>
      <c r="M395" s="3">
        <v>0</v>
      </c>
      <c r="N395" s="3" t="s">
        <v>66</v>
      </c>
      <c r="O395" s="3">
        <v>0</v>
      </c>
      <c r="P395" s="3">
        <v>1</v>
      </c>
      <c r="Q395" s="3">
        <v>0</v>
      </c>
      <c r="R395" s="3">
        <v>1</v>
      </c>
      <c r="S395" s="3">
        <v>0</v>
      </c>
      <c r="T395" s="3">
        <v>0</v>
      </c>
      <c r="U395" s="3">
        <v>0</v>
      </c>
      <c r="V395" s="3">
        <v>0</v>
      </c>
      <c r="W395" s="3" t="s">
        <v>6</v>
      </c>
      <c r="X395" s="3">
        <v>0</v>
      </c>
      <c r="Y395" s="3">
        <v>0</v>
      </c>
      <c r="Z395" s="3">
        <v>0</v>
      </c>
      <c r="AA395" s="3">
        <v>0</v>
      </c>
      <c r="AB395" s="3">
        <v>0</v>
      </c>
      <c r="AC395" s="3">
        <v>0</v>
      </c>
      <c r="AD395" s="3">
        <v>0</v>
      </c>
      <c r="AE395" s="3">
        <v>0</v>
      </c>
      <c r="AF395" s="3">
        <v>0</v>
      </c>
      <c r="AG395" s="3">
        <v>0</v>
      </c>
      <c r="AH395" s="3" t="s">
        <v>233</v>
      </c>
      <c r="AI395" s="3" t="s">
        <v>794</v>
      </c>
      <c r="AK395" s="3" t="s">
        <v>585</v>
      </c>
      <c r="AL395" s="3" t="s">
        <v>249</v>
      </c>
    </row>
    <row r="396" spans="1:39" x14ac:dyDescent="0.25">
      <c r="A396" t="s">
        <v>1185</v>
      </c>
      <c r="B396" s="7">
        <v>45822</v>
      </c>
      <c r="C396" s="7" t="s">
        <v>844</v>
      </c>
      <c r="D396" s="3" t="s">
        <v>6</v>
      </c>
      <c r="E396" s="3" t="s">
        <v>667</v>
      </c>
      <c r="F396" s="3" t="s">
        <v>8</v>
      </c>
      <c r="G396" s="3" t="s">
        <v>8</v>
      </c>
      <c r="H396" s="9">
        <v>39.636847240981098</v>
      </c>
      <c r="I396" s="9">
        <v>3.4123124063016999</v>
      </c>
      <c r="J396" s="3">
        <v>1</v>
      </c>
      <c r="K396" s="3">
        <v>1</v>
      </c>
      <c r="L396" s="3">
        <v>0</v>
      </c>
      <c r="M396" s="3">
        <v>0</v>
      </c>
      <c r="N396" s="3" t="s">
        <v>6</v>
      </c>
      <c r="O396" s="3">
        <v>0</v>
      </c>
      <c r="P396" s="3">
        <v>0</v>
      </c>
      <c r="Q396" s="3">
        <v>1</v>
      </c>
      <c r="R396" s="3">
        <v>0</v>
      </c>
      <c r="S396" s="3">
        <v>0</v>
      </c>
      <c r="T396" s="3">
        <v>0</v>
      </c>
      <c r="U396" s="3">
        <v>0</v>
      </c>
      <c r="V396" s="3">
        <v>1</v>
      </c>
      <c r="W396" s="3" t="s">
        <v>6</v>
      </c>
      <c r="X396" s="3">
        <v>0</v>
      </c>
      <c r="Y396" s="3">
        <v>0</v>
      </c>
      <c r="Z396" s="3">
        <v>0</v>
      </c>
      <c r="AA396" s="3">
        <v>0</v>
      </c>
      <c r="AB396" s="3">
        <v>0</v>
      </c>
      <c r="AC396" s="3">
        <v>0</v>
      </c>
      <c r="AD396" s="3">
        <v>0</v>
      </c>
      <c r="AE396" s="3">
        <v>0</v>
      </c>
      <c r="AF396" s="3">
        <v>0</v>
      </c>
      <c r="AG396" s="3">
        <v>0</v>
      </c>
      <c r="AH396" s="3" t="s">
        <v>577</v>
      </c>
      <c r="AI396" s="3" t="s">
        <v>681</v>
      </c>
      <c r="AK396" s="3" t="s">
        <v>681</v>
      </c>
    </row>
    <row r="397" spans="1:39" x14ac:dyDescent="0.25">
      <c r="A397" t="s">
        <v>1186</v>
      </c>
      <c r="B397" s="7">
        <v>45822</v>
      </c>
      <c r="C397" s="7" t="s">
        <v>844</v>
      </c>
      <c r="D397" s="3" t="s">
        <v>6</v>
      </c>
      <c r="E397" s="3" t="s">
        <v>668</v>
      </c>
      <c r="F397" s="3" t="s">
        <v>8</v>
      </c>
      <c r="G397" s="3" t="s">
        <v>8</v>
      </c>
      <c r="H397" s="9">
        <v>39.691272347904601</v>
      </c>
      <c r="I397" s="9">
        <v>3.45398393587854</v>
      </c>
      <c r="J397" s="3">
        <v>1</v>
      </c>
      <c r="K397" s="3">
        <v>0</v>
      </c>
      <c r="L397" s="3">
        <v>1</v>
      </c>
      <c r="M397" s="3">
        <v>0</v>
      </c>
      <c r="N397" s="3" t="s">
        <v>6</v>
      </c>
      <c r="O397" s="3">
        <v>0</v>
      </c>
      <c r="P397" s="3">
        <v>0</v>
      </c>
      <c r="Q397" s="3">
        <v>1</v>
      </c>
      <c r="R397" s="3">
        <v>0</v>
      </c>
      <c r="S397" s="3">
        <v>0</v>
      </c>
      <c r="T397" s="3">
        <v>0</v>
      </c>
      <c r="U397" s="3">
        <v>0</v>
      </c>
      <c r="V397" s="3">
        <v>1</v>
      </c>
      <c r="W397" s="3" t="s">
        <v>6</v>
      </c>
      <c r="X397" s="3">
        <v>0</v>
      </c>
      <c r="Y397" s="3">
        <v>0</v>
      </c>
      <c r="Z397" s="3">
        <v>0</v>
      </c>
      <c r="AA397" s="3">
        <v>0</v>
      </c>
      <c r="AB397" s="3">
        <v>0</v>
      </c>
      <c r="AC397" s="3">
        <v>0</v>
      </c>
      <c r="AD397" s="3">
        <v>0</v>
      </c>
      <c r="AE397" s="3">
        <v>0</v>
      </c>
      <c r="AF397" s="3">
        <v>0</v>
      </c>
      <c r="AG397" s="3">
        <v>0</v>
      </c>
      <c r="AH397" s="3" t="s">
        <v>577</v>
      </c>
      <c r="AI397" s="3" t="s">
        <v>681</v>
      </c>
      <c r="AK397" s="3" t="s">
        <v>681</v>
      </c>
    </row>
    <row r="398" spans="1:39" x14ac:dyDescent="0.25">
      <c r="A398" t="s">
        <v>1122</v>
      </c>
      <c r="B398" s="7">
        <v>45823</v>
      </c>
      <c r="C398" s="7" t="s">
        <v>844</v>
      </c>
      <c r="D398" s="3" t="s">
        <v>6</v>
      </c>
      <c r="E398" s="3" t="s">
        <v>583</v>
      </c>
      <c r="F398" s="3" t="s">
        <v>8</v>
      </c>
      <c r="G398" s="3" t="s">
        <v>8</v>
      </c>
      <c r="H398" s="9">
        <v>39.507263586010801</v>
      </c>
      <c r="I398" s="9">
        <v>2.5373844888983701</v>
      </c>
      <c r="J398" s="3">
        <v>1</v>
      </c>
      <c r="K398" s="3">
        <v>1</v>
      </c>
      <c r="L398" s="3">
        <v>0</v>
      </c>
      <c r="M398" s="3">
        <v>0</v>
      </c>
      <c r="N398" s="3" t="s">
        <v>6</v>
      </c>
      <c r="O398" s="3">
        <v>0</v>
      </c>
      <c r="P398" s="3">
        <v>0</v>
      </c>
      <c r="Q398" s="3">
        <v>1</v>
      </c>
      <c r="R398" s="3">
        <v>1</v>
      </c>
      <c r="S398" s="3">
        <v>0</v>
      </c>
      <c r="T398" s="3">
        <v>0</v>
      </c>
      <c r="U398" s="3">
        <v>0</v>
      </c>
      <c r="V398" s="3">
        <v>0</v>
      </c>
      <c r="W398" s="3" t="s">
        <v>6</v>
      </c>
      <c r="X398" s="3">
        <v>0</v>
      </c>
      <c r="Y398" s="3">
        <v>0</v>
      </c>
      <c r="Z398" s="3">
        <v>0</v>
      </c>
      <c r="AA398" s="3">
        <v>0</v>
      </c>
      <c r="AB398" s="3">
        <v>0</v>
      </c>
      <c r="AC398" s="3">
        <v>0</v>
      </c>
      <c r="AD398" s="3">
        <v>0</v>
      </c>
      <c r="AE398" s="3">
        <v>0</v>
      </c>
      <c r="AF398" s="3">
        <v>0</v>
      </c>
      <c r="AG398" s="3">
        <v>0</v>
      </c>
      <c r="AH398" s="3" t="s">
        <v>17</v>
      </c>
      <c r="AI398" s="3" t="s">
        <v>781</v>
      </c>
      <c r="AK398" s="3" t="s">
        <v>584</v>
      </c>
      <c r="AL398" s="3" t="s">
        <v>249</v>
      </c>
    </row>
    <row r="399" spans="1:39" x14ac:dyDescent="0.25">
      <c r="A399" t="s">
        <v>1127</v>
      </c>
      <c r="B399" s="7">
        <v>45823</v>
      </c>
      <c r="C399" s="7" t="s">
        <v>844</v>
      </c>
      <c r="D399" s="3" t="s">
        <v>6</v>
      </c>
      <c r="E399" s="3" t="s">
        <v>592</v>
      </c>
      <c r="F399" s="3" t="s">
        <v>59</v>
      </c>
      <c r="G399" s="3" t="s">
        <v>20</v>
      </c>
      <c r="H399" s="9">
        <v>42.116025099921302</v>
      </c>
      <c r="I399" s="9">
        <v>3.1395152042137999</v>
      </c>
      <c r="J399" s="3">
        <v>1</v>
      </c>
      <c r="K399" s="3">
        <v>1</v>
      </c>
      <c r="L399" s="3">
        <v>0</v>
      </c>
      <c r="M399" s="3">
        <v>0</v>
      </c>
      <c r="N399" s="3" t="s">
        <v>16</v>
      </c>
      <c r="O399" s="3">
        <v>0</v>
      </c>
      <c r="P399" s="3">
        <v>1</v>
      </c>
      <c r="Q399" s="3">
        <v>0</v>
      </c>
      <c r="R399" s="3">
        <v>1</v>
      </c>
      <c r="S399" s="3">
        <v>0</v>
      </c>
      <c r="T399" s="3">
        <v>0</v>
      </c>
      <c r="U399" s="3">
        <v>0</v>
      </c>
      <c r="V399" s="3">
        <v>0</v>
      </c>
      <c r="W399" s="3" t="s">
        <v>6</v>
      </c>
      <c r="X399" s="3">
        <v>0</v>
      </c>
      <c r="Y399" s="3">
        <v>0</v>
      </c>
      <c r="Z399" s="3">
        <v>0</v>
      </c>
      <c r="AA399" s="3">
        <v>0</v>
      </c>
      <c r="AB399" s="3">
        <v>0</v>
      </c>
      <c r="AC399" s="3">
        <v>0</v>
      </c>
      <c r="AD399" s="3">
        <v>0</v>
      </c>
      <c r="AE399" s="3">
        <v>0</v>
      </c>
      <c r="AF399" s="3">
        <v>0</v>
      </c>
      <c r="AG399" s="3">
        <v>0</v>
      </c>
      <c r="AH399" s="3" t="s">
        <v>17</v>
      </c>
      <c r="AI399" s="3" t="s">
        <v>778</v>
      </c>
      <c r="AK399" s="3" t="s">
        <v>593</v>
      </c>
      <c r="AM399" s="3" t="s">
        <v>613</v>
      </c>
    </row>
    <row r="400" spans="1:39" x14ac:dyDescent="0.25">
      <c r="A400" t="s">
        <v>1187</v>
      </c>
      <c r="B400" s="7">
        <v>45823</v>
      </c>
      <c r="C400" s="7" t="s">
        <v>844</v>
      </c>
      <c r="D400" s="3" t="s">
        <v>6</v>
      </c>
      <c r="E400" s="3" t="s">
        <v>669</v>
      </c>
      <c r="F400" s="3" t="s">
        <v>8</v>
      </c>
      <c r="G400" s="3" t="s">
        <v>8</v>
      </c>
      <c r="H400" s="9">
        <v>39.527056532575699</v>
      </c>
      <c r="I400" s="9">
        <v>2.5515833380683199</v>
      </c>
      <c r="J400" s="3">
        <v>1</v>
      </c>
      <c r="K400" s="3">
        <v>1</v>
      </c>
      <c r="L400" s="3">
        <v>0</v>
      </c>
      <c r="M400" s="3">
        <v>0</v>
      </c>
      <c r="N400" s="3" t="s">
        <v>6</v>
      </c>
      <c r="O400" s="3">
        <v>0</v>
      </c>
      <c r="P400" s="3">
        <v>0</v>
      </c>
      <c r="Q400" s="3">
        <v>1</v>
      </c>
      <c r="R400" s="3">
        <v>0</v>
      </c>
      <c r="S400" s="3">
        <v>0</v>
      </c>
      <c r="T400" s="3">
        <v>0</v>
      </c>
      <c r="U400" s="3">
        <v>0</v>
      </c>
      <c r="V400" s="3">
        <v>1</v>
      </c>
      <c r="W400" s="3" t="s">
        <v>6</v>
      </c>
      <c r="X400" s="3">
        <v>0</v>
      </c>
      <c r="Y400" s="3">
        <v>0</v>
      </c>
      <c r="Z400" s="3">
        <v>0</v>
      </c>
      <c r="AA400" s="3">
        <v>0</v>
      </c>
      <c r="AB400" s="3">
        <v>0</v>
      </c>
      <c r="AC400" s="3">
        <v>0</v>
      </c>
      <c r="AD400" s="3">
        <v>0</v>
      </c>
      <c r="AE400" s="3">
        <v>0</v>
      </c>
      <c r="AF400" s="3">
        <v>0</v>
      </c>
      <c r="AG400" s="3">
        <v>0</v>
      </c>
      <c r="AH400" s="3" t="s">
        <v>577</v>
      </c>
      <c r="AI400" s="3" t="s">
        <v>681</v>
      </c>
      <c r="AK400" s="3" t="s">
        <v>681</v>
      </c>
    </row>
    <row r="401" spans="1:39" x14ac:dyDescent="0.25">
      <c r="A401" t="s">
        <v>1188</v>
      </c>
      <c r="B401" s="7">
        <v>45823</v>
      </c>
      <c r="C401" s="7" t="s">
        <v>844</v>
      </c>
      <c r="D401" s="3" t="s">
        <v>6</v>
      </c>
      <c r="E401" s="3" t="s">
        <v>649</v>
      </c>
      <c r="F401" s="3" t="s">
        <v>8</v>
      </c>
      <c r="G401" s="3" t="s">
        <v>8</v>
      </c>
      <c r="H401" s="9">
        <v>40.0003032439446</v>
      </c>
      <c r="I401" s="9">
        <v>3.8129008084265501</v>
      </c>
      <c r="J401" s="3">
        <v>1</v>
      </c>
      <c r="K401" s="3">
        <v>1</v>
      </c>
      <c r="L401" s="3">
        <v>0</v>
      </c>
      <c r="M401" s="3">
        <v>0</v>
      </c>
      <c r="N401" s="3" t="s">
        <v>6</v>
      </c>
      <c r="O401" s="3">
        <v>0</v>
      </c>
      <c r="P401" s="3">
        <v>0</v>
      </c>
      <c r="Q401" s="3">
        <v>1</v>
      </c>
      <c r="R401" s="3">
        <v>0</v>
      </c>
      <c r="S401" s="3">
        <v>0</v>
      </c>
      <c r="T401" s="3">
        <v>0</v>
      </c>
      <c r="U401" s="3">
        <v>0</v>
      </c>
      <c r="V401" s="3">
        <v>1</v>
      </c>
      <c r="W401" s="3" t="s">
        <v>6</v>
      </c>
      <c r="X401" s="3">
        <v>0</v>
      </c>
      <c r="Y401" s="3">
        <v>0</v>
      </c>
      <c r="Z401" s="3">
        <v>0</v>
      </c>
      <c r="AA401" s="3">
        <v>0</v>
      </c>
      <c r="AB401" s="3">
        <v>0</v>
      </c>
      <c r="AC401" s="3">
        <v>0</v>
      </c>
      <c r="AD401" s="3">
        <v>0</v>
      </c>
      <c r="AE401" s="3">
        <v>0</v>
      </c>
      <c r="AF401" s="3">
        <v>0</v>
      </c>
      <c r="AG401" s="3">
        <v>0</v>
      </c>
      <c r="AH401" s="3" t="s">
        <v>577</v>
      </c>
      <c r="AI401" s="3" t="s">
        <v>681</v>
      </c>
      <c r="AK401" s="3" t="s">
        <v>681</v>
      </c>
    </row>
    <row r="402" spans="1:39" x14ac:dyDescent="0.25">
      <c r="A402" t="s">
        <v>1120</v>
      </c>
      <c r="B402" s="7">
        <v>45824</v>
      </c>
      <c r="C402" s="7" t="s">
        <v>844</v>
      </c>
      <c r="D402" s="4">
        <v>0.45624999999999999</v>
      </c>
      <c r="E402" s="3" t="s">
        <v>117</v>
      </c>
      <c r="F402" s="3" t="s">
        <v>69</v>
      </c>
      <c r="G402" s="3" t="s">
        <v>20</v>
      </c>
      <c r="H402" s="9">
        <v>40.859791000000001</v>
      </c>
      <c r="I402" s="9">
        <v>0.86019400000000001</v>
      </c>
      <c r="J402" s="3">
        <v>1</v>
      </c>
      <c r="K402" s="3">
        <v>1</v>
      </c>
      <c r="L402" s="3">
        <v>0</v>
      </c>
      <c r="M402" s="3">
        <v>0</v>
      </c>
      <c r="N402" s="3" t="s">
        <v>6</v>
      </c>
      <c r="O402" s="3">
        <v>0</v>
      </c>
      <c r="P402" s="3">
        <v>0</v>
      </c>
      <c r="Q402" s="3">
        <v>1</v>
      </c>
      <c r="R402" s="3">
        <v>0</v>
      </c>
      <c r="S402" s="3">
        <v>0</v>
      </c>
      <c r="T402" s="3">
        <v>0</v>
      </c>
      <c r="U402" s="3">
        <v>0</v>
      </c>
      <c r="V402" s="3">
        <v>1</v>
      </c>
      <c r="W402" s="3" t="s">
        <v>6</v>
      </c>
      <c r="X402" s="3">
        <v>1</v>
      </c>
      <c r="Y402" s="3">
        <v>0</v>
      </c>
      <c r="Z402" s="3">
        <v>0</v>
      </c>
      <c r="AA402" s="3">
        <v>0</v>
      </c>
      <c r="AB402" s="3">
        <v>0</v>
      </c>
      <c r="AC402" s="3">
        <v>0</v>
      </c>
      <c r="AD402" s="3">
        <v>0</v>
      </c>
      <c r="AE402" s="3">
        <v>0</v>
      </c>
      <c r="AF402" s="3">
        <v>0</v>
      </c>
      <c r="AG402" s="3">
        <v>1</v>
      </c>
      <c r="AH402" s="3" t="s">
        <v>577</v>
      </c>
      <c r="AI402" s="3" t="s">
        <v>578</v>
      </c>
      <c r="AK402" s="3" t="s">
        <v>578</v>
      </c>
      <c r="AL402" s="3" t="s">
        <v>580</v>
      </c>
    </row>
    <row r="403" spans="1:39" x14ac:dyDescent="0.25">
      <c r="A403" t="s">
        <v>1126</v>
      </c>
      <c r="B403" s="7">
        <v>45824</v>
      </c>
      <c r="C403" s="7" t="s">
        <v>844</v>
      </c>
      <c r="D403" s="4">
        <v>0.63541666666666663</v>
      </c>
      <c r="E403" s="3" t="s">
        <v>590</v>
      </c>
      <c r="F403" s="3" t="s">
        <v>69</v>
      </c>
      <c r="G403" s="3" t="s">
        <v>20</v>
      </c>
      <c r="H403" s="9">
        <v>41.132244092477997</v>
      </c>
      <c r="I403" s="9">
        <v>1.38981577659819</v>
      </c>
      <c r="J403" s="3">
        <v>1</v>
      </c>
      <c r="K403" s="3">
        <v>1</v>
      </c>
      <c r="L403" s="3">
        <v>0</v>
      </c>
      <c r="M403" s="3">
        <v>0</v>
      </c>
      <c r="N403" s="3" t="s">
        <v>16</v>
      </c>
      <c r="O403" s="3">
        <v>0</v>
      </c>
      <c r="P403" s="3">
        <v>0</v>
      </c>
      <c r="Q403" s="3">
        <v>1</v>
      </c>
      <c r="R403" s="3">
        <v>1</v>
      </c>
      <c r="S403" s="3">
        <v>0</v>
      </c>
      <c r="T403" s="3">
        <v>0</v>
      </c>
      <c r="U403" s="3">
        <v>0</v>
      </c>
      <c r="V403" s="3">
        <v>0</v>
      </c>
      <c r="W403" s="3" t="s">
        <v>6</v>
      </c>
      <c r="X403" s="3">
        <v>0</v>
      </c>
      <c r="Y403" s="3">
        <v>0</v>
      </c>
      <c r="Z403" s="3">
        <v>0</v>
      </c>
      <c r="AA403" s="3">
        <v>0</v>
      </c>
      <c r="AB403" s="3">
        <v>0</v>
      </c>
      <c r="AC403" s="3">
        <v>0</v>
      </c>
      <c r="AD403" s="3">
        <v>0</v>
      </c>
      <c r="AE403" s="3">
        <v>0</v>
      </c>
      <c r="AF403" s="3">
        <v>0</v>
      </c>
      <c r="AG403" s="3">
        <v>0</v>
      </c>
      <c r="AH403" s="3" t="s">
        <v>233</v>
      </c>
      <c r="AI403" s="3" t="s">
        <v>785</v>
      </c>
      <c r="AK403" s="3" t="s">
        <v>591</v>
      </c>
      <c r="AM403" s="3" t="s">
        <v>613</v>
      </c>
    </row>
    <row r="404" spans="1:39" x14ac:dyDescent="0.25">
      <c r="A404" t="s">
        <v>1189</v>
      </c>
      <c r="B404" s="7">
        <v>45824</v>
      </c>
      <c r="C404" s="7" t="s">
        <v>844</v>
      </c>
      <c r="D404" s="3" t="s">
        <v>6</v>
      </c>
      <c r="E404" s="3" t="s">
        <v>670</v>
      </c>
      <c r="F404" s="3" t="s">
        <v>8</v>
      </c>
      <c r="G404" s="3" t="s">
        <v>8</v>
      </c>
      <c r="H404" s="9">
        <v>39.344983385673601</v>
      </c>
      <c r="I404" s="9">
        <v>2.9834186308075901</v>
      </c>
      <c r="J404" s="3">
        <v>1</v>
      </c>
      <c r="K404" s="3">
        <v>1</v>
      </c>
      <c r="L404" s="3">
        <v>0</v>
      </c>
      <c r="M404" s="3">
        <v>0</v>
      </c>
      <c r="N404" s="3" t="s">
        <v>6</v>
      </c>
      <c r="O404" s="3">
        <v>0</v>
      </c>
      <c r="P404" s="3">
        <v>0</v>
      </c>
      <c r="Q404" s="3">
        <v>1</v>
      </c>
      <c r="R404" s="3">
        <v>0</v>
      </c>
      <c r="S404" s="3">
        <v>0</v>
      </c>
      <c r="T404" s="3">
        <v>0</v>
      </c>
      <c r="U404" s="3">
        <v>0</v>
      </c>
      <c r="V404" s="3">
        <v>1</v>
      </c>
      <c r="W404" s="3" t="s">
        <v>6</v>
      </c>
      <c r="X404" s="3">
        <v>0</v>
      </c>
      <c r="Y404" s="3">
        <v>0</v>
      </c>
      <c r="Z404" s="3">
        <v>0</v>
      </c>
      <c r="AA404" s="3">
        <v>0</v>
      </c>
      <c r="AB404" s="3">
        <v>0</v>
      </c>
      <c r="AC404" s="3">
        <v>0</v>
      </c>
      <c r="AD404" s="3">
        <v>0</v>
      </c>
      <c r="AE404" s="3">
        <v>0</v>
      </c>
      <c r="AF404" s="3">
        <v>0</v>
      </c>
      <c r="AG404" s="3">
        <v>0</v>
      </c>
      <c r="AH404" s="3" t="s">
        <v>577</v>
      </c>
      <c r="AI404" s="3" t="s">
        <v>681</v>
      </c>
      <c r="AK404" s="3" t="s">
        <v>681</v>
      </c>
    </row>
    <row r="405" spans="1:39" x14ac:dyDescent="0.25">
      <c r="A405" t="s">
        <v>1190</v>
      </c>
      <c r="B405" s="7">
        <v>45824</v>
      </c>
      <c r="C405" s="7" t="s">
        <v>844</v>
      </c>
      <c r="D405" s="3" t="s">
        <v>6</v>
      </c>
      <c r="E405" s="3" t="s">
        <v>671</v>
      </c>
      <c r="F405" s="3" t="s">
        <v>8</v>
      </c>
      <c r="G405" s="3" t="s">
        <v>8</v>
      </c>
      <c r="H405" s="9">
        <v>39.5250871078727</v>
      </c>
      <c r="I405" s="9">
        <v>2.4652184308132798</v>
      </c>
      <c r="J405" s="3">
        <v>1</v>
      </c>
      <c r="K405" s="3">
        <v>1</v>
      </c>
      <c r="L405" s="3">
        <v>0</v>
      </c>
      <c r="M405" s="3">
        <v>0</v>
      </c>
      <c r="N405" s="3" t="s">
        <v>6</v>
      </c>
      <c r="O405" s="3">
        <v>0</v>
      </c>
      <c r="P405" s="3">
        <v>0</v>
      </c>
      <c r="Q405" s="3">
        <v>1</v>
      </c>
      <c r="R405" s="3">
        <v>0</v>
      </c>
      <c r="S405" s="3">
        <v>0</v>
      </c>
      <c r="T405" s="3">
        <v>0</v>
      </c>
      <c r="U405" s="3">
        <v>0</v>
      </c>
      <c r="V405" s="3">
        <v>1</v>
      </c>
      <c r="W405" s="3" t="s">
        <v>6</v>
      </c>
      <c r="X405" s="3">
        <v>0</v>
      </c>
      <c r="Y405" s="3">
        <v>0</v>
      </c>
      <c r="Z405" s="3">
        <v>0</v>
      </c>
      <c r="AA405" s="3">
        <v>0</v>
      </c>
      <c r="AB405" s="3">
        <v>0</v>
      </c>
      <c r="AC405" s="3">
        <v>0</v>
      </c>
      <c r="AD405" s="3">
        <v>0</v>
      </c>
      <c r="AE405" s="3">
        <v>0</v>
      </c>
      <c r="AF405" s="3">
        <v>0</v>
      </c>
      <c r="AG405" s="3">
        <v>0</v>
      </c>
      <c r="AH405" s="3" t="s">
        <v>577</v>
      </c>
      <c r="AI405" s="3" t="s">
        <v>681</v>
      </c>
      <c r="AK405" s="3" t="s">
        <v>681</v>
      </c>
    </row>
    <row r="406" spans="1:39" x14ac:dyDescent="0.25">
      <c r="A406" t="s">
        <v>1191</v>
      </c>
      <c r="B406" s="7">
        <v>45826</v>
      </c>
      <c r="C406" s="7" t="s">
        <v>844</v>
      </c>
      <c r="D406" s="3" t="s">
        <v>6</v>
      </c>
      <c r="E406" s="3" t="s">
        <v>672</v>
      </c>
      <c r="F406" s="3" t="s">
        <v>8</v>
      </c>
      <c r="G406" s="3" t="s">
        <v>8</v>
      </c>
      <c r="H406" s="9">
        <v>39.552180769843403</v>
      </c>
      <c r="I406" s="9">
        <v>2.6890971188712798</v>
      </c>
      <c r="J406" s="3">
        <v>1</v>
      </c>
      <c r="K406" s="3">
        <v>1</v>
      </c>
      <c r="L406" s="3">
        <v>0</v>
      </c>
      <c r="M406" s="3">
        <v>0</v>
      </c>
      <c r="N406" s="3" t="s">
        <v>6</v>
      </c>
      <c r="O406" s="3">
        <v>0</v>
      </c>
      <c r="P406" s="3">
        <v>0</v>
      </c>
      <c r="Q406" s="3">
        <v>1</v>
      </c>
      <c r="R406" s="3">
        <v>0</v>
      </c>
      <c r="S406" s="3">
        <v>0</v>
      </c>
      <c r="T406" s="3">
        <v>0</v>
      </c>
      <c r="U406" s="3">
        <v>0</v>
      </c>
      <c r="V406" s="3">
        <v>1</v>
      </c>
      <c r="W406" s="3" t="s">
        <v>6</v>
      </c>
      <c r="X406" s="3">
        <v>0</v>
      </c>
      <c r="Y406" s="3">
        <v>0</v>
      </c>
      <c r="Z406" s="3">
        <v>0</v>
      </c>
      <c r="AA406" s="3">
        <v>0</v>
      </c>
      <c r="AB406" s="3">
        <v>0</v>
      </c>
      <c r="AC406" s="3">
        <v>0</v>
      </c>
      <c r="AD406" s="3">
        <v>0</v>
      </c>
      <c r="AE406" s="3">
        <v>0</v>
      </c>
      <c r="AF406" s="3">
        <v>0</v>
      </c>
      <c r="AG406" s="3">
        <v>0</v>
      </c>
      <c r="AH406" s="3" t="s">
        <v>577</v>
      </c>
      <c r="AI406" s="3" t="s">
        <v>681</v>
      </c>
      <c r="AK406" s="3" t="s">
        <v>681</v>
      </c>
    </row>
    <row r="407" spans="1:39" x14ac:dyDescent="0.25">
      <c r="A407" t="s">
        <v>1192</v>
      </c>
      <c r="B407" s="7">
        <v>45827</v>
      </c>
      <c r="C407" s="7" t="s">
        <v>844</v>
      </c>
      <c r="D407" s="3" t="s">
        <v>6</v>
      </c>
      <c r="E407" s="3" t="s">
        <v>673</v>
      </c>
      <c r="F407" s="3" t="s">
        <v>8</v>
      </c>
      <c r="G407" s="3" t="s">
        <v>8</v>
      </c>
      <c r="H407" s="9">
        <v>39.001681035592</v>
      </c>
      <c r="I407" s="9">
        <v>1.57827328660584</v>
      </c>
      <c r="J407" s="3">
        <v>1</v>
      </c>
      <c r="K407" s="3">
        <v>1</v>
      </c>
      <c r="L407" s="3">
        <v>0</v>
      </c>
      <c r="M407" s="3">
        <v>0</v>
      </c>
      <c r="N407" s="3" t="s">
        <v>6</v>
      </c>
      <c r="O407" s="3">
        <v>0</v>
      </c>
      <c r="P407" s="3">
        <v>0</v>
      </c>
      <c r="Q407" s="3">
        <v>1</v>
      </c>
      <c r="R407" s="3">
        <v>0</v>
      </c>
      <c r="S407" s="3">
        <v>0</v>
      </c>
      <c r="T407" s="3">
        <v>0</v>
      </c>
      <c r="U407" s="3">
        <v>0</v>
      </c>
      <c r="V407" s="3">
        <v>1</v>
      </c>
      <c r="W407" s="3" t="s">
        <v>6</v>
      </c>
      <c r="X407" s="3">
        <v>0</v>
      </c>
      <c r="Y407" s="3">
        <v>0</v>
      </c>
      <c r="Z407" s="3">
        <v>0</v>
      </c>
      <c r="AA407" s="3">
        <v>0</v>
      </c>
      <c r="AB407" s="3">
        <v>0</v>
      </c>
      <c r="AC407" s="3">
        <v>0</v>
      </c>
      <c r="AD407" s="3">
        <v>0</v>
      </c>
      <c r="AE407" s="3">
        <v>0</v>
      </c>
      <c r="AF407" s="3">
        <v>0</v>
      </c>
      <c r="AG407" s="3">
        <v>0</v>
      </c>
      <c r="AH407" s="3" t="s">
        <v>577</v>
      </c>
      <c r="AI407" s="3" t="s">
        <v>681</v>
      </c>
      <c r="AK407" s="3" t="s">
        <v>681</v>
      </c>
    </row>
    <row r="408" spans="1:39" x14ac:dyDescent="0.25">
      <c r="A408" t="s">
        <v>1223</v>
      </c>
      <c r="B408" s="7">
        <v>45827</v>
      </c>
      <c r="C408" s="7" t="s">
        <v>844</v>
      </c>
      <c r="D408" s="3" t="s">
        <v>6</v>
      </c>
      <c r="E408" s="3" t="s">
        <v>609</v>
      </c>
      <c r="F408" s="3" t="s">
        <v>59</v>
      </c>
      <c r="G408" s="3" t="s">
        <v>20</v>
      </c>
      <c r="H408" s="9">
        <v>42.280832206013102</v>
      </c>
      <c r="I408" s="9">
        <v>3.2770603609483202</v>
      </c>
      <c r="J408" s="3">
        <v>1</v>
      </c>
      <c r="K408" s="3">
        <v>1</v>
      </c>
      <c r="L408" s="3">
        <v>0</v>
      </c>
      <c r="M408" s="3">
        <v>0</v>
      </c>
      <c r="N408" s="3" t="s">
        <v>16</v>
      </c>
      <c r="O408" s="3">
        <v>0</v>
      </c>
      <c r="P408" s="3">
        <v>1</v>
      </c>
      <c r="Q408" s="3">
        <v>0</v>
      </c>
      <c r="R408" s="3">
        <v>1</v>
      </c>
      <c r="S408" s="3">
        <v>0</v>
      </c>
      <c r="T408" s="3">
        <v>0</v>
      </c>
      <c r="U408" s="3">
        <v>0</v>
      </c>
      <c r="V408" s="3">
        <v>0</v>
      </c>
      <c r="W408" s="3" t="s">
        <v>6</v>
      </c>
      <c r="X408" s="3">
        <v>0</v>
      </c>
      <c r="Y408" s="3">
        <v>0</v>
      </c>
      <c r="Z408" s="3">
        <v>0</v>
      </c>
      <c r="AA408" s="3">
        <v>0</v>
      </c>
      <c r="AB408" s="3">
        <v>0</v>
      </c>
      <c r="AC408" s="3">
        <v>0</v>
      </c>
      <c r="AD408" s="3">
        <v>0</v>
      </c>
      <c r="AE408" s="3">
        <v>0</v>
      </c>
      <c r="AF408" s="3">
        <v>0</v>
      </c>
      <c r="AG408" s="3">
        <v>0</v>
      </c>
      <c r="AH408" s="3" t="s">
        <v>17</v>
      </c>
      <c r="AI408" s="3" t="s">
        <v>776</v>
      </c>
      <c r="AK408" s="3" t="s">
        <v>720</v>
      </c>
      <c r="AL408" s="3" t="s">
        <v>249</v>
      </c>
    </row>
    <row r="409" spans="1:39" x14ac:dyDescent="0.25">
      <c r="A409" t="s">
        <v>1193</v>
      </c>
      <c r="B409" s="7">
        <v>45828</v>
      </c>
      <c r="C409" s="7" t="s">
        <v>844</v>
      </c>
      <c r="D409" s="3" t="s">
        <v>6</v>
      </c>
      <c r="E409" s="3" t="s">
        <v>674</v>
      </c>
      <c r="F409" s="3" t="s">
        <v>8</v>
      </c>
      <c r="G409" s="3" t="s">
        <v>8</v>
      </c>
      <c r="H409" s="9">
        <v>39.527143994070599</v>
      </c>
      <c r="I409" s="9">
        <v>2.7299849378361101</v>
      </c>
      <c r="J409" s="3">
        <v>1</v>
      </c>
      <c r="K409" s="3">
        <v>1</v>
      </c>
      <c r="L409" s="3">
        <v>0</v>
      </c>
      <c r="M409" s="3">
        <v>0</v>
      </c>
      <c r="N409" s="3" t="s">
        <v>6</v>
      </c>
      <c r="O409" s="3">
        <v>0</v>
      </c>
      <c r="P409" s="3">
        <v>0</v>
      </c>
      <c r="Q409" s="3">
        <v>1</v>
      </c>
      <c r="R409" s="3">
        <v>0</v>
      </c>
      <c r="S409" s="3">
        <v>0</v>
      </c>
      <c r="T409" s="3">
        <v>0</v>
      </c>
      <c r="U409" s="3">
        <v>0</v>
      </c>
      <c r="V409" s="3">
        <v>1</v>
      </c>
      <c r="W409" s="3" t="s">
        <v>6</v>
      </c>
      <c r="X409" s="3">
        <v>0</v>
      </c>
      <c r="Y409" s="3">
        <v>0</v>
      </c>
      <c r="Z409" s="3">
        <v>0</v>
      </c>
      <c r="AA409" s="3">
        <v>0</v>
      </c>
      <c r="AB409" s="3">
        <v>0</v>
      </c>
      <c r="AC409" s="3">
        <v>0</v>
      </c>
      <c r="AD409" s="3">
        <v>0</v>
      </c>
      <c r="AE409" s="3">
        <v>0</v>
      </c>
      <c r="AF409" s="3">
        <v>0</v>
      </c>
      <c r="AG409" s="3">
        <v>0</v>
      </c>
      <c r="AH409" s="3" t="s">
        <v>577</v>
      </c>
      <c r="AI409" s="3" t="s">
        <v>681</v>
      </c>
      <c r="AK409" s="3" t="s">
        <v>681</v>
      </c>
    </row>
    <row r="410" spans="1:39" x14ac:dyDescent="0.25">
      <c r="A410" t="s">
        <v>1194</v>
      </c>
      <c r="B410" s="7">
        <v>45828</v>
      </c>
      <c r="C410" s="7" t="s">
        <v>844</v>
      </c>
      <c r="D410" s="3" t="s">
        <v>6</v>
      </c>
      <c r="E410" s="3" t="s">
        <v>675</v>
      </c>
      <c r="F410" s="3" t="s">
        <v>8</v>
      </c>
      <c r="G410" s="3" t="s">
        <v>8</v>
      </c>
      <c r="H410" s="9">
        <v>39.515727746220598</v>
      </c>
      <c r="I410" s="9">
        <v>2.4789426516960802</v>
      </c>
      <c r="J410" s="3">
        <v>1</v>
      </c>
      <c r="K410" s="3">
        <v>1</v>
      </c>
      <c r="L410" s="3">
        <v>0</v>
      </c>
      <c r="M410" s="3">
        <v>0</v>
      </c>
      <c r="N410" s="3" t="s">
        <v>6</v>
      </c>
      <c r="O410" s="3">
        <v>0</v>
      </c>
      <c r="P410" s="3">
        <v>0</v>
      </c>
      <c r="Q410" s="3">
        <v>1</v>
      </c>
      <c r="R410" s="3">
        <v>0</v>
      </c>
      <c r="S410" s="3">
        <v>0</v>
      </c>
      <c r="T410" s="3">
        <v>0</v>
      </c>
      <c r="U410" s="3">
        <v>0</v>
      </c>
      <c r="V410" s="3">
        <v>1</v>
      </c>
      <c r="W410" s="3" t="s">
        <v>6</v>
      </c>
      <c r="X410" s="3">
        <v>0</v>
      </c>
      <c r="Y410" s="3">
        <v>0</v>
      </c>
      <c r="Z410" s="3">
        <v>0</v>
      </c>
      <c r="AA410" s="3">
        <v>0</v>
      </c>
      <c r="AB410" s="3">
        <v>0</v>
      </c>
      <c r="AC410" s="3">
        <v>0</v>
      </c>
      <c r="AD410" s="3">
        <v>0</v>
      </c>
      <c r="AE410" s="3">
        <v>0</v>
      </c>
      <c r="AF410" s="3">
        <v>0</v>
      </c>
      <c r="AG410" s="3">
        <v>0</v>
      </c>
      <c r="AH410" s="3" t="s">
        <v>577</v>
      </c>
      <c r="AI410" s="3" t="s">
        <v>681</v>
      </c>
      <c r="AK410" s="3" t="s">
        <v>681</v>
      </c>
    </row>
    <row r="411" spans="1:39" x14ac:dyDescent="0.25">
      <c r="A411" t="s">
        <v>1219</v>
      </c>
      <c r="B411" s="7">
        <v>45828</v>
      </c>
      <c r="C411" s="7" t="s">
        <v>844</v>
      </c>
      <c r="D411" s="3" t="s">
        <v>6</v>
      </c>
      <c r="E411" s="3" t="s">
        <v>116</v>
      </c>
      <c r="F411" s="3" t="s">
        <v>59</v>
      </c>
      <c r="G411" s="3" t="s">
        <v>20</v>
      </c>
      <c r="H411" s="9">
        <v>41.674091024902197</v>
      </c>
      <c r="I411" s="9">
        <v>2.8017307958920998</v>
      </c>
      <c r="J411" s="3">
        <v>1</v>
      </c>
      <c r="K411" s="3">
        <v>1</v>
      </c>
      <c r="L411" s="3">
        <v>0</v>
      </c>
      <c r="M411" s="3">
        <v>0</v>
      </c>
      <c r="N411" s="3" t="s">
        <v>6</v>
      </c>
      <c r="O411" s="3">
        <v>0</v>
      </c>
      <c r="P411" s="3">
        <v>0</v>
      </c>
      <c r="Q411" s="3">
        <v>1</v>
      </c>
      <c r="R411" s="3">
        <v>1</v>
      </c>
      <c r="S411" s="3">
        <v>0</v>
      </c>
      <c r="T411" s="3">
        <v>0</v>
      </c>
      <c r="U411" s="3">
        <v>0</v>
      </c>
      <c r="V411" s="3">
        <v>0</v>
      </c>
      <c r="W411" s="3" t="s">
        <v>6</v>
      </c>
      <c r="X411" s="3">
        <v>0</v>
      </c>
      <c r="Y411" s="3">
        <v>0</v>
      </c>
      <c r="Z411" s="3">
        <v>0</v>
      </c>
      <c r="AA411" s="3">
        <v>0</v>
      </c>
      <c r="AB411" s="3">
        <v>0</v>
      </c>
      <c r="AC411" s="3">
        <v>0</v>
      </c>
      <c r="AD411" s="3">
        <v>0</v>
      </c>
      <c r="AE411" s="3">
        <v>0</v>
      </c>
      <c r="AF411" s="3">
        <v>0</v>
      </c>
      <c r="AG411" s="3">
        <v>0</v>
      </c>
      <c r="AH411" s="3" t="s">
        <v>775</v>
      </c>
      <c r="AI411" s="3" t="s">
        <v>81</v>
      </c>
      <c r="AK411" s="3" t="s">
        <v>712</v>
      </c>
      <c r="AL411" s="3" t="s">
        <v>249</v>
      </c>
    </row>
    <row r="412" spans="1:39" x14ac:dyDescent="0.25">
      <c r="A412" t="s">
        <v>1129</v>
      </c>
      <c r="B412" s="7">
        <v>45829</v>
      </c>
      <c r="C412" s="7" t="s">
        <v>844</v>
      </c>
      <c r="D412" s="3" t="s">
        <v>6</v>
      </c>
      <c r="E412" s="3" t="s">
        <v>603</v>
      </c>
      <c r="F412" s="3" t="s">
        <v>69</v>
      </c>
      <c r="G412" s="3" t="s">
        <v>20</v>
      </c>
      <c r="H412" s="9">
        <v>40.826286552652299</v>
      </c>
      <c r="I412" s="9">
        <v>0.74220910146901398</v>
      </c>
      <c r="J412" s="3">
        <v>1</v>
      </c>
      <c r="K412" s="3">
        <v>1</v>
      </c>
      <c r="L412" s="3">
        <v>0</v>
      </c>
      <c r="M412" s="3">
        <v>0</v>
      </c>
      <c r="N412" s="3" t="s">
        <v>16</v>
      </c>
      <c r="O412" s="3">
        <v>0</v>
      </c>
      <c r="P412" s="3">
        <v>0</v>
      </c>
      <c r="Q412" s="3">
        <v>1</v>
      </c>
      <c r="R412" s="3">
        <v>0</v>
      </c>
      <c r="S412" s="3">
        <v>0</v>
      </c>
      <c r="T412" s="3">
        <v>0</v>
      </c>
      <c r="U412" s="3">
        <v>0</v>
      </c>
      <c r="V412" s="3">
        <v>1</v>
      </c>
      <c r="W412" s="3" t="s">
        <v>6</v>
      </c>
      <c r="X412" s="3">
        <v>0</v>
      </c>
      <c r="Y412" s="3">
        <v>0</v>
      </c>
      <c r="Z412" s="3">
        <v>0</v>
      </c>
      <c r="AA412" s="3">
        <v>0</v>
      </c>
      <c r="AB412" s="3">
        <v>0</v>
      </c>
      <c r="AC412" s="3">
        <v>0</v>
      </c>
      <c r="AD412" s="3">
        <v>0</v>
      </c>
      <c r="AE412" s="3">
        <v>0</v>
      </c>
      <c r="AF412" s="3">
        <v>0</v>
      </c>
      <c r="AG412" s="3">
        <v>0</v>
      </c>
      <c r="AH412" s="3" t="s">
        <v>577</v>
      </c>
      <c r="AI412" s="3" t="s">
        <v>604</v>
      </c>
      <c r="AK412" s="3" t="s">
        <v>604</v>
      </c>
      <c r="AL412" s="3" t="s">
        <v>249</v>
      </c>
    </row>
    <row r="413" spans="1:39" x14ac:dyDescent="0.25">
      <c r="A413" t="s">
        <v>1195</v>
      </c>
      <c r="B413" s="7">
        <v>45829</v>
      </c>
      <c r="C413" s="7" t="s">
        <v>844</v>
      </c>
      <c r="D413" s="3" t="s">
        <v>6</v>
      </c>
      <c r="E413" s="3" t="s">
        <v>676</v>
      </c>
      <c r="F413" s="3" t="s">
        <v>8</v>
      </c>
      <c r="G413" s="3" t="s">
        <v>8</v>
      </c>
      <c r="H413" s="9">
        <v>39.921609962812397</v>
      </c>
      <c r="I413" s="9">
        <v>3.0551608818426899</v>
      </c>
      <c r="J413" s="3">
        <v>1</v>
      </c>
      <c r="K413" s="3">
        <v>1</v>
      </c>
      <c r="L413" s="3">
        <v>0</v>
      </c>
      <c r="M413" s="3">
        <v>0</v>
      </c>
      <c r="N413" s="3" t="s">
        <v>6</v>
      </c>
      <c r="O413" s="3">
        <v>0</v>
      </c>
      <c r="P413" s="3">
        <v>0</v>
      </c>
      <c r="Q413" s="3">
        <v>1</v>
      </c>
      <c r="R413" s="3">
        <v>0</v>
      </c>
      <c r="S413" s="3">
        <v>0</v>
      </c>
      <c r="T413" s="3">
        <v>0</v>
      </c>
      <c r="U413" s="3">
        <v>0</v>
      </c>
      <c r="V413" s="3">
        <v>1</v>
      </c>
      <c r="W413" s="3" t="s">
        <v>6</v>
      </c>
      <c r="X413" s="3">
        <v>0</v>
      </c>
      <c r="Y413" s="3">
        <v>0</v>
      </c>
      <c r="Z413" s="3">
        <v>0</v>
      </c>
      <c r="AA413" s="3">
        <v>0</v>
      </c>
      <c r="AB413" s="3">
        <v>0</v>
      </c>
      <c r="AC413" s="3">
        <v>0</v>
      </c>
      <c r="AD413" s="3">
        <v>0</v>
      </c>
      <c r="AE413" s="3">
        <v>0</v>
      </c>
      <c r="AF413" s="3">
        <v>0</v>
      </c>
      <c r="AG413" s="3">
        <v>0</v>
      </c>
      <c r="AH413" s="3" t="s">
        <v>577</v>
      </c>
      <c r="AI413" s="3" t="s">
        <v>681</v>
      </c>
      <c r="AK413" s="3" t="s">
        <v>681</v>
      </c>
    </row>
    <row r="414" spans="1:39" x14ac:dyDescent="0.25">
      <c r="A414" t="s">
        <v>1295</v>
      </c>
      <c r="B414" s="7">
        <v>45829</v>
      </c>
      <c r="C414" s="7" t="s">
        <v>844</v>
      </c>
      <c r="D414" s="3" t="s">
        <v>6</v>
      </c>
      <c r="E414" s="3" t="s">
        <v>674</v>
      </c>
      <c r="F414" s="3" t="s">
        <v>8</v>
      </c>
      <c r="G414" s="3" t="s">
        <v>8</v>
      </c>
      <c r="H414" s="9">
        <v>39.522758977107102</v>
      </c>
      <c r="I414" s="9">
        <v>2.7354137937271701</v>
      </c>
      <c r="J414" s="3">
        <v>1</v>
      </c>
      <c r="K414" s="3">
        <v>1</v>
      </c>
      <c r="L414" s="3">
        <v>0</v>
      </c>
      <c r="M414" s="3">
        <v>0</v>
      </c>
      <c r="N414" s="3" t="s">
        <v>66</v>
      </c>
      <c r="O414" s="3">
        <v>0</v>
      </c>
      <c r="P414" s="3">
        <v>1</v>
      </c>
      <c r="Q414" s="3">
        <v>0</v>
      </c>
      <c r="R414" s="3">
        <v>1</v>
      </c>
      <c r="S414" s="3">
        <v>0</v>
      </c>
      <c r="T414" s="3">
        <v>0</v>
      </c>
      <c r="U414" s="3">
        <v>0</v>
      </c>
      <c r="V414" s="3">
        <v>0</v>
      </c>
      <c r="W414" s="3" t="s">
        <v>6</v>
      </c>
      <c r="X414" s="3">
        <v>0</v>
      </c>
      <c r="Y414" s="3">
        <v>0</v>
      </c>
      <c r="Z414" s="3">
        <v>0</v>
      </c>
      <c r="AA414" s="3">
        <v>0</v>
      </c>
      <c r="AB414" s="3">
        <v>0</v>
      </c>
      <c r="AC414" s="3">
        <v>0</v>
      </c>
      <c r="AD414" s="3">
        <v>0</v>
      </c>
      <c r="AE414" s="3">
        <v>0</v>
      </c>
      <c r="AF414" s="3">
        <v>0</v>
      </c>
      <c r="AG414" s="3">
        <v>0</v>
      </c>
      <c r="AH414" s="3" t="s">
        <v>17</v>
      </c>
      <c r="AI414" s="3" t="s">
        <v>781</v>
      </c>
      <c r="AK414" s="3" t="s">
        <v>877</v>
      </c>
      <c r="AL414" s="3" t="s">
        <v>249</v>
      </c>
    </row>
    <row r="415" spans="1:39" x14ac:dyDescent="0.25">
      <c r="A415" t="s">
        <v>1125</v>
      </c>
      <c r="B415" s="7">
        <v>45830</v>
      </c>
      <c r="C415" s="7" t="s">
        <v>844</v>
      </c>
      <c r="D415" s="3" t="s">
        <v>6</v>
      </c>
      <c r="E415" s="3" t="s">
        <v>588</v>
      </c>
      <c r="F415" s="3" t="s">
        <v>69</v>
      </c>
      <c r="G415" s="3" t="s">
        <v>20</v>
      </c>
      <c r="H415" s="9">
        <v>41.177777296788499</v>
      </c>
      <c r="I415" s="9">
        <v>1.5159811240958401</v>
      </c>
      <c r="J415" s="3">
        <v>1</v>
      </c>
      <c r="K415" s="3">
        <v>1</v>
      </c>
      <c r="L415" s="3">
        <v>0</v>
      </c>
      <c r="M415" s="3">
        <v>0</v>
      </c>
      <c r="N415" s="3" t="s">
        <v>16</v>
      </c>
      <c r="O415" s="3">
        <v>0</v>
      </c>
      <c r="P415" s="3">
        <v>0</v>
      </c>
      <c r="Q415" s="3">
        <v>1</v>
      </c>
      <c r="R415" s="3">
        <v>1</v>
      </c>
      <c r="S415" s="3">
        <v>0</v>
      </c>
      <c r="T415" s="3">
        <v>0</v>
      </c>
      <c r="U415" s="3">
        <v>0</v>
      </c>
      <c r="V415" s="3">
        <v>0</v>
      </c>
      <c r="W415" s="3" t="s">
        <v>6</v>
      </c>
      <c r="X415" s="3">
        <v>0</v>
      </c>
      <c r="Y415" s="3">
        <v>0</v>
      </c>
      <c r="Z415" s="3">
        <v>0</v>
      </c>
      <c r="AA415" s="3">
        <v>0</v>
      </c>
      <c r="AB415" s="3">
        <v>0</v>
      </c>
      <c r="AC415" s="3">
        <v>0</v>
      </c>
      <c r="AD415" s="3">
        <v>0</v>
      </c>
      <c r="AE415" s="3">
        <v>0</v>
      </c>
      <c r="AF415" s="3">
        <v>0</v>
      </c>
      <c r="AG415" s="3">
        <v>0</v>
      </c>
      <c r="AH415" s="3" t="s">
        <v>233</v>
      </c>
      <c r="AI415" s="3" t="s">
        <v>785</v>
      </c>
      <c r="AK415" s="3" t="s">
        <v>589</v>
      </c>
    </row>
    <row r="416" spans="1:39" x14ac:dyDescent="0.25">
      <c r="A416" t="s">
        <v>1196</v>
      </c>
      <c r="B416" s="7">
        <v>45830</v>
      </c>
      <c r="C416" s="7" t="s">
        <v>844</v>
      </c>
      <c r="D416" s="3" t="s">
        <v>6</v>
      </c>
      <c r="E416" s="3" t="s">
        <v>677</v>
      </c>
      <c r="F416" s="3" t="s">
        <v>8</v>
      </c>
      <c r="G416" s="3" t="s">
        <v>8</v>
      </c>
      <c r="H416" s="9">
        <v>39.466680641362402</v>
      </c>
      <c r="I416" s="9">
        <v>3.2797964528550598</v>
      </c>
      <c r="J416" s="3">
        <v>1</v>
      </c>
      <c r="K416" s="3">
        <v>1</v>
      </c>
      <c r="L416" s="3">
        <v>0</v>
      </c>
      <c r="M416" s="3">
        <v>0</v>
      </c>
      <c r="N416" s="3" t="s">
        <v>66</v>
      </c>
      <c r="O416" s="3">
        <v>0</v>
      </c>
      <c r="P416" s="3">
        <v>1</v>
      </c>
      <c r="Q416" s="3">
        <v>0</v>
      </c>
      <c r="R416" s="3">
        <v>0</v>
      </c>
      <c r="S416" s="3">
        <v>0</v>
      </c>
      <c r="T416" s="3">
        <v>0</v>
      </c>
      <c r="U416" s="3">
        <v>0</v>
      </c>
      <c r="V416" s="3">
        <v>1</v>
      </c>
      <c r="W416" s="3" t="s">
        <v>6</v>
      </c>
      <c r="X416" s="3">
        <v>0</v>
      </c>
      <c r="Y416" s="3">
        <v>0</v>
      </c>
      <c r="Z416" s="3">
        <v>0</v>
      </c>
      <c r="AA416" s="3">
        <v>0</v>
      </c>
      <c r="AB416" s="3">
        <v>0</v>
      </c>
      <c r="AC416" s="3">
        <v>0</v>
      </c>
      <c r="AD416" s="3">
        <v>0</v>
      </c>
      <c r="AE416" s="3">
        <v>0</v>
      </c>
      <c r="AF416" s="3">
        <v>0</v>
      </c>
      <c r="AG416" s="3">
        <v>0</v>
      </c>
      <c r="AH416" s="3" t="s">
        <v>577</v>
      </c>
      <c r="AI416" s="3" t="s">
        <v>681</v>
      </c>
      <c r="AK416" s="3" t="s">
        <v>681</v>
      </c>
      <c r="AL416" s="3" t="s">
        <v>714</v>
      </c>
    </row>
    <row r="417" spans="1:38" x14ac:dyDescent="0.25">
      <c r="A417" t="s">
        <v>1197</v>
      </c>
      <c r="B417" s="7">
        <v>45830</v>
      </c>
      <c r="C417" s="7" t="s">
        <v>844</v>
      </c>
      <c r="D417" s="3" t="s">
        <v>6</v>
      </c>
      <c r="E417" s="3" t="s">
        <v>643</v>
      </c>
      <c r="F417" s="3" t="s">
        <v>8</v>
      </c>
      <c r="G417" s="3" t="s">
        <v>8</v>
      </c>
      <c r="H417" s="9">
        <v>39.794075571276501</v>
      </c>
      <c r="I417" s="9">
        <v>2.6957700502641901</v>
      </c>
      <c r="J417" s="3">
        <v>1</v>
      </c>
      <c r="K417" s="3">
        <v>1</v>
      </c>
      <c r="L417" s="3">
        <v>0</v>
      </c>
      <c r="M417" s="3">
        <v>0</v>
      </c>
      <c r="N417" s="3" t="s">
        <v>6</v>
      </c>
      <c r="O417" s="3">
        <v>0</v>
      </c>
      <c r="P417" s="3">
        <v>0</v>
      </c>
      <c r="Q417" s="3">
        <v>1</v>
      </c>
      <c r="R417" s="3">
        <v>0</v>
      </c>
      <c r="S417" s="3">
        <v>0</v>
      </c>
      <c r="T417" s="3">
        <v>0</v>
      </c>
      <c r="U417" s="3">
        <v>0</v>
      </c>
      <c r="V417" s="3">
        <v>1</v>
      </c>
      <c r="W417" s="3" t="s">
        <v>6</v>
      </c>
      <c r="X417" s="3">
        <v>0</v>
      </c>
      <c r="Y417" s="3">
        <v>0</v>
      </c>
      <c r="Z417" s="3">
        <v>0</v>
      </c>
      <c r="AA417" s="3">
        <v>0</v>
      </c>
      <c r="AB417" s="3">
        <v>0</v>
      </c>
      <c r="AC417" s="3">
        <v>0</v>
      </c>
      <c r="AD417" s="3">
        <v>0</v>
      </c>
      <c r="AE417" s="3">
        <v>0</v>
      </c>
      <c r="AF417" s="3">
        <v>0</v>
      </c>
      <c r="AG417" s="3">
        <v>0</v>
      </c>
      <c r="AH417" s="3" t="s">
        <v>577</v>
      </c>
      <c r="AI417" s="3" t="s">
        <v>681</v>
      </c>
      <c r="AK417" s="3" t="s">
        <v>681</v>
      </c>
    </row>
    <row r="418" spans="1:38" x14ac:dyDescent="0.25">
      <c r="A418" t="s">
        <v>1208</v>
      </c>
      <c r="B418" s="7">
        <v>45830</v>
      </c>
      <c r="C418" s="7" t="s">
        <v>844</v>
      </c>
      <c r="D418" s="3" t="s">
        <v>6</v>
      </c>
      <c r="E418" s="3" t="s">
        <v>134</v>
      </c>
      <c r="F418" s="3" t="s">
        <v>8</v>
      </c>
      <c r="G418" s="3" t="s">
        <v>8</v>
      </c>
      <c r="J418" s="3">
        <v>1</v>
      </c>
      <c r="K418" s="3">
        <v>1</v>
      </c>
      <c r="L418" s="3">
        <v>0</v>
      </c>
      <c r="M418" s="3">
        <v>0</v>
      </c>
      <c r="N418" s="3" t="s">
        <v>16</v>
      </c>
      <c r="O418" s="3">
        <v>1</v>
      </c>
      <c r="P418" s="3">
        <v>0</v>
      </c>
      <c r="Q418" s="3">
        <v>0</v>
      </c>
      <c r="R418" s="3">
        <v>1</v>
      </c>
      <c r="S418" s="3">
        <v>0</v>
      </c>
      <c r="T418" s="3">
        <v>0</v>
      </c>
      <c r="U418" s="3">
        <v>0</v>
      </c>
      <c r="V418" s="3">
        <v>0</v>
      </c>
      <c r="W418" s="3" t="s">
        <v>6</v>
      </c>
      <c r="X418" s="3">
        <v>1</v>
      </c>
      <c r="Y418" s="3">
        <v>0</v>
      </c>
      <c r="Z418" s="3">
        <v>0</v>
      </c>
      <c r="AA418" s="3">
        <v>0</v>
      </c>
      <c r="AB418" s="3">
        <v>0</v>
      </c>
      <c r="AC418" s="3">
        <v>0</v>
      </c>
      <c r="AD418" s="3">
        <v>1</v>
      </c>
      <c r="AE418" s="3">
        <v>0</v>
      </c>
      <c r="AF418" s="3">
        <v>0</v>
      </c>
      <c r="AG418" s="3">
        <v>0</v>
      </c>
      <c r="AH418" s="3" t="s">
        <v>17</v>
      </c>
      <c r="AI418" s="3" t="s">
        <v>776</v>
      </c>
      <c r="AK418" s="3" t="s">
        <v>697</v>
      </c>
      <c r="AL418" s="3" t="s">
        <v>698</v>
      </c>
    </row>
    <row r="419" spans="1:38" x14ac:dyDescent="0.25">
      <c r="A419" t="s">
        <v>1266</v>
      </c>
      <c r="B419" s="7">
        <v>45830</v>
      </c>
      <c r="C419" s="7" t="s">
        <v>844</v>
      </c>
      <c r="D419" s="3" t="s">
        <v>6</v>
      </c>
      <c r="E419" s="3" t="s">
        <v>813</v>
      </c>
      <c r="F419" s="3" t="s">
        <v>69</v>
      </c>
      <c r="G419" s="3" t="s">
        <v>20</v>
      </c>
      <c r="H419" s="9">
        <v>41.060570434013201</v>
      </c>
      <c r="I419" s="9">
        <v>1.1607486071054101</v>
      </c>
      <c r="J419" s="3">
        <v>1</v>
      </c>
      <c r="K419" s="3">
        <v>1</v>
      </c>
      <c r="L419" s="3">
        <v>0</v>
      </c>
      <c r="M419" s="3">
        <v>0</v>
      </c>
      <c r="N419" s="3" t="s">
        <v>6</v>
      </c>
      <c r="O419" s="3">
        <v>0</v>
      </c>
      <c r="P419" s="3">
        <v>1</v>
      </c>
      <c r="Q419" s="3">
        <v>0</v>
      </c>
      <c r="R419" s="3">
        <v>1</v>
      </c>
      <c r="S419" s="3">
        <v>0</v>
      </c>
      <c r="T419" s="3">
        <v>0</v>
      </c>
      <c r="U419" s="3">
        <v>0</v>
      </c>
      <c r="V419" s="3">
        <v>0</v>
      </c>
      <c r="W419" s="3" t="s">
        <v>6</v>
      </c>
      <c r="X419" s="3">
        <v>0</v>
      </c>
      <c r="Y419" s="3">
        <v>0</v>
      </c>
      <c r="Z419" s="3">
        <v>0</v>
      </c>
      <c r="AA419" s="3">
        <v>0</v>
      </c>
      <c r="AB419" s="3">
        <v>0</v>
      </c>
      <c r="AC419" s="3">
        <v>0</v>
      </c>
      <c r="AD419" s="3">
        <v>0</v>
      </c>
      <c r="AE419" s="3">
        <v>0</v>
      </c>
      <c r="AF419" s="3">
        <v>0</v>
      </c>
      <c r="AG419" s="3">
        <v>0</v>
      </c>
      <c r="AH419" s="3" t="s">
        <v>17</v>
      </c>
      <c r="AI419" s="3" t="s">
        <v>781</v>
      </c>
      <c r="AK419" s="3" t="s">
        <v>814</v>
      </c>
      <c r="AL419" s="3" t="s">
        <v>815</v>
      </c>
    </row>
    <row r="420" spans="1:38" x14ac:dyDescent="0.25">
      <c r="A420" t="s">
        <v>1198</v>
      </c>
      <c r="B420" s="7">
        <v>45831</v>
      </c>
      <c r="C420" s="7" t="s">
        <v>844</v>
      </c>
      <c r="D420" s="3" t="s">
        <v>6</v>
      </c>
      <c r="E420" s="3" t="s">
        <v>678</v>
      </c>
      <c r="F420" s="3" t="s">
        <v>8</v>
      </c>
      <c r="G420" s="3" t="s">
        <v>8</v>
      </c>
      <c r="H420" s="9">
        <v>39.914752437354103</v>
      </c>
      <c r="I420" s="9">
        <v>4.03747700338194</v>
      </c>
      <c r="J420" s="3">
        <v>1</v>
      </c>
      <c r="K420" s="3">
        <v>1</v>
      </c>
      <c r="L420" s="3">
        <v>0</v>
      </c>
      <c r="M420" s="3">
        <v>0</v>
      </c>
      <c r="N420" s="3" t="s">
        <v>6</v>
      </c>
      <c r="O420" s="3">
        <v>0</v>
      </c>
      <c r="P420" s="3">
        <v>0</v>
      </c>
      <c r="Q420" s="3">
        <v>1</v>
      </c>
      <c r="R420" s="3">
        <v>0</v>
      </c>
      <c r="S420" s="3">
        <v>0</v>
      </c>
      <c r="T420" s="3">
        <v>0</v>
      </c>
      <c r="U420" s="3">
        <v>0</v>
      </c>
      <c r="V420" s="3">
        <v>1</v>
      </c>
      <c r="W420" s="3" t="s">
        <v>6</v>
      </c>
      <c r="X420" s="3">
        <v>0</v>
      </c>
      <c r="Y420" s="3">
        <v>0</v>
      </c>
      <c r="Z420" s="3">
        <v>0</v>
      </c>
      <c r="AA420" s="3">
        <v>0</v>
      </c>
      <c r="AB420" s="3">
        <v>0</v>
      </c>
      <c r="AC420" s="3">
        <v>0</v>
      </c>
      <c r="AD420" s="3">
        <v>0</v>
      </c>
      <c r="AE420" s="3">
        <v>0</v>
      </c>
      <c r="AF420" s="3">
        <v>0</v>
      </c>
      <c r="AG420" s="3">
        <v>0</v>
      </c>
      <c r="AH420" s="3" t="s">
        <v>577</v>
      </c>
      <c r="AI420" s="3" t="s">
        <v>681</v>
      </c>
      <c r="AK420" s="3" t="s">
        <v>681</v>
      </c>
    </row>
    <row r="421" spans="1:38" x14ac:dyDescent="0.25">
      <c r="A421" t="s">
        <v>1136</v>
      </c>
      <c r="B421" s="7">
        <v>45833</v>
      </c>
      <c r="C421" s="7" t="s">
        <v>844</v>
      </c>
      <c r="D421" s="3" t="s">
        <v>6</v>
      </c>
      <c r="E421" s="3" t="s">
        <v>405</v>
      </c>
      <c r="F421" s="3" t="s">
        <v>24</v>
      </c>
      <c r="G421" s="3" t="s">
        <v>20</v>
      </c>
      <c r="H421" s="9">
        <v>41.454660455716201</v>
      </c>
      <c r="I421" s="9">
        <v>2.2606209429900002</v>
      </c>
      <c r="J421" s="3">
        <v>1</v>
      </c>
      <c r="K421" s="3">
        <v>1</v>
      </c>
      <c r="L421" s="3">
        <v>0</v>
      </c>
      <c r="M421" s="3">
        <v>0</v>
      </c>
      <c r="N421" s="3" t="s">
        <v>16</v>
      </c>
      <c r="O421" s="3">
        <v>0</v>
      </c>
      <c r="P421" s="3">
        <v>1</v>
      </c>
      <c r="Q421" s="3">
        <v>0</v>
      </c>
      <c r="R421" s="3">
        <v>1</v>
      </c>
      <c r="S421" s="3">
        <v>0</v>
      </c>
      <c r="T421" s="3">
        <v>0</v>
      </c>
      <c r="U421" s="3">
        <v>0</v>
      </c>
      <c r="V421" s="3">
        <v>0</v>
      </c>
      <c r="W421" s="3" t="s">
        <v>6</v>
      </c>
      <c r="X421" s="3">
        <v>0</v>
      </c>
      <c r="Y421" s="3">
        <v>0</v>
      </c>
      <c r="Z421" s="3">
        <v>0</v>
      </c>
      <c r="AA421" s="3">
        <v>0</v>
      </c>
      <c r="AB421" s="3">
        <v>0</v>
      </c>
      <c r="AC421" s="3">
        <v>0</v>
      </c>
      <c r="AD421" s="3">
        <v>0</v>
      </c>
      <c r="AE421" s="3">
        <v>0</v>
      </c>
      <c r="AF421" s="3">
        <v>0</v>
      </c>
      <c r="AG421" s="3">
        <v>0</v>
      </c>
      <c r="AH421" s="3" t="s">
        <v>17</v>
      </c>
      <c r="AI421" s="3" t="s">
        <v>780</v>
      </c>
      <c r="AK421" s="3" t="s">
        <v>620</v>
      </c>
    </row>
    <row r="422" spans="1:38" x14ac:dyDescent="0.25">
      <c r="A422" t="s">
        <v>1137</v>
      </c>
      <c r="B422" s="7">
        <v>45834</v>
      </c>
      <c r="C422" s="7" t="s">
        <v>844</v>
      </c>
      <c r="D422" s="3" t="s">
        <v>6</v>
      </c>
      <c r="E422" s="3" t="s">
        <v>621</v>
      </c>
      <c r="F422" s="3" t="s">
        <v>24</v>
      </c>
      <c r="G422" s="3" t="s">
        <v>20</v>
      </c>
      <c r="H422" s="9">
        <v>41.565634868249703</v>
      </c>
      <c r="I422" s="9">
        <v>2.5250211436102901</v>
      </c>
      <c r="J422" s="3">
        <v>1</v>
      </c>
      <c r="K422" s="3">
        <v>1</v>
      </c>
      <c r="L422" s="3">
        <v>0</v>
      </c>
      <c r="M422" s="3">
        <v>0</v>
      </c>
      <c r="N422" s="3" t="s">
        <v>6</v>
      </c>
      <c r="O422" s="3">
        <v>0</v>
      </c>
      <c r="P422" s="3">
        <v>0</v>
      </c>
      <c r="Q422" s="3">
        <v>1</v>
      </c>
      <c r="R422" s="3">
        <v>1</v>
      </c>
      <c r="S422" s="3">
        <v>0</v>
      </c>
      <c r="T422" s="3">
        <v>0</v>
      </c>
      <c r="U422" s="3">
        <v>0</v>
      </c>
      <c r="V422" s="3">
        <v>0</v>
      </c>
      <c r="W422" s="3" t="s">
        <v>6</v>
      </c>
      <c r="X422" s="3">
        <v>0</v>
      </c>
      <c r="Y422" s="3">
        <v>0</v>
      </c>
      <c r="Z422" s="3">
        <v>0</v>
      </c>
      <c r="AA422" s="3">
        <v>0</v>
      </c>
      <c r="AB422" s="3">
        <v>0</v>
      </c>
      <c r="AC422" s="3">
        <v>0</v>
      </c>
      <c r="AD422" s="3">
        <v>0</v>
      </c>
      <c r="AE422" s="3">
        <v>0</v>
      </c>
      <c r="AF422" s="3">
        <v>0</v>
      </c>
      <c r="AG422" s="3">
        <v>0</v>
      </c>
      <c r="AH422" s="3" t="s">
        <v>17</v>
      </c>
      <c r="AI422" s="3" t="s">
        <v>780</v>
      </c>
      <c r="AK422" s="3" t="s">
        <v>622</v>
      </c>
    </row>
    <row r="423" spans="1:38" x14ac:dyDescent="0.25">
      <c r="A423" t="s">
        <v>1199</v>
      </c>
      <c r="B423" s="7">
        <v>45834</v>
      </c>
      <c r="C423" s="7" t="s">
        <v>844</v>
      </c>
      <c r="D423" s="3" t="s">
        <v>6</v>
      </c>
      <c r="E423" s="3" t="s">
        <v>679</v>
      </c>
      <c r="F423" s="3" t="s">
        <v>8</v>
      </c>
      <c r="G423" s="3" t="s">
        <v>8</v>
      </c>
      <c r="H423" s="9">
        <v>39.967383084152402</v>
      </c>
      <c r="I423" s="9">
        <v>3.8351440132437302</v>
      </c>
      <c r="J423" s="3">
        <v>1</v>
      </c>
      <c r="K423" s="3">
        <v>1</v>
      </c>
      <c r="L423" s="3">
        <v>0</v>
      </c>
      <c r="M423" s="3">
        <v>0</v>
      </c>
      <c r="N423" s="3" t="s">
        <v>6</v>
      </c>
      <c r="O423" s="3">
        <v>0</v>
      </c>
      <c r="P423" s="3">
        <v>0</v>
      </c>
      <c r="Q423" s="3">
        <v>1</v>
      </c>
      <c r="R423" s="3">
        <v>0</v>
      </c>
      <c r="S423" s="3">
        <v>0</v>
      </c>
      <c r="T423" s="3">
        <v>0</v>
      </c>
      <c r="U423" s="3">
        <v>0</v>
      </c>
      <c r="V423" s="3">
        <v>1</v>
      </c>
      <c r="W423" s="3" t="s">
        <v>6</v>
      </c>
      <c r="X423" s="3">
        <v>0</v>
      </c>
      <c r="Y423" s="3">
        <v>0</v>
      </c>
      <c r="Z423" s="3">
        <v>0</v>
      </c>
      <c r="AA423" s="3">
        <v>0</v>
      </c>
      <c r="AB423" s="3">
        <v>0</v>
      </c>
      <c r="AC423" s="3">
        <v>0</v>
      </c>
      <c r="AD423" s="3">
        <v>0</v>
      </c>
      <c r="AE423" s="3">
        <v>0</v>
      </c>
      <c r="AF423" s="3">
        <v>0</v>
      </c>
      <c r="AG423" s="3">
        <v>0</v>
      </c>
      <c r="AH423" s="3" t="s">
        <v>577</v>
      </c>
      <c r="AI423" s="3" t="s">
        <v>681</v>
      </c>
      <c r="AK423" s="3" t="s">
        <v>681</v>
      </c>
    </row>
    <row r="424" spans="1:38" x14ac:dyDescent="0.25">
      <c r="A424" t="s">
        <v>1128</v>
      </c>
      <c r="B424" s="7">
        <v>45835</v>
      </c>
      <c r="C424" s="7" t="s">
        <v>844</v>
      </c>
      <c r="D424" s="4" t="s">
        <v>6</v>
      </c>
      <c r="E424" s="3" t="s">
        <v>600</v>
      </c>
      <c r="F424" s="3" t="s">
        <v>24</v>
      </c>
      <c r="G424" s="3" t="s">
        <v>20</v>
      </c>
      <c r="H424" s="9">
        <v>41.404017300841197</v>
      </c>
      <c r="I424" s="9">
        <v>2.21889017457372</v>
      </c>
      <c r="J424" s="3">
        <v>1</v>
      </c>
      <c r="K424" s="3">
        <v>1</v>
      </c>
      <c r="L424" s="3">
        <v>0</v>
      </c>
      <c r="M424" s="3">
        <v>0</v>
      </c>
      <c r="N424" s="3" t="s">
        <v>16</v>
      </c>
      <c r="O424" s="3">
        <v>0</v>
      </c>
      <c r="P424" s="3">
        <v>1</v>
      </c>
      <c r="Q424" s="3">
        <v>0</v>
      </c>
      <c r="R424" s="3">
        <v>0</v>
      </c>
      <c r="S424" s="3">
        <v>0</v>
      </c>
      <c r="T424" s="3">
        <v>0</v>
      </c>
      <c r="U424" s="3">
        <v>0</v>
      </c>
      <c r="V424" s="3">
        <v>1</v>
      </c>
      <c r="W424" s="3" t="s">
        <v>6</v>
      </c>
      <c r="X424" s="3">
        <v>1</v>
      </c>
      <c r="Y424" s="3">
        <v>0</v>
      </c>
      <c r="Z424" s="3">
        <v>0</v>
      </c>
      <c r="AA424" s="3">
        <v>0</v>
      </c>
      <c r="AB424" s="3">
        <v>0</v>
      </c>
      <c r="AC424" s="3">
        <v>0</v>
      </c>
      <c r="AD424" s="3">
        <v>1</v>
      </c>
      <c r="AE424" s="3">
        <v>0</v>
      </c>
      <c r="AF424" s="3">
        <v>0</v>
      </c>
      <c r="AG424" s="3">
        <v>0</v>
      </c>
      <c r="AH424" s="3" t="s">
        <v>577</v>
      </c>
      <c r="AI424" s="3" t="s">
        <v>601</v>
      </c>
      <c r="AK424" s="3" t="s">
        <v>601</v>
      </c>
      <c r="AL424" s="3" t="s">
        <v>602</v>
      </c>
    </row>
    <row r="425" spans="1:38" x14ac:dyDescent="0.25">
      <c r="A425" t="s">
        <v>1131</v>
      </c>
      <c r="B425" s="7">
        <v>45835</v>
      </c>
      <c r="C425" s="7" t="s">
        <v>844</v>
      </c>
      <c r="D425" s="3" t="s">
        <v>6</v>
      </c>
      <c r="E425" s="3" t="s">
        <v>609</v>
      </c>
      <c r="F425" s="3" t="s">
        <v>8</v>
      </c>
      <c r="G425" s="3" t="s">
        <v>8</v>
      </c>
      <c r="H425" s="9">
        <v>41.797444486338698</v>
      </c>
      <c r="I425" s="9">
        <v>3.06141204886486</v>
      </c>
      <c r="J425" s="3">
        <v>1</v>
      </c>
      <c r="K425" s="3">
        <v>1</v>
      </c>
      <c r="L425" s="3">
        <v>0</v>
      </c>
      <c r="M425" s="3">
        <v>0</v>
      </c>
      <c r="N425" s="3" t="s">
        <v>66</v>
      </c>
      <c r="O425" s="3">
        <v>1</v>
      </c>
      <c r="P425" s="3">
        <v>0</v>
      </c>
      <c r="Q425" s="3">
        <v>0</v>
      </c>
      <c r="R425" s="3">
        <v>1</v>
      </c>
      <c r="S425" s="3">
        <v>0</v>
      </c>
      <c r="T425" s="3">
        <v>0</v>
      </c>
      <c r="U425" s="3">
        <v>0</v>
      </c>
      <c r="V425" s="3">
        <v>0</v>
      </c>
      <c r="W425" s="3" t="s">
        <v>6</v>
      </c>
      <c r="X425" s="3">
        <v>0</v>
      </c>
      <c r="Y425" s="3">
        <v>0</v>
      </c>
      <c r="Z425" s="3">
        <v>0</v>
      </c>
      <c r="AA425" s="3">
        <v>0</v>
      </c>
      <c r="AB425" s="3">
        <v>0</v>
      </c>
      <c r="AC425" s="3">
        <v>0</v>
      </c>
      <c r="AD425" s="3">
        <v>0</v>
      </c>
      <c r="AE425" s="3">
        <v>0</v>
      </c>
      <c r="AF425" s="3">
        <v>0</v>
      </c>
      <c r="AG425" s="3">
        <v>0</v>
      </c>
      <c r="AH425" s="3" t="s">
        <v>17</v>
      </c>
      <c r="AI425" s="3" t="s">
        <v>776</v>
      </c>
      <c r="AK425" s="3" t="s">
        <v>608</v>
      </c>
      <c r="AL425" s="3" t="s">
        <v>607</v>
      </c>
    </row>
    <row r="426" spans="1:38" x14ac:dyDescent="0.25">
      <c r="A426" t="s">
        <v>1280</v>
      </c>
      <c r="B426" s="7">
        <v>45835</v>
      </c>
      <c r="C426" s="7" t="s">
        <v>844</v>
      </c>
      <c r="D426" s="3" t="s">
        <v>6</v>
      </c>
      <c r="E426" s="3" t="s">
        <v>749</v>
      </c>
      <c r="F426" s="3" t="s">
        <v>59</v>
      </c>
      <c r="G426" s="3" t="s">
        <v>20</v>
      </c>
      <c r="H426" s="9">
        <v>41.790134458209501</v>
      </c>
      <c r="I426" s="9">
        <v>3.0493001796228998</v>
      </c>
      <c r="J426" s="3">
        <v>1</v>
      </c>
      <c r="K426" s="3">
        <v>1</v>
      </c>
      <c r="L426" s="3">
        <v>0</v>
      </c>
      <c r="M426" s="3">
        <v>0</v>
      </c>
      <c r="N426" s="3" t="s">
        <v>16</v>
      </c>
      <c r="O426" s="3">
        <v>0</v>
      </c>
      <c r="P426" s="3">
        <v>0</v>
      </c>
      <c r="Q426" s="3">
        <v>1</v>
      </c>
      <c r="R426" s="3">
        <v>1</v>
      </c>
      <c r="S426" s="3">
        <v>0</v>
      </c>
      <c r="T426" s="3">
        <v>0</v>
      </c>
      <c r="U426" s="3">
        <v>0</v>
      </c>
      <c r="V426" s="3">
        <v>0</v>
      </c>
      <c r="W426" s="3" t="s">
        <v>6</v>
      </c>
      <c r="X426" s="3">
        <v>0</v>
      </c>
      <c r="Y426" s="3">
        <v>0</v>
      </c>
      <c r="Z426" s="3">
        <v>0</v>
      </c>
      <c r="AA426" s="3">
        <v>0</v>
      </c>
      <c r="AB426" s="3">
        <v>0</v>
      </c>
      <c r="AC426" s="3">
        <v>0</v>
      </c>
      <c r="AD426" s="3">
        <v>0</v>
      </c>
      <c r="AE426" s="3">
        <v>0</v>
      </c>
      <c r="AF426" s="3">
        <v>0</v>
      </c>
      <c r="AG426" s="3">
        <v>0</v>
      </c>
      <c r="AH426" s="3" t="s">
        <v>17</v>
      </c>
      <c r="AI426" s="3" t="s">
        <v>781</v>
      </c>
      <c r="AK426" s="3" t="s">
        <v>850</v>
      </c>
      <c r="AL426" s="3" t="s">
        <v>246</v>
      </c>
    </row>
    <row r="427" spans="1:38" x14ac:dyDescent="0.25">
      <c r="A427" t="s">
        <v>1200</v>
      </c>
      <c r="B427" s="7">
        <v>45836</v>
      </c>
      <c r="C427" s="7" t="s">
        <v>844</v>
      </c>
      <c r="D427" s="3" t="s">
        <v>6</v>
      </c>
      <c r="E427" s="3" t="s">
        <v>575</v>
      </c>
      <c r="F427" s="3" t="s">
        <v>8</v>
      </c>
      <c r="G427" s="3" t="s">
        <v>8</v>
      </c>
      <c r="H427" s="9">
        <v>39.351737482680299</v>
      </c>
      <c r="I427" s="9">
        <v>3.1883935347262402</v>
      </c>
      <c r="J427" s="3">
        <v>1</v>
      </c>
      <c r="K427" s="3">
        <v>1</v>
      </c>
      <c r="L427" s="3">
        <v>0</v>
      </c>
      <c r="M427" s="3">
        <v>0</v>
      </c>
      <c r="N427" s="3" t="s">
        <v>6</v>
      </c>
      <c r="O427" s="3">
        <v>0</v>
      </c>
      <c r="P427" s="3">
        <v>0</v>
      </c>
      <c r="Q427" s="3">
        <v>1</v>
      </c>
      <c r="R427" s="3">
        <v>0</v>
      </c>
      <c r="S427" s="3">
        <v>0</v>
      </c>
      <c r="T427" s="3">
        <v>0</v>
      </c>
      <c r="U427" s="3">
        <v>0</v>
      </c>
      <c r="V427" s="3">
        <v>1</v>
      </c>
      <c r="W427" s="3" t="s">
        <v>6</v>
      </c>
      <c r="X427" s="3">
        <v>0</v>
      </c>
      <c r="Y427" s="3">
        <v>0</v>
      </c>
      <c r="Z427" s="3">
        <v>0</v>
      </c>
      <c r="AA427" s="3">
        <v>0</v>
      </c>
      <c r="AB427" s="3">
        <v>0</v>
      </c>
      <c r="AC427" s="3">
        <v>0</v>
      </c>
      <c r="AD427" s="3">
        <v>0</v>
      </c>
      <c r="AE427" s="3">
        <v>0</v>
      </c>
      <c r="AF427" s="3">
        <v>0</v>
      </c>
      <c r="AG427" s="3">
        <v>0</v>
      </c>
      <c r="AH427" s="3" t="s">
        <v>577</v>
      </c>
      <c r="AI427" s="3" t="s">
        <v>681</v>
      </c>
      <c r="AK427" s="3" t="s">
        <v>681</v>
      </c>
    </row>
    <row r="428" spans="1:38" x14ac:dyDescent="0.25">
      <c r="A428" t="s">
        <v>1204</v>
      </c>
      <c r="B428" s="7">
        <v>45836</v>
      </c>
      <c r="C428" s="7" t="s">
        <v>844</v>
      </c>
      <c r="D428" s="3" t="s">
        <v>6</v>
      </c>
      <c r="E428" s="3" t="s">
        <v>688</v>
      </c>
      <c r="F428" s="3" t="s">
        <v>24</v>
      </c>
      <c r="G428" s="3" t="s">
        <v>20</v>
      </c>
      <c r="H428" s="9">
        <v>41.404204503150297</v>
      </c>
      <c r="I428" s="9">
        <v>2.2188150427652</v>
      </c>
      <c r="J428" s="3">
        <v>1</v>
      </c>
      <c r="K428" s="3">
        <v>1</v>
      </c>
      <c r="L428" s="3">
        <v>0</v>
      </c>
      <c r="M428" s="3">
        <v>0</v>
      </c>
      <c r="N428" s="3" t="s">
        <v>16</v>
      </c>
      <c r="O428" s="3">
        <v>0</v>
      </c>
      <c r="P428" s="3">
        <v>0</v>
      </c>
      <c r="Q428" s="3">
        <v>1</v>
      </c>
      <c r="R428" s="3">
        <v>0</v>
      </c>
      <c r="S428" s="3">
        <v>0</v>
      </c>
      <c r="T428" s="3">
        <v>0</v>
      </c>
      <c r="U428" s="3">
        <v>0</v>
      </c>
      <c r="V428" s="3">
        <v>1</v>
      </c>
      <c r="W428" s="3" t="s">
        <v>6</v>
      </c>
      <c r="X428" s="3">
        <v>0</v>
      </c>
      <c r="Y428" s="3">
        <v>0</v>
      </c>
      <c r="Z428" s="3">
        <v>0</v>
      </c>
      <c r="AA428" s="3">
        <v>0</v>
      </c>
      <c r="AB428" s="3">
        <v>0</v>
      </c>
      <c r="AC428" s="3">
        <v>0</v>
      </c>
      <c r="AD428" s="3">
        <v>0</v>
      </c>
      <c r="AE428" s="3">
        <v>0</v>
      </c>
      <c r="AF428" s="3">
        <v>0</v>
      </c>
      <c r="AG428" s="3">
        <v>0</v>
      </c>
      <c r="AH428" s="3" t="s">
        <v>17</v>
      </c>
      <c r="AI428" s="3" t="s">
        <v>776</v>
      </c>
      <c r="AK428" s="3" t="s">
        <v>689</v>
      </c>
      <c r="AL428" s="3" t="s">
        <v>692</v>
      </c>
    </row>
    <row r="429" spans="1:38" x14ac:dyDescent="0.25">
      <c r="A429" t="s">
        <v>1152</v>
      </c>
      <c r="B429" s="7">
        <v>45837</v>
      </c>
      <c r="C429" s="7" t="s">
        <v>844</v>
      </c>
      <c r="D429" s="4">
        <v>0.43541666666666662</v>
      </c>
      <c r="E429" s="3" t="s">
        <v>614</v>
      </c>
      <c r="F429" s="3" t="s">
        <v>25</v>
      </c>
      <c r="G429" s="3" t="s">
        <v>19</v>
      </c>
      <c r="H429" s="9">
        <v>38.069560141345001</v>
      </c>
      <c r="I429" s="9">
        <v>-0.64818615528083701</v>
      </c>
      <c r="J429" s="3">
        <v>1</v>
      </c>
      <c r="K429" s="3">
        <v>1</v>
      </c>
      <c r="L429" s="3">
        <v>0</v>
      </c>
      <c r="M429" s="3">
        <v>0</v>
      </c>
      <c r="N429" s="3" t="s">
        <v>6</v>
      </c>
      <c r="O429" s="3">
        <v>0</v>
      </c>
      <c r="P429" s="3">
        <v>0</v>
      </c>
      <c r="Q429" s="3">
        <v>1</v>
      </c>
      <c r="R429" s="3">
        <v>0</v>
      </c>
      <c r="S429" s="3">
        <v>0</v>
      </c>
      <c r="T429" s="3">
        <v>0</v>
      </c>
      <c r="U429" s="3">
        <v>0</v>
      </c>
      <c r="V429" s="3">
        <v>1</v>
      </c>
      <c r="W429" s="3" t="s">
        <v>6</v>
      </c>
      <c r="X429" s="3">
        <v>0</v>
      </c>
      <c r="Y429" s="3">
        <v>0</v>
      </c>
      <c r="Z429" s="3">
        <v>0</v>
      </c>
      <c r="AA429" s="3">
        <v>0</v>
      </c>
      <c r="AB429" s="3">
        <v>0</v>
      </c>
      <c r="AC429" s="3">
        <v>0</v>
      </c>
      <c r="AD429" s="3">
        <v>0</v>
      </c>
      <c r="AE429" s="3">
        <v>0</v>
      </c>
      <c r="AF429" s="3">
        <v>0</v>
      </c>
      <c r="AG429" s="3">
        <v>0</v>
      </c>
      <c r="AH429" s="3" t="s">
        <v>17</v>
      </c>
      <c r="AI429" s="3" t="s">
        <v>780</v>
      </c>
      <c r="AK429" s="3" t="s">
        <v>634</v>
      </c>
    </row>
    <row r="430" spans="1:38" x14ac:dyDescent="0.25">
      <c r="A430" t="s">
        <v>1201</v>
      </c>
      <c r="B430" s="7">
        <v>45837</v>
      </c>
      <c r="C430" s="7" t="s">
        <v>844</v>
      </c>
      <c r="D430" s="3" t="s">
        <v>6</v>
      </c>
      <c r="E430" s="3" t="s">
        <v>680</v>
      </c>
      <c r="F430" s="3" t="s">
        <v>8</v>
      </c>
      <c r="G430" s="3" t="s">
        <v>8</v>
      </c>
      <c r="H430" s="9">
        <v>39.8398331849992</v>
      </c>
      <c r="I430" s="9">
        <v>3.1297396673262798</v>
      </c>
      <c r="J430" s="3">
        <v>1</v>
      </c>
      <c r="K430" s="3">
        <v>1</v>
      </c>
      <c r="L430" s="3">
        <v>0</v>
      </c>
      <c r="M430" s="3">
        <v>0</v>
      </c>
      <c r="N430" s="3" t="s">
        <v>6</v>
      </c>
      <c r="O430" s="3">
        <v>0</v>
      </c>
      <c r="P430" s="3">
        <v>0</v>
      </c>
      <c r="Q430" s="3">
        <v>1</v>
      </c>
      <c r="R430" s="3">
        <v>0</v>
      </c>
      <c r="S430" s="3">
        <v>0</v>
      </c>
      <c r="T430" s="3">
        <v>0</v>
      </c>
      <c r="U430" s="3">
        <v>0</v>
      </c>
      <c r="V430" s="3">
        <v>1</v>
      </c>
      <c r="W430" s="3" t="s">
        <v>6</v>
      </c>
      <c r="X430" s="3">
        <v>0</v>
      </c>
      <c r="Y430" s="3">
        <v>0</v>
      </c>
      <c r="Z430" s="3">
        <v>0</v>
      </c>
      <c r="AA430" s="3">
        <v>0</v>
      </c>
      <c r="AB430" s="3">
        <v>0</v>
      </c>
      <c r="AC430" s="3">
        <v>0</v>
      </c>
      <c r="AD430" s="3">
        <v>0</v>
      </c>
      <c r="AE430" s="3">
        <v>0</v>
      </c>
      <c r="AF430" s="3">
        <v>0</v>
      </c>
      <c r="AG430" s="3">
        <v>0</v>
      </c>
      <c r="AH430" s="3" t="s">
        <v>577</v>
      </c>
      <c r="AI430" s="3" t="s">
        <v>681</v>
      </c>
      <c r="AK430" s="3" t="s">
        <v>681</v>
      </c>
    </row>
    <row r="431" spans="1:38" x14ac:dyDescent="0.25">
      <c r="A431" t="s">
        <v>1203</v>
      </c>
      <c r="B431" s="7">
        <v>45838</v>
      </c>
      <c r="C431" s="7" t="s">
        <v>844</v>
      </c>
      <c r="D431" s="3" t="s">
        <v>6</v>
      </c>
      <c r="E431" s="3" t="s">
        <v>686</v>
      </c>
      <c r="F431" s="3" t="s">
        <v>24</v>
      </c>
      <c r="G431" s="3" t="s">
        <v>20</v>
      </c>
      <c r="H431" s="9">
        <v>41.535786352757498</v>
      </c>
      <c r="I431" s="9">
        <v>2.4506959386871499</v>
      </c>
      <c r="J431" s="3">
        <v>1</v>
      </c>
      <c r="K431" s="3">
        <v>1</v>
      </c>
      <c r="L431" s="3">
        <v>0</v>
      </c>
      <c r="M431" s="3">
        <v>0</v>
      </c>
      <c r="N431" s="3" t="s">
        <v>16</v>
      </c>
      <c r="O431" s="3">
        <v>1</v>
      </c>
      <c r="P431" s="3">
        <v>0</v>
      </c>
      <c r="Q431" s="3">
        <v>0</v>
      </c>
      <c r="R431" s="3">
        <v>0</v>
      </c>
      <c r="S431" s="3">
        <v>0</v>
      </c>
      <c r="T431" s="3">
        <v>0</v>
      </c>
      <c r="U431" s="3">
        <v>0</v>
      </c>
      <c r="V431" s="3">
        <v>1</v>
      </c>
      <c r="W431" s="3" t="s">
        <v>6</v>
      </c>
      <c r="X431" s="3">
        <v>0</v>
      </c>
      <c r="Y431" s="3">
        <v>0</v>
      </c>
      <c r="Z431" s="3">
        <v>0</v>
      </c>
      <c r="AA431" s="3">
        <v>0</v>
      </c>
      <c r="AB431" s="3">
        <v>0</v>
      </c>
      <c r="AC431" s="3">
        <v>0</v>
      </c>
      <c r="AD431" s="3">
        <v>0</v>
      </c>
      <c r="AE431" s="3">
        <v>0</v>
      </c>
      <c r="AF431" s="3">
        <v>0</v>
      </c>
      <c r="AG431" s="3">
        <v>0</v>
      </c>
      <c r="AH431" s="3" t="s">
        <v>17</v>
      </c>
      <c r="AI431" s="3" t="s">
        <v>780</v>
      </c>
      <c r="AK431" s="3" t="s">
        <v>687</v>
      </c>
    </row>
    <row r="432" spans="1:38" x14ac:dyDescent="0.25">
      <c r="A432" t="s">
        <v>1256</v>
      </c>
      <c r="B432" s="7">
        <v>45838</v>
      </c>
      <c r="C432" s="7" t="s">
        <v>844</v>
      </c>
      <c r="D432" s="4">
        <v>0.72499999999999998</v>
      </c>
      <c r="E432" s="3" t="s">
        <v>771</v>
      </c>
      <c r="F432" s="3" t="s">
        <v>25</v>
      </c>
      <c r="G432" s="3" t="s">
        <v>19</v>
      </c>
      <c r="H432" s="9">
        <v>38.520452137240099</v>
      </c>
      <c r="I432" s="9">
        <v>-0.16796748879586099</v>
      </c>
      <c r="J432" s="3">
        <v>1</v>
      </c>
      <c r="K432" s="3">
        <v>1</v>
      </c>
      <c r="L432" s="3">
        <v>0</v>
      </c>
      <c r="M432" s="3">
        <v>0</v>
      </c>
      <c r="N432" s="3" t="s">
        <v>66</v>
      </c>
      <c r="O432" s="3">
        <v>0</v>
      </c>
      <c r="P432" s="3">
        <v>1</v>
      </c>
      <c r="Q432" s="3">
        <v>0</v>
      </c>
      <c r="R432" s="3">
        <v>1</v>
      </c>
      <c r="S432" s="3">
        <v>0</v>
      </c>
      <c r="T432" s="3">
        <v>0</v>
      </c>
      <c r="U432" s="3">
        <v>0</v>
      </c>
      <c r="V432" s="3">
        <v>0</v>
      </c>
      <c r="W432" s="3" t="s">
        <v>6</v>
      </c>
      <c r="X432" s="3">
        <v>0</v>
      </c>
      <c r="Y432" s="3">
        <v>0</v>
      </c>
      <c r="Z432" s="3">
        <v>0</v>
      </c>
      <c r="AA432" s="3">
        <v>0</v>
      </c>
      <c r="AB432" s="3">
        <v>0</v>
      </c>
      <c r="AC432" s="3">
        <v>0</v>
      </c>
      <c r="AD432" s="3">
        <v>0</v>
      </c>
      <c r="AE432" s="3">
        <v>0</v>
      </c>
      <c r="AF432" s="3">
        <v>0</v>
      </c>
      <c r="AG432" s="3">
        <v>0</v>
      </c>
      <c r="AH432" s="3" t="s">
        <v>775</v>
      </c>
      <c r="AI432" s="3" t="s">
        <v>759</v>
      </c>
      <c r="AK432" s="3" t="s">
        <v>772</v>
      </c>
    </row>
    <row r="433" spans="1:38" x14ac:dyDescent="0.25">
      <c r="A433" t="s">
        <v>1202</v>
      </c>
      <c r="B433" s="7">
        <v>45839</v>
      </c>
      <c r="C433" s="7" t="s">
        <v>844</v>
      </c>
      <c r="D433" s="3" t="s">
        <v>6</v>
      </c>
      <c r="E433" s="3" t="s">
        <v>684</v>
      </c>
      <c r="F433" s="3" t="s">
        <v>24</v>
      </c>
      <c r="G433" s="3" t="s">
        <v>20</v>
      </c>
      <c r="H433" s="9">
        <v>41.536429187868201</v>
      </c>
      <c r="I433" s="9">
        <v>2.4522456362080201</v>
      </c>
      <c r="J433" s="3">
        <v>1</v>
      </c>
      <c r="K433" s="3">
        <v>1</v>
      </c>
      <c r="L433" s="3">
        <v>0</v>
      </c>
      <c r="M433" s="3">
        <v>0</v>
      </c>
      <c r="N433" s="3" t="s">
        <v>16</v>
      </c>
      <c r="O433" s="3">
        <v>0</v>
      </c>
      <c r="P433" s="3">
        <v>0</v>
      </c>
      <c r="Q433" s="3">
        <v>1</v>
      </c>
      <c r="R433" s="3">
        <v>1</v>
      </c>
      <c r="S433" s="3">
        <v>0</v>
      </c>
      <c r="T433" s="3">
        <v>0</v>
      </c>
      <c r="U433" s="3">
        <v>0</v>
      </c>
      <c r="V433" s="3">
        <v>0</v>
      </c>
      <c r="W433" s="3" t="s">
        <v>6</v>
      </c>
      <c r="X433" s="3">
        <v>0</v>
      </c>
      <c r="Y433" s="3">
        <v>0</v>
      </c>
      <c r="Z433" s="3">
        <v>0</v>
      </c>
      <c r="AA433" s="3">
        <v>0</v>
      </c>
      <c r="AB433" s="3">
        <v>0</v>
      </c>
      <c r="AC433" s="3">
        <v>0</v>
      </c>
      <c r="AD433" s="3">
        <v>0</v>
      </c>
      <c r="AE433" s="3">
        <v>0</v>
      </c>
      <c r="AF433" s="3">
        <v>0</v>
      </c>
      <c r="AG433" s="3">
        <v>0</v>
      </c>
      <c r="AH433" s="3" t="s">
        <v>233</v>
      </c>
      <c r="AI433" s="3" t="s">
        <v>796</v>
      </c>
      <c r="AK433" s="3" t="s">
        <v>685</v>
      </c>
    </row>
    <row r="434" spans="1:38" x14ac:dyDescent="0.25">
      <c r="A434" t="s">
        <v>1233</v>
      </c>
      <c r="B434" s="7">
        <v>45839</v>
      </c>
      <c r="C434" s="7" t="s">
        <v>844</v>
      </c>
      <c r="D434" s="3" t="s">
        <v>6</v>
      </c>
      <c r="E434" s="3" t="s">
        <v>91</v>
      </c>
      <c r="F434" s="3" t="s">
        <v>59</v>
      </c>
      <c r="G434" s="3" t="s">
        <v>20</v>
      </c>
      <c r="H434" s="9">
        <v>42.3717022275248</v>
      </c>
      <c r="I434" s="9">
        <v>3.1649753182572198</v>
      </c>
      <c r="J434" s="3">
        <v>1</v>
      </c>
      <c r="K434" s="3">
        <v>1</v>
      </c>
      <c r="L434" s="3">
        <v>0</v>
      </c>
      <c r="M434" s="3">
        <v>0</v>
      </c>
      <c r="N434" s="3" t="s">
        <v>66</v>
      </c>
      <c r="O434" s="3">
        <v>0</v>
      </c>
      <c r="P434" s="3">
        <v>1</v>
      </c>
      <c r="Q434" s="3">
        <v>0</v>
      </c>
      <c r="R434" s="3">
        <v>1</v>
      </c>
      <c r="S434" s="3">
        <v>0</v>
      </c>
      <c r="T434" s="3">
        <v>0</v>
      </c>
      <c r="U434" s="3">
        <v>0</v>
      </c>
      <c r="V434" s="3">
        <v>0</v>
      </c>
      <c r="W434" s="3" t="s">
        <v>6</v>
      </c>
      <c r="X434" s="3">
        <v>0</v>
      </c>
      <c r="Y434" s="3">
        <v>0</v>
      </c>
      <c r="Z434" s="3">
        <v>0</v>
      </c>
      <c r="AA434" s="3">
        <v>0</v>
      </c>
      <c r="AB434" s="3">
        <v>0</v>
      </c>
      <c r="AC434" s="3">
        <v>0</v>
      </c>
      <c r="AD434" s="3">
        <v>0</v>
      </c>
      <c r="AE434" s="3">
        <v>0</v>
      </c>
      <c r="AF434" s="3">
        <v>0</v>
      </c>
      <c r="AG434" s="3">
        <v>0</v>
      </c>
      <c r="AH434" s="3" t="s">
        <v>17</v>
      </c>
      <c r="AI434" s="3" t="s">
        <v>780</v>
      </c>
      <c r="AK434" s="3" t="s">
        <v>737</v>
      </c>
      <c r="AL434" s="3" t="s">
        <v>738</v>
      </c>
    </row>
    <row r="435" spans="1:38" x14ac:dyDescent="0.25">
      <c r="A435" t="s">
        <v>1260</v>
      </c>
      <c r="B435" s="7">
        <v>45839</v>
      </c>
      <c r="C435" s="7" t="s">
        <v>844</v>
      </c>
      <c r="D435" s="3" t="s">
        <v>6</v>
      </c>
      <c r="E435" s="3" t="s">
        <v>64</v>
      </c>
      <c r="F435" s="3" t="s">
        <v>25</v>
      </c>
      <c r="G435" s="3" t="s">
        <v>19</v>
      </c>
      <c r="H435" s="9">
        <v>38.018655606931802</v>
      </c>
      <c r="I435" s="9">
        <v>-0.65242763660236203</v>
      </c>
      <c r="J435" s="3">
        <v>1</v>
      </c>
      <c r="K435" s="3">
        <v>1</v>
      </c>
      <c r="L435" s="3">
        <v>0</v>
      </c>
      <c r="M435" s="3">
        <v>0</v>
      </c>
      <c r="N435" s="3" t="s">
        <v>66</v>
      </c>
      <c r="O435" s="3">
        <v>1</v>
      </c>
      <c r="P435" s="3">
        <v>0</v>
      </c>
      <c r="Q435" s="3">
        <v>0</v>
      </c>
      <c r="R435" s="3">
        <v>1</v>
      </c>
      <c r="S435" s="3">
        <v>0</v>
      </c>
      <c r="T435" s="3">
        <v>0</v>
      </c>
      <c r="U435" s="3">
        <v>0</v>
      </c>
      <c r="V435" s="3">
        <v>0</v>
      </c>
      <c r="W435" s="3" t="s">
        <v>6</v>
      </c>
      <c r="X435" s="3">
        <v>0</v>
      </c>
      <c r="Y435" s="3">
        <v>0</v>
      </c>
      <c r="Z435" s="3">
        <v>0</v>
      </c>
      <c r="AA435" s="3">
        <v>0</v>
      </c>
      <c r="AB435" s="3">
        <v>0</v>
      </c>
      <c r="AC435" s="3">
        <v>0</v>
      </c>
      <c r="AD435" s="3">
        <v>0</v>
      </c>
      <c r="AE435" s="3">
        <v>0</v>
      </c>
      <c r="AF435" s="3">
        <v>0</v>
      </c>
      <c r="AG435" s="3">
        <v>0</v>
      </c>
      <c r="AH435" s="3" t="s">
        <v>17</v>
      </c>
      <c r="AI435" s="3" t="s">
        <v>780</v>
      </c>
      <c r="AK435" s="3" t="s">
        <v>801</v>
      </c>
    </row>
    <row r="436" spans="1:38" x14ac:dyDescent="0.25">
      <c r="A436" t="s">
        <v>1206</v>
      </c>
      <c r="B436" s="7">
        <v>45842</v>
      </c>
      <c r="C436" s="7" t="s">
        <v>844</v>
      </c>
      <c r="D436" s="3" t="s">
        <v>6</v>
      </c>
      <c r="E436" s="3" t="s">
        <v>693</v>
      </c>
      <c r="F436" s="3" t="s">
        <v>8</v>
      </c>
      <c r="G436" s="3" t="s">
        <v>8</v>
      </c>
      <c r="H436" s="9">
        <v>39.779177332026201</v>
      </c>
      <c r="I436" s="9">
        <v>3.1392106067590002</v>
      </c>
      <c r="J436" s="3">
        <v>1</v>
      </c>
      <c r="K436" s="3">
        <v>1</v>
      </c>
      <c r="L436" s="3">
        <v>0</v>
      </c>
      <c r="M436" s="3">
        <v>0</v>
      </c>
      <c r="N436" s="3" t="s">
        <v>6</v>
      </c>
      <c r="O436" s="3">
        <v>0</v>
      </c>
      <c r="P436" s="3">
        <v>0</v>
      </c>
      <c r="Q436" s="3">
        <v>1</v>
      </c>
      <c r="R436" s="3">
        <v>1</v>
      </c>
      <c r="S436" s="3">
        <v>0</v>
      </c>
      <c r="T436" s="3">
        <v>0</v>
      </c>
      <c r="U436" s="3">
        <v>0</v>
      </c>
      <c r="V436" s="3">
        <v>0</v>
      </c>
      <c r="W436" s="3" t="s">
        <v>6</v>
      </c>
      <c r="X436" s="3">
        <v>0</v>
      </c>
      <c r="Y436" s="3">
        <v>0</v>
      </c>
      <c r="Z436" s="3">
        <v>0</v>
      </c>
      <c r="AA436" s="3">
        <v>0</v>
      </c>
      <c r="AB436" s="3">
        <v>0</v>
      </c>
      <c r="AC436" s="3">
        <v>0</v>
      </c>
      <c r="AD436" s="3">
        <v>0</v>
      </c>
      <c r="AE436" s="3">
        <v>0</v>
      </c>
      <c r="AF436" s="3">
        <v>0</v>
      </c>
      <c r="AG436" s="3">
        <v>0</v>
      </c>
      <c r="AH436" s="3" t="s">
        <v>17</v>
      </c>
      <c r="AI436" s="3" t="s">
        <v>776</v>
      </c>
      <c r="AK436" s="3" t="s">
        <v>694</v>
      </c>
      <c r="AL436" s="3" t="s">
        <v>249</v>
      </c>
    </row>
    <row r="437" spans="1:38" x14ac:dyDescent="0.25">
      <c r="A437" t="s">
        <v>1300</v>
      </c>
      <c r="B437" s="7">
        <v>45842</v>
      </c>
      <c r="C437" s="7" t="s">
        <v>844</v>
      </c>
      <c r="D437" s="3" t="s">
        <v>6</v>
      </c>
      <c r="E437" s="3" t="s">
        <v>887</v>
      </c>
      <c r="F437" s="3" t="s">
        <v>24</v>
      </c>
      <c r="G437" s="3" t="s">
        <v>20</v>
      </c>
      <c r="H437" s="9">
        <v>41.538001674982702</v>
      </c>
      <c r="I437" s="9">
        <v>2.4560709498044999</v>
      </c>
      <c r="J437" s="3">
        <v>1</v>
      </c>
      <c r="K437" s="3">
        <v>1</v>
      </c>
      <c r="L437" s="3">
        <v>0</v>
      </c>
      <c r="M437" s="3">
        <v>0</v>
      </c>
      <c r="N437" s="3" t="s">
        <v>66</v>
      </c>
      <c r="O437" s="3">
        <v>0</v>
      </c>
      <c r="P437" s="3">
        <v>1</v>
      </c>
      <c r="Q437" s="3">
        <v>0</v>
      </c>
      <c r="R437" s="3">
        <v>1</v>
      </c>
      <c r="S437" s="3">
        <v>0</v>
      </c>
      <c r="T437" s="3">
        <v>0</v>
      </c>
      <c r="U437" s="3">
        <v>0</v>
      </c>
      <c r="V437" s="3">
        <v>0</v>
      </c>
      <c r="W437" s="3" t="s">
        <v>6</v>
      </c>
      <c r="X437" s="3">
        <v>0</v>
      </c>
      <c r="Y437" s="3">
        <v>0</v>
      </c>
      <c r="Z437" s="3">
        <v>0</v>
      </c>
      <c r="AA437" s="3">
        <v>0</v>
      </c>
      <c r="AB437" s="3">
        <v>0</v>
      </c>
      <c r="AC437" s="3">
        <v>0</v>
      </c>
      <c r="AD437" s="3">
        <v>0</v>
      </c>
      <c r="AE437" s="3">
        <v>0</v>
      </c>
      <c r="AF437" s="3">
        <v>0</v>
      </c>
      <c r="AG437" s="3">
        <v>0</v>
      </c>
      <c r="AH437" s="3" t="s">
        <v>17</v>
      </c>
      <c r="AI437" s="3" t="s">
        <v>780</v>
      </c>
      <c r="AK437" s="3" t="s">
        <v>888</v>
      </c>
      <c r="AL437" s="3" t="s">
        <v>889</v>
      </c>
    </row>
    <row r="438" spans="1:38" x14ac:dyDescent="0.25">
      <c r="A438" t="s">
        <v>1207</v>
      </c>
      <c r="B438" s="7">
        <v>45843</v>
      </c>
      <c r="C438" s="7" t="s">
        <v>844</v>
      </c>
      <c r="D438" s="3" t="s">
        <v>6</v>
      </c>
      <c r="E438" s="3" t="s">
        <v>64</v>
      </c>
      <c r="F438" s="3" t="s">
        <v>25</v>
      </c>
      <c r="G438" s="3" t="s">
        <v>19</v>
      </c>
      <c r="H438" s="9">
        <v>38.018655606931802</v>
      </c>
      <c r="I438" s="9">
        <v>-0.65242763660236203</v>
      </c>
      <c r="J438" s="3">
        <v>1</v>
      </c>
      <c r="K438" s="3">
        <v>1</v>
      </c>
      <c r="L438" s="3">
        <v>0</v>
      </c>
      <c r="M438" s="3">
        <v>0</v>
      </c>
      <c r="N438" s="3" t="s">
        <v>66</v>
      </c>
      <c r="O438" s="3">
        <v>1</v>
      </c>
      <c r="P438" s="3">
        <v>0</v>
      </c>
      <c r="Q438" s="3">
        <v>0</v>
      </c>
      <c r="R438" s="3">
        <v>1</v>
      </c>
      <c r="S438" s="3">
        <v>0</v>
      </c>
      <c r="T438" s="3">
        <v>0</v>
      </c>
      <c r="U438" s="3">
        <v>0</v>
      </c>
      <c r="V438" s="3">
        <v>0</v>
      </c>
      <c r="W438" s="3" t="s">
        <v>6</v>
      </c>
      <c r="X438" s="3">
        <v>1</v>
      </c>
      <c r="Y438" s="3">
        <v>0</v>
      </c>
      <c r="Z438" s="3">
        <v>0</v>
      </c>
      <c r="AA438" s="3">
        <v>0</v>
      </c>
      <c r="AB438" s="3">
        <v>0</v>
      </c>
      <c r="AC438" s="3">
        <v>0</v>
      </c>
      <c r="AD438" s="3">
        <v>0</v>
      </c>
      <c r="AE438" s="3">
        <v>0</v>
      </c>
      <c r="AF438" s="3">
        <v>0</v>
      </c>
      <c r="AG438" s="3">
        <v>1</v>
      </c>
      <c r="AH438" s="3" t="s">
        <v>17</v>
      </c>
      <c r="AI438" s="3" t="s">
        <v>777</v>
      </c>
      <c r="AK438" s="3" t="s">
        <v>695</v>
      </c>
      <c r="AL438" s="3" t="s">
        <v>696</v>
      </c>
    </row>
    <row r="439" spans="1:38" x14ac:dyDescent="0.25">
      <c r="A439" t="s">
        <v>1218</v>
      </c>
      <c r="B439" s="7">
        <v>45849</v>
      </c>
      <c r="C439" s="7" t="s">
        <v>844</v>
      </c>
      <c r="D439" s="3" t="s">
        <v>6</v>
      </c>
      <c r="E439" s="3" t="s">
        <v>121</v>
      </c>
      <c r="F439" s="3" t="s">
        <v>59</v>
      </c>
      <c r="G439" s="3" t="s">
        <v>20</v>
      </c>
      <c r="H439" s="9">
        <v>41.691565206225498</v>
      </c>
      <c r="I439" s="9">
        <v>2.8304039205287101</v>
      </c>
      <c r="J439" s="3">
        <v>1</v>
      </c>
      <c r="K439" s="3">
        <v>1</v>
      </c>
      <c r="L439" s="3">
        <v>0</v>
      </c>
      <c r="M439" s="3">
        <v>0</v>
      </c>
      <c r="N439" s="3" t="s">
        <v>66</v>
      </c>
      <c r="O439" s="3">
        <v>0</v>
      </c>
      <c r="P439" s="3">
        <v>1</v>
      </c>
      <c r="Q439" s="3">
        <v>0</v>
      </c>
      <c r="R439" s="3">
        <v>1</v>
      </c>
      <c r="S439" s="3">
        <v>0</v>
      </c>
      <c r="T439" s="3">
        <v>0</v>
      </c>
      <c r="U439" s="3">
        <v>0</v>
      </c>
      <c r="V439" s="3">
        <v>0</v>
      </c>
      <c r="W439" s="3" t="s">
        <v>6</v>
      </c>
      <c r="X439" s="3">
        <v>1</v>
      </c>
      <c r="Y439" s="3">
        <v>0</v>
      </c>
      <c r="Z439" s="3">
        <v>1</v>
      </c>
      <c r="AA439" s="3">
        <v>0</v>
      </c>
      <c r="AB439" s="3">
        <v>0</v>
      </c>
      <c r="AC439" s="3">
        <v>0</v>
      </c>
      <c r="AD439" s="3">
        <v>0</v>
      </c>
      <c r="AE439" s="3">
        <v>0</v>
      </c>
      <c r="AF439" s="3">
        <v>0</v>
      </c>
      <c r="AG439" s="3">
        <v>0</v>
      </c>
      <c r="AH439" s="3" t="s">
        <v>775</v>
      </c>
      <c r="AI439" s="3" t="s">
        <v>81</v>
      </c>
      <c r="AK439" s="3" t="s">
        <v>713</v>
      </c>
      <c r="AL439" s="3" t="s">
        <v>241</v>
      </c>
    </row>
    <row r="440" spans="1:38" x14ac:dyDescent="0.25">
      <c r="A440" t="s">
        <v>1274</v>
      </c>
      <c r="B440" s="7">
        <v>45853</v>
      </c>
      <c r="C440" s="7" t="s">
        <v>844</v>
      </c>
      <c r="D440" s="3" t="s">
        <v>6</v>
      </c>
      <c r="E440" s="3" t="s">
        <v>832</v>
      </c>
      <c r="F440" s="3" t="s">
        <v>833</v>
      </c>
      <c r="G440" s="3" t="s">
        <v>21</v>
      </c>
      <c r="H440" s="9">
        <v>36.181102774173503</v>
      </c>
      <c r="I440" s="9">
        <v>-5.3325007059008698</v>
      </c>
      <c r="J440" s="3">
        <v>1</v>
      </c>
      <c r="K440" s="3">
        <v>1</v>
      </c>
      <c r="L440" s="3">
        <v>0</v>
      </c>
      <c r="M440" s="3">
        <v>0</v>
      </c>
      <c r="N440" s="3" t="s">
        <v>16</v>
      </c>
      <c r="O440" s="3">
        <v>0</v>
      </c>
      <c r="P440" s="3">
        <v>1</v>
      </c>
      <c r="Q440" s="3">
        <v>0</v>
      </c>
      <c r="R440" s="3">
        <v>1</v>
      </c>
      <c r="S440" s="3">
        <v>0</v>
      </c>
      <c r="T440" s="3">
        <v>0</v>
      </c>
      <c r="U440" s="3">
        <v>0</v>
      </c>
      <c r="V440" s="3">
        <v>0</v>
      </c>
      <c r="W440" s="3" t="s">
        <v>6</v>
      </c>
      <c r="X440" s="3">
        <v>0</v>
      </c>
      <c r="Y440" s="3">
        <v>0</v>
      </c>
      <c r="Z440" s="3">
        <v>0</v>
      </c>
      <c r="AA440" s="3">
        <v>0</v>
      </c>
      <c r="AB440" s="3">
        <v>0</v>
      </c>
      <c r="AC440" s="3">
        <v>0</v>
      </c>
      <c r="AD440" s="3">
        <v>0</v>
      </c>
      <c r="AE440" s="3">
        <v>0</v>
      </c>
      <c r="AF440" s="3">
        <v>0</v>
      </c>
      <c r="AG440" s="3">
        <v>0</v>
      </c>
      <c r="AH440" s="3" t="s">
        <v>17</v>
      </c>
      <c r="AI440" s="3" t="s">
        <v>781</v>
      </c>
      <c r="AK440" s="3" t="s">
        <v>834</v>
      </c>
    </row>
    <row r="441" spans="1:38" x14ac:dyDescent="0.25">
      <c r="A441" t="s">
        <v>1257</v>
      </c>
      <c r="B441" s="7">
        <v>45854</v>
      </c>
      <c r="C441" s="7" t="s">
        <v>844</v>
      </c>
      <c r="D441" s="4">
        <v>0.44513888888888892</v>
      </c>
      <c r="E441" s="3" t="s">
        <v>71</v>
      </c>
      <c r="F441" s="3" t="s">
        <v>23</v>
      </c>
      <c r="G441" s="3" t="s">
        <v>23</v>
      </c>
      <c r="H441" s="9">
        <v>37.537532391177201</v>
      </c>
      <c r="I441" s="9">
        <v>-1.1320407272267199</v>
      </c>
      <c r="J441" s="3">
        <v>1</v>
      </c>
      <c r="K441" s="3">
        <v>1</v>
      </c>
      <c r="L441" s="3">
        <v>0</v>
      </c>
      <c r="M441" s="3">
        <v>0</v>
      </c>
      <c r="N441" s="3" t="s">
        <v>66</v>
      </c>
      <c r="O441" s="3">
        <v>0</v>
      </c>
      <c r="P441" s="3">
        <v>1</v>
      </c>
      <c r="Q441" s="3">
        <v>0</v>
      </c>
      <c r="R441" s="3">
        <v>1</v>
      </c>
      <c r="S441" s="3">
        <v>0</v>
      </c>
      <c r="T441" s="3">
        <v>0</v>
      </c>
      <c r="U441" s="3">
        <v>0</v>
      </c>
      <c r="V441" s="3">
        <v>0</v>
      </c>
      <c r="W441" s="3" t="s">
        <v>6</v>
      </c>
      <c r="X441" s="3">
        <v>1</v>
      </c>
      <c r="Y441" s="3">
        <v>0</v>
      </c>
      <c r="Z441" s="3">
        <v>0</v>
      </c>
      <c r="AA441" s="3">
        <v>1</v>
      </c>
      <c r="AB441" s="3">
        <v>0</v>
      </c>
      <c r="AC441" s="3">
        <v>0</v>
      </c>
      <c r="AD441" s="3">
        <v>0</v>
      </c>
      <c r="AE441" s="3">
        <v>0</v>
      </c>
      <c r="AF441" s="3">
        <v>0</v>
      </c>
      <c r="AG441" s="3">
        <v>0</v>
      </c>
      <c r="AH441" s="3" t="s">
        <v>775</v>
      </c>
      <c r="AI441" s="3" t="s">
        <v>759</v>
      </c>
      <c r="AK441" s="3" t="s">
        <v>773</v>
      </c>
      <c r="AL441" s="3" t="s">
        <v>774</v>
      </c>
    </row>
    <row r="442" spans="1:38" x14ac:dyDescent="0.25">
      <c r="A442" t="s">
        <v>1232</v>
      </c>
      <c r="B442" s="7">
        <v>45855</v>
      </c>
      <c r="C442" s="7" t="s">
        <v>844</v>
      </c>
      <c r="D442" s="3" t="s">
        <v>6</v>
      </c>
      <c r="E442" s="3" t="s">
        <v>735</v>
      </c>
      <c r="F442" s="3" t="s">
        <v>24</v>
      </c>
      <c r="G442" s="3" t="s">
        <v>20</v>
      </c>
      <c r="H442" s="9">
        <v>41.536267832192799</v>
      </c>
      <c r="I442" s="9">
        <v>2.45377432839721</v>
      </c>
      <c r="J442" s="3">
        <v>1</v>
      </c>
      <c r="K442" s="3">
        <v>0</v>
      </c>
      <c r="L442" s="3">
        <v>1</v>
      </c>
      <c r="M442" s="3">
        <v>0</v>
      </c>
      <c r="N442" s="3" t="s">
        <v>6</v>
      </c>
      <c r="O442" s="3">
        <v>0</v>
      </c>
      <c r="P442" s="3">
        <v>1</v>
      </c>
      <c r="Q442" s="3">
        <v>0</v>
      </c>
      <c r="R442" s="3">
        <v>0</v>
      </c>
      <c r="S442" s="3">
        <v>0</v>
      </c>
      <c r="T442" s="3">
        <v>0</v>
      </c>
      <c r="U442" s="3">
        <v>0</v>
      </c>
      <c r="V442" s="3">
        <v>1</v>
      </c>
      <c r="W442" s="3" t="s">
        <v>6</v>
      </c>
      <c r="X442" s="3">
        <v>0</v>
      </c>
      <c r="Y442" s="3">
        <v>0</v>
      </c>
      <c r="Z442" s="3">
        <v>0</v>
      </c>
      <c r="AA442" s="3">
        <v>0</v>
      </c>
      <c r="AB442" s="3">
        <v>0</v>
      </c>
      <c r="AC442" s="3">
        <v>0</v>
      </c>
      <c r="AD442" s="3">
        <v>0</v>
      </c>
      <c r="AE442" s="3">
        <v>0</v>
      </c>
      <c r="AF442" s="3">
        <v>0</v>
      </c>
      <c r="AG442" s="3">
        <v>0</v>
      </c>
      <c r="AH442" s="3" t="s">
        <v>577</v>
      </c>
      <c r="AI442" s="3" t="s">
        <v>601</v>
      </c>
      <c r="AK442" s="3" t="s">
        <v>601</v>
      </c>
      <c r="AL442" s="3" t="s">
        <v>736</v>
      </c>
    </row>
    <row r="443" spans="1:38" x14ac:dyDescent="0.25">
      <c r="A443" t="s">
        <v>1265</v>
      </c>
      <c r="B443" s="7">
        <v>45855</v>
      </c>
      <c r="C443" s="7" t="s">
        <v>844</v>
      </c>
      <c r="D443" s="3" t="s">
        <v>6</v>
      </c>
      <c r="E443" s="3" t="s">
        <v>810</v>
      </c>
      <c r="F443" s="3" t="s">
        <v>87</v>
      </c>
      <c r="G443" s="3" t="s">
        <v>19</v>
      </c>
      <c r="H443" s="9">
        <v>39.0470346113676</v>
      </c>
      <c r="I443" s="9">
        <v>-0.19179507189255199</v>
      </c>
      <c r="J443" s="3">
        <v>1</v>
      </c>
      <c r="K443" s="3">
        <v>1</v>
      </c>
      <c r="L443" s="3">
        <v>0</v>
      </c>
      <c r="M443" s="3">
        <v>0</v>
      </c>
      <c r="N443" s="3" t="s">
        <v>66</v>
      </c>
      <c r="O443" s="3">
        <v>0</v>
      </c>
      <c r="P443" s="3">
        <v>1</v>
      </c>
      <c r="Q443" s="3">
        <v>0</v>
      </c>
      <c r="R443" s="3">
        <v>1</v>
      </c>
      <c r="S443" s="3">
        <v>0</v>
      </c>
      <c r="T443" s="3">
        <v>0</v>
      </c>
      <c r="U443" s="3">
        <v>0</v>
      </c>
      <c r="V443" s="3">
        <v>0</v>
      </c>
      <c r="W443" s="3" t="s">
        <v>6</v>
      </c>
      <c r="X443" s="3">
        <v>0</v>
      </c>
      <c r="Y443" s="3">
        <v>0</v>
      </c>
      <c r="Z443" s="3">
        <v>0</v>
      </c>
      <c r="AA443" s="3">
        <v>0</v>
      </c>
      <c r="AB443" s="3">
        <v>0</v>
      </c>
      <c r="AC443" s="3">
        <v>0</v>
      </c>
      <c r="AD443" s="3">
        <v>0</v>
      </c>
      <c r="AE443" s="3">
        <v>0</v>
      </c>
      <c r="AF443" s="3">
        <v>0</v>
      </c>
      <c r="AG443" s="3">
        <v>0</v>
      </c>
      <c r="AH443" s="3" t="s">
        <v>577</v>
      </c>
      <c r="AI443" s="3" t="s">
        <v>811</v>
      </c>
      <c r="AL443" s="3" t="s">
        <v>812</v>
      </c>
    </row>
    <row r="444" spans="1:38" x14ac:dyDescent="0.25">
      <c r="A444" t="s">
        <v>1248</v>
      </c>
      <c r="B444" s="7">
        <v>45857</v>
      </c>
      <c r="C444" s="7" t="s">
        <v>844</v>
      </c>
      <c r="D444" s="3" t="s">
        <v>6</v>
      </c>
      <c r="E444" s="3" t="s">
        <v>123</v>
      </c>
      <c r="F444" s="3" t="s">
        <v>23</v>
      </c>
      <c r="G444" s="3" t="s">
        <v>23</v>
      </c>
      <c r="H444" s="9">
        <v>37.555210363721898</v>
      </c>
      <c r="I444" s="9">
        <v>-1.17961890509547</v>
      </c>
      <c r="J444" s="3">
        <v>1</v>
      </c>
      <c r="K444" s="3">
        <v>1</v>
      </c>
      <c r="L444" s="3">
        <v>0</v>
      </c>
      <c r="M444" s="3">
        <v>0</v>
      </c>
      <c r="N444" s="3" t="s">
        <v>66</v>
      </c>
      <c r="O444" s="3">
        <v>0</v>
      </c>
      <c r="P444" s="3">
        <v>1</v>
      </c>
      <c r="Q444" s="3">
        <v>0</v>
      </c>
      <c r="R444" s="3">
        <v>1</v>
      </c>
      <c r="S444" s="3">
        <v>0</v>
      </c>
      <c r="T444" s="3">
        <v>0</v>
      </c>
      <c r="U444" s="3">
        <v>0</v>
      </c>
      <c r="V444" s="3">
        <v>0</v>
      </c>
      <c r="W444" s="3" t="s">
        <v>6</v>
      </c>
      <c r="X444" s="3">
        <v>0</v>
      </c>
      <c r="Y444" s="3">
        <v>0</v>
      </c>
      <c r="Z444" s="3">
        <v>0</v>
      </c>
      <c r="AA444" s="3">
        <v>0</v>
      </c>
      <c r="AB444" s="3">
        <v>0</v>
      </c>
      <c r="AC444" s="3">
        <v>0</v>
      </c>
      <c r="AD444" s="3">
        <v>0</v>
      </c>
      <c r="AE444" s="3">
        <v>0</v>
      </c>
      <c r="AF444" s="3">
        <v>0</v>
      </c>
      <c r="AG444" s="3">
        <v>0</v>
      </c>
      <c r="AH444" s="3" t="s">
        <v>17</v>
      </c>
      <c r="AI444" s="3" t="s">
        <v>776</v>
      </c>
      <c r="AK444" s="3" t="s">
        <v>755</v>
      </c>
    </row>
    <row r="445" spans="1:38" x14ac:dyDescent="0.25">
      <c r="A445" t="s">
        <v>1284</v>
      </c>
      <c r="B445" s="7">
        <v>45863</v>
      </c>
      <c r="C445" s="7" t="s">
        <v>844</v>
      </c>
      <c r="D445" s="3" t="s">
        <v>6</v>
      </c>
      <c r="E445" s="3" t="s">
        <v>857</v>
      </c>
      <c r="F445" s="3" t="s">
        <v>23</v>
      </c>
      <c r="G445" s="3" t="s">
        <v>23</v>
      </c>
      <c r="H445" s="9">
        <v>37.407575738866697</v>
      </c>
      <c r="I445" s="9">
        <v>-1.5449579388130601</v>
      </c>
      <c r="J445" s="3">
        <v>1</v>
      </c>
      <c r="K445" s="3">
        <v>1</v>
      </c>
      <c r="L445" s="3">
        <v>0</v>
      </c>
      <c r="M445" s="3">
        <v>0</v>
      </c>
      <c r="N445" s="3" t="s">
        <v>16</v>
      </c>
      <c r="O445" s="3">
        <v>0</v>
      </c>
      <c r="P445" s="3">
        <v>1</v>
      </c>
      <c r="Q445" s="3">
        <v>0</v>
      </c>
      <c r="R445" s="3">
        <v>1</v>
      </c>
      <c r="S445" s="3">
        <v>0</v>
      </c>
      <c r="T445" s="3">
        <v>0</v>
      </c>
      <c r="U445" s="3">
        <v>0</v>
      </c>
      <c r="V445" s="3">
        <v>0</v>
      </c>
      <c r="W445" s="3" t="s">
        <v>6</v>
      </c>
      <c r="X445" s="3">
        <v>0</v>
      </c>
      <c r="Y445" s="3">
        <v>0</v>
      </c>
      <c r="Z445" s="3">
        <v>0</v>
      </c>
      <c r="AA445" s="3">
        <v>0</v>
      </c>
      <c r="AB445" s="3">
        <v>0</v>
      </c>
      <c r="AC445" s="3">
        <v>0</v>
      </c>
      <c r="AD445" s="3">
        <v>0</v>
      </c>
      <c r="AE445" s="3">
        <v>0</v>
      </c>
      <c r="AF445" s="3">
        <v>0</v>
      </c>
      <c r="AG445" s="3">
        <v>0</v>
      </c>
      <c r="AH445" s="3" t="s">
        <v>17</v>
      </c>
      <c r="AI445" s="3" t="s">
        <v>776</v>
      </c>
      <c r="AK445" s="3" t="s">
        <v>858</v>
      </c>
    </row>
    <row r="446" spans="1:38" x14ac:dyDescent="0.25">
      <c r="A446" t="s">
        <v>1259</v>
      </c>
      <c r="B446" s="7">
        <v>45865</v>
      </c>
      <c r="C446" s="7" t="s">
        <v>844</v>
      </c>
      <c r="D446" s="4">
        <v>0.62777777777777777</v>
      </c>
      <c r="E446" s="3" t="s">
        <v>723</v>
      </c>
      <c r="F446" s="3" t="s">
        <v>59</v>
      </c>
      <c r="G446" s="3" t="s">
        <v>20</v>
      </c>
      <c r="H446" s="9">
        <v>41.780281251329697</v>
      </c>
      <c r="I446" s="9">
        <v>3.0337537619930499</v>
      </c>
      <c r="J446" s="3">
        <v>1</v>
      </c>
      <c r="K446" s="3">
        <v>1</v>
      </c>
      <c r="L446" s="3">
        <v>0</v>
      </c>
      <c r="M446" s="3">
        <v>0</v>
      </c>
      <c r="N446" s="3" t="s">
        <v>16</v>
      </c>
      <c r="O446" s="3">
        <v>1</v>
      </c>
      <c r="P446" s="3">
        <v>0</v>
      </c>
      <c r="Q446" s="3">
        <v>0</v>
      </c>
      <c r="R446" s="3">
        <v>1</v>
      </c>
      <c r="S446" s="3">
        <v>0</v>
      </c>
      <c r="T446" s="3">
        <v>0</v>
      </c>
      <c r="U446" s="3">
        <v>0</v>
      </c>
      <c r="V446" s="3">
        <v>0</v>
      </c>
      <c r="W446" s="3" t="s">
        <v>6</v>
      </c>
      <c r="X446" s="3">
        <v>0</v>
      </c>
      <c r="Y446" s="3">
        <v>0</v>
      </c>
      <c r="Z446" s="3">
        <v>0</v>
      </c>
      <c r="AA446" s="3">
        <v>0</v>
      </c>
      <c r="AB446" s="3">
        <v>0</v>
      </c>
      <c r="AC446" s="3">
        <v>0</v>
      </c>
      <c r="AD446" s="3">
        <v>0</v>
      </c>
      <c r="AE446" s="3">
        <v>0</v>
      </c>
      <c r="AF446" s="3">
        <v>0</v>
      </c>
      <c r="AG446" s="3">
        <v>0</v>
      </c>
      <c r="AH446" s="3" t="s">
        <v>17</v>
      </c>
      <c r="AI446" s="3" t="s">
        <v>780</v>
      </c>
      <c r="AK446" s="3" t="s">
        <v>800</v>
      </c>
    </row>
    <row r="447" spans="1:38" x14ac:dyDescent="0.25">
      <c r="A447" t="s">
        <v>1271</v>
      </c>
      <c r="B447" s="7">
        <v>45867</v>
      </c>
      <c r="C447" s="7" t="s">
        <v>844</v>
      </c>
      <c r="D447" s="3" t="s">
        <v>6</v>
      </c>
      <c r="E447" s="3" t="s">
        <v>825</v>
      </c>
      <c r="F447" s="3" t="s">
        <v>69</v>
      </c>
      <c r="G447" s="3" t="s">
        <v>20</v>
      </c>
      <c r="H447" s="9">
        <v>41.076644600659101</v>
      </c>
      <c r="I447" s="9">
        <v>1.1837865221702799</v>
      </c>
      <c r="J447" s="3">
        <v>1</v>
      </c>
      <c r="K447" s="3">
        <v>1</v>
      </c>
      <c r="L447" s="3">
        <v>0</v>
      </c>
      <c r="M447" s="3">
        <v>0</v>
      </c>
      <c r="N447" s="3" t="s">
        <v>6</v>
      </c>
      <c r="O447" s="3">
        <v>0</v>
      </c>
      <c r="P447" s="3">
        <v>0</v>
      </c>
      <c r="Q447" s="3">
        <v>1</v>
      </c>
      <c r="R447" s="3">
        <v>1</v>
      </c>
      <c r="S447" s="3">
        <v>0</v>
      </c>
      <c r="T447" s="3">
        <v>0</v>
      </c>
      <c r="U447" s="3">
        <v>0</v>
      </c>
      <c r="V447" s="3">
        <v>0</v>
      </c>
      <c r="W447" s="3" t="s">
        <v>6</v>
      </c>
      <c r="X447" s="3">
        <v>0</v>
      </c>
      <c r="Y447" s="3">
        <v>0</v>
      </c>
      <c r="Z447" s="3">
        <v>0</v>
      </c>
      <c r="AA447" s="3">
        <v>0</v>
      </c>
      <c r="AB447" s="3">
        <v>0</v>
      </c>
      <c r="AC447" s="3">
        <v>0</v>
      </c>
      <c r="AD447" s="3">
        <v>0</v>
      </c>
      <c r="AE447" s="3">
        <v>0</v>
      </c>
      <c r="AF447" s="3">
        <v>0</v>
      </c>
      <c r="AG447" s="3">
        <v>0</v>
      </c>
      <c r="AH447" s="3" t="s">
        <v>17</v>
      </c>
      <c r="AI447" s="3" t="s">
        <v>780</v>
      </c>
      <c r="AK447" s="3" t="s">
        <v>826</v>
      </c>
      <c r="AL447" s="3" t="s">
        <v>827</v>
      </c>
    </row>
    <row r="448" spans="1:38" x14ac:dyDescent="0.25">
      <c r="A448" t="s">
        <v>1263</v>
      </c>
      <c r="B448" s="7">
        <v>45868</v>
      </c>
      <c r="C448" s="7" t="s">
        <v>844</v>
      </c>
      <c r="D448" s="3" t="s">
        <v>6</v>
      </c>
      <c r="E448" s="3" t="s">
        <v>805</v>
      </c>
      <c r="F448" s="3" t="s">
        <v>24</v>
      </c>
      <c r="G448" s="3" t="s">
        <v>20</v>
      </c>
      <c r="H448" s="9">
        <v>41.3855668196111</v>
      </c>
      <c r="I448" s="9">
        <v>2.2000962090037501</v>
      </c>
      <c r="J448" s="3">
        <v>1</v>
      </c>
      <c r="K448" s="3">
        <v>1</v>
      </c>
      <c r="L448" s="3">
        <v>0</v>
      </c>
      <c r="M448" s="3">
        <v>0</v>
      </c>
      <c r="N448" s="3" t="s">
        <v>16</v>
      </c>
      <c r="O448" s="3">
        <v>0</v>
      </c>
      <c r="P448" s="3">
        <v>1</v>
      </c>
      <c r="Q448" s="3">
        <v>0</v>
      </c>
      <c r="R448" s="3">
        <v>1</v>
      </c>
      <c r="S448" s="3">
        <v>0</v>
      </c>
      <c r="T448" s="3">
        <v>0</v>
      </c>
      <c r="U448" s="3">
        <v>0</v>
      </c>
      <c r="V448" s="3">
        <v>0</v>
      </c>
      <c r="W448" s="3" t="s">
        <v>6</v>
      </c>
      <c r="X448" s="3">
        <v>0</v>
      </c>
      <c r="Y448" s="3">
        <v>0</v>
      </c>
      <c r="Z448" s="3">
        <v>0</v>
      </c>
      <c r="AA448" s="3">
        <v>0</v>
      </c>
      <c r="AB448" s="3">
        <v>0</v>
      </c>
      <c r="AC448" s="3">
        <v>0</v>
      </c>
      <c r="AD448" s="3">
        <v>0</v>
      </c>
      <c r="AE448" s="3">
        <v>0</v>
      </c>
      <c r="AF448" s="3">
        <v>0</v>
      </c>
      <c r="AG448" s="3">
        <v>0</v>
      </c>
      <c r="AH448" s="3" t="s">
        <v>577</v>
      </c>
      <c r="AI448" s="3" t="s">
        <v>601</v>
      </c>
      <c r="AL448" s="3" t="s">
        <v>806</v>
      </c>
    </row>
    <row r="449" spans="1:38" x14ac:dyDescent="0.25">
      <c r="A449" t="s">
        <v>1277</v>
      </c>
      <c r="B449" s="7">
        <v>45869</v>
      </c>
      <c r="C449" s="7" t="s">
        <v>844</v>
      </c>
      <c r="D449" s="3" t="s">
        <v>6</v>
      </c>
      <c r="E449" s="3" t="s">
        <v>723</v>
      </c>
      <c r="F449" s="3" t="s">
        <v>59</v>
      </c>
      <c r="G449" s="3" t="s">
        <v>20</v>
      </c>
      <c r="H449" s="9">
        <v>41.7700434787006</v>
      </c>
      <c r="I449" s="9">
        <v>3.0309861314883602</v>
      </c>
      <c r="J449" s="3">
        <v>1</v>
      </c>
      <c r="K449" s="3">
        <v>1</v>
      </c>
      <c r="L449" s="3">
        <v>0</v>
      </c>
      <c r="M449" s="3">
        <v>0</v>
      </c>
      <c r="N449" s="3" t="s">
        <v>66</v>
      </c>
      <c r="O449" s="3">
        <v>1</v>
      </c>
      <c r="P449" s="3">
        <v>0</v>
      </c>
      <c r="Q449" s="3">
        <v>0</v>
      </c>
      <c r="R449" s="3">
        <v>0</v>
      </c>
      <c r="S449" s="3">
        <v>0</v>
      </c>
      <c r="T449" s="3">
        <v>0</v>
      </c>
      <c r="U449" s="3">
        <v>0</v>
      </c>
      <c r="V449" s="3">
        <v>1</v>
      </c>
      <c r="W449" s="3" t="s">
        <v>6</v>
      </c>
      <c r="X449" s="3">
        <v>0</v>
      </c>
      <c r="Y449" s="3">
        <v>0</v>
      </c>
      <c r="Z449" s="3">
        <v>0</v>
      </c>
      <c r="AA449" s="3">
        <v>0</v>
      </c>
      <c r="AB449" s="3">
        <v>0</v>
      </c>
      <c r="AC449" s="3">
        <v>0</v>
      </c>
      <c r="AD449" s="3">
        <v>0</v>
      </c>
      <c r="AE449" s="3">
        <v>0</v>
      </c>
      <c r="AF449" s="3">
        <v>0</v>
      </c>
      <c r="AG449" s="3">
        <v>0</v>
      </c>
      <c r="AH449" s="3" t="s">
        <v>17</v>
      </c>
      <c r="AI449" s="3" t="s">
        <v>776</v>
      </c>
      <c r="AK449" s="3" t="s">
        <v>846</v>
      </c>
      <c r="AL449" s="3" t="s">
        <v>847</v>
      </c>
    </row>
    <row r="450" spans="1:38" x14ac:dyDescent="0.25">
      <c r="A450" t="s">
        <v>1310</v>
      </c>
      <c r="B450" s="7">
        <v>45875</v>
      </c>
      <c r="C450" s="7" t="s">
        <v>844</v>
      </c>
      <c r="D450" s="4">
        <v>0.38263888888888892</v>
      </c>
      <c r="E450" s="3" t="s">
        <v>912</v>
      </c>
      <c r="F450" s="3" t="s">
        <v>24</v>
      </c>
      <c r="G450" s="3" t="s">
        <v>20</v>
      </c>
      <c r="H450" s="9">
        <v>41.394905999999999</v>
      </c>
      <c r="I450" s="9">
        <v>2.2081819999999999</v>
      </c>
      <c r="J450" s="3">
        <v>1</v>
      </c>
      <c r="K450" s="3">
        <v>1</v>
      </c>
      <c r="L450" s="3">
        <v>0</v>
      </c>
      <c r="M450" s="3">
        <v>0</v>
      </c>
      <c r="N450" s="3" t="s">
        <v>16</v>
      </c>
      <c r="O450" s="3">
        <v>0</v>
      </c>
      <c r="P450" s="3">
        <v>1</v>
      </c>
      <c r="Q450" s="3">
        <v>0</v>
      </c>
      <c r="R450" s="3">
        <v>1</v>
      </c>
      <c r="S450" s="3">
        <v>0</v>
      </c>
      <c r="T450" s="3">
        <v>0</v>
      </c>
      <c r="U450" s="3">
        <v>0</v>
      </c>
      <c r="V450" s="3">
        <v>0</v>
      </c>
      <c r="W450" s="3">
        <v>40</v>
      </c>
      <c r="X450" s="3">
        <v>1</v>
      </c>
      <c r="Y450" s="3">
        <v>0</v>
      </c>
      <c r="Z450" s="3">
        <v>0</v>
      </c>
      <c r="AA450" s="3">
        <v>0</v>
      </c>
      <c r="AB450" s="3">
        <v>0</v>
      </c>
      <c r="AC450" s="3">
        <v>0</v>
      </c>
      <c r="AD450" s="3">
        <v>0</v>
      </c>
      <c r="AE450" s="3">
        <v>0</v>
      </c>
      <c r="AF450" s="3">
        <v>0</v>
      </c>
      <c r="AG450" s="3">
        <v>1</v>
      </c>
      <c r="AH450" s="3" t="s">
        <v>775</v>
      </c>
      <c r="AI450" s="3" t="s">
        <v>759</v>
      </c>
      <c r="AK450" s="3" t="s">
        <v>914</v>
      </c>
      <c r="AL450" s="3" t="s">
        <v>913</v>
      </c>
    </row>
    <row r="451" spans="1:38" x14ac:dyDescent="0.25">
      <c r="A451" t="s">
        <v>1294</v>
      </c>
      <c r="B451" s="7">
        <v>45876</v>
      </c>
      <c r="C451" s="7" t="s">
        <v>844</v>
      </c>
      <c r="D451" s="3" t="s">
        <v>6</v>
      </c>
      <c r="E451" s="3" t="s">
        <v>874</v>
      </c>
      <c r="F451" s="3" t="s">
        <v>24</v>
      </c>
      <c r="G451" s="3" t="s">
        <v>20</v>
      </c>
      <c r="H451" s="9">
        <v>41.462999686796898</v>
      </c>
      <c r="I451" s="9">
        <v>2.2832127500241</v>
      </c>
      <c r="J451" s="3">
        <v>1</v>
      </c>
      <c r="K451" s="3">
        <v>1</v>
      </c>
      <c r="L451" s="3">
        <v>0</v>
      </c>
      <c r="M451" s="3">
        <v>0</v>
      </c>
      <c r="N451" s="3" t="s">
        <v>16</v>
      </c>
      <c r="O451" s="3">
        <v>0</v>
      </c>
      <c r="P451" s="3">
        <v>1</v>
      </c>
      <c r="Q451" s="3">
        <v>0</v>
      </c>
      <c r="R451" s="3">
        <v>1</v>
      </c>
      <c r="S451" s="3">
        <v>0</v>
      </c>
      <c r="T451" s="3">
        <v>0</v>
      </c>
      <c r="U451" s="3">
        <v>0</v>
      </c>
      <c r="V451" s="3">
        <v>0</v>
      </c>
      <c r="W451" s="3" t="s">
        <v>6</v>
      </c>
      <c r="X451" s="3">
        <v>1</v>
      </c>
      <c r="Y451" s="3">
        <v>0</v>
      </c>
      <c r="Z451" s="3">
        <v>0</v>
      </c>
      <c r="AA451" s="3">
        <v>1</v>
      </c>
      <c r="AB451" s="3">
        <v>0</v>
      </c>
      <c r="AC451" s="3">
        <v>0</v>
      </c>
      <c r="AD451" s="3">
        <v>1</v>
      </c>
      <c r="AE451" s="3">
        <v>0</v>
      </c>
      <c r="AF451" s="3">
        <v>0</v>
      </c>
      <c r="AG451" s="3">
        <v>0</v>
      </c>
      <c r="AH451" s="3" t="s">
        <v>17</v>
      </c>
      <c r="AI451" s="3" t="s">
        <v>776</v>
      </c>
      <c r="AK451" s="3" t="s">
        <v>875</v>
      </c>
      <c r="AL451" s="3" t="s">
        <v>876</v>
      </c>
    </row>
    <row r="452" spans="1:38" x14ac:dyDescent="0.25">
      <c r="A452" t="s">
        <v>1296</v>
      </c>
      <c r="B452" s="7">
        <v>45876</v>
      </c>
      <c r="C452" s="7" t="s">
        <v>844</v>
      </c>
      <c r="D452" s="3" t="s">
        <v>6</v>
      </c>
      <c r="E452" s="3" t="s">
        <v>878</v>
      </c>
      <c r="F452" s="3" t="s">
        <v>24</v>
      </c>
      <c r="G452" s="3" t="s">
        <v>20</v>
      </c>
      <c r="H452" s="9">
        <v>41.398050077128801</v>
      </c>
      <c r="I452" s="9">
        <v>2.2123982980852799</v>
      </c>
      <c r="J452" s="3">
        <v>1</v>
      </c>
      <c r="K452" s="3">
        <v>1</v>
      </c>
      <c r="L452" s="3">
        <v>0</v>
      </c>
      <c r="M452" s="3">
        <v>0</v>
      </c>
      <c r="N452" s="3" t="s">
        <v>16</v>
      </c>
      <c r="O452" s="3">
        <v>0</v>
      </c>
      <c r="P452" s="3">
        <v>0</v>
      </c>
      <c r="Q452" s="3">
        <v>1</v>
      </c>
      <c r="R452" s="3">
        <v>1</v>
      </c>
      <c r="S452" s="3">
        <v>0</v>
      </c>
      <c r="T452" s="3">
        <v>0</v>
      </c>
      <c r="U452" s="3">
        <v>0</v>
      </c>
      <c r="V452" s="3">
        <v>0</v>
      </c>
      <c r="W452" s="3" t="s">
        <v>6</v>
      </c>
      <c r="X452" s="3">
        <v>0</v>
      </c>
      <c r="Y452" s="3">
        <v>0</v>
      </c>
      <c r="Z452" s="3">
        <v>0</v>
      </c>
      <c r="AA452" s="3">
        <v>0</v>
      </c>
      <c r="AB452" s="3">
        <v>0</v>
      </c>
      <c r="AC452" s="3">
        <v>0</v>
      </c>
      <c r="AD452" s="3">
        <v>0</v>
      </c>
      <c r="AE452" s="3">
        <v>0</v>
      </c>
      <c r="AF452" s="3">
        <v>0</v>
      </c>
      <c r="AG452" s="3">
        <v>0</v>
      </c>
      <c r="AH452" s="3" t="s">
        <v>17</v>
      </c>
      <c r="AI452" s="3" t="s">
        <v>781</v>
      </c>
      <c r="AK452" s="3" t="s">
        <v>879</v>
      </c>
      <c r="AL452" s="3" t="s">
        <v>880</v>
      </c>
    </row>
    <row r="453" spans="1:38" x14ac:dyDescent="0.25">
      <c r="A453" t="s">
        <v>1301</v>
      </c>
      <c r="B453" s="7">
        <v>45882</v>
      </c>
      <c r="C453" s="7" t="s">
        <v>844</v>
      </c>
      <c r="D453" s="3" t="s">
        <v>6</v>
      </c>
      <c r="E453" s="3" t="s">
        <v>890</v>
      </c>
      <c r="F453" s="3" t="s">
        <v>87</v>
      </c>
      <c r="G453" s="3" t="s">
        <v>19</v>
      </c>
      <c r="H453" s="9">
        <v>39.680757688693902</v>
      </c>
      <c r="I453" s="9">
        <v>-0.201174779520049</v>
      </c>
      <c r="J453" s="3">
        <v>1</v>
      </c>
      <c r="K453" s="3">
        <v>1</v>
      </c>
      <c r="L453" s="3">
        <v>0</v>
      </c>
      <c r="M453" s="3">
        <v>0</v>
      </c>
      <c r="N453" s="3" t="s">
        <v>66</v>
      </c>
      <c r="O453" s="3">
        <v>0</v>
      </c>
      <c r="P453" s="3">
        <v>1</v>
      </c>
      <c r="Q453" s="3">
        <v>0</v>
      </c>
      <c r="R453" s="3">
        <v>1</v>
      </c>
      <c r="S453" s="3">
        <v>0</v>
      </c>
      <c r="T453" s="3">
        <v>0</v>
      </c>
      <c r="U453" s="3">
        <v>0</v>
      </c>
      <c r="V453" s="3">
        <v>0</v>
      </c>
      <c r="W453" s="3" t="s">
        <v>6</v>
      </c>
      <c r="X453" s="3">
        <v>0</v>
      </c>
      <c r="Y453" s="3">
        <v>0</v>
      </c>
      <c r="Z453" s="3">
        <v>0</v>
      </c>
      <c r="AA453" s="3">
        <v>0</v>
      </c>
      <c r="AB453" s="3">
        <v>0</v>
      </c>
      <c r="AC453" s="3">
        <v>0</v>
      </c>
      <c r="AD453" s="3">
        <v>0</v>
      </c>
      <c r="AE453" s="3">
        <v>0</v>
      </c>
      <c r="AF453" s="3">
        <v>0</v>
      </c>
      <c r="AG453" s="3">
        <v>0</v>
      </c>
      <c r="AH453" s="3" t="s">
        <v>17</v>
      </c>
      <c r="AI453" s="3" t="s">
        <v>780</v>
      </c>
      <c r="AK453" s="3" t="s">
        <v>891</v>
      </c>
      <c r="AL453" s="3" t="s">
        <v>892</v>
      </c>
    </row>
    <row r="454" spans="1:38" x14ac:dyDescent="0.25">
      <c r="A454" t="s">
        <v>1299</v>
      </c>
      <c r="B454" s="7">
        <v>45884</v>
      </c>
      <c r="C454" s="7" t="s">
        <v>844</v>
      </c>
      <c r="D454" s="3" t="s">
        <v>6</v>
      </c>
      <c r="F454" s="3" t="s">
        <v>6</v>
      </c>
      <c r="G454" s="3" t="s">
        <v>6</v>
      </c>
      <c r="J454" s="3">
        <v>1</v>
      </c>
      <c r="K454" s="3">
        <v>1</v>
      </c>
      <c r="L454" s="3">
        <v>0</v>
      </c>
      <c r="M454" s="3">
        <v>0</v>
      </c>
      <c r="N454" s="3" t="s">
        <v>16</v>
      </c>
      <c r="O454" s="3">
        <v>1</v>
      </c>
      <c r="P454" s="3">
        <v>0</v>
      </c>
      <c r="Q454" s="3">
        <v>0</v>
      </c>
      <c r="R454" s="3">
        <v>1</v>
      </c>
      <c r="S454" s="3">
        <v>0</v>
      </c>
      <c r="T454" s="3">
        <v>0</v>
      </c>
      <c r="U454" s="3">
        <v>0</v>
      </c>
      <c r="V454" s="3">
        <v>0</v>
      </c>
      <c r="W454" s="3" t="s">
        <v>6</v>
      </c>
      <c r="X454" s="3">
        <v>0</v>
      </c>
      <c r="Y454" s="3">
        <v>0</v>
      </c>
      <c r="Z454" s="3">
        <v>0</v>
      </c>
      <c r="AA454" s="3">
        <v>0</v>
      </c>
      <c r="AB454" s="3">
        <v>0</v>
      </c>
      <c r="AC454" s="3">
        <v>0</v>
      </c>
      <c r="AD454" s="3">
        <v>0</v>
      </c>
      <c r="AE454" s="3">
        <v>0</v>
      </c>
      <c r="AF454" s="3">
        <v>0</v>
      </c>
      <c r="AG454" s="3">
        <v>0</v>
      </c>
      <c r="AH454" s="3" t="s">
        <v>17</v>
      </c>
      <c r="AI454" s="3" t="s">
        <v>776</v>
      </c>
      <c r="AK454" s="3" t="s">
        <v>885</v>
      </c>
      <c r="AL454" s="3" t="s">
        <v>886</v>
      </c>
    </row>
    <row r="455" spans="1:38" x14ac:dyDescent="0.25">
      <c r="A455" t="s">
        <v>1311</v>
      </c>
      <c r="B455" s="7">
        <v>45885</v>
      </c>
      <c r="C455" s="7" t="s">
        <v>844</v>
      </c>
      <c r="D455" s="4">
        <v>0.7895833333333333</v>
      </c>
      <c r="F455" s="3" t="s">
        <v>24</v>
      </c>
      <c r="G455" s="3" t="s">
        <v>20</v>
      </c>
      <c r="H455" s="9">
        <v>41.4831</v>
      </c>
      <c r="I455" s="9">
        <v>2.44746</v>
      </c>
      <c r="J455" s="3">
        <v>1</v>
      </c>
      <c r="K455" s="3">
        <v>1</v>
      </c>
      <c r="L455" s="3">
        <v>0</v>
      </c>
      <c r="M455" s="3">
        <v>0</v>
      </c>
      <c r="N455" s="3" t="s">
        <v>16</v>
      </c>
      <c r="O455" s="3">
        <v>1</v>
      </c>
      <c r="P455" s="3">
        <v>0</v>
      </c>
      <c r="Q455" s="3">
        <v>0</v>
      </c>
      <c r="R455" s="3">
        <v>1</v>
      </c>
      <c r="S455" s="3">
        <v>0</v>
      </c>
      <c r="T455" s="3">
        <v>0</v>
      </c>
      <c r="U455" s="3">
        <v>0</v>
      </c>
      <c r="V455" s="3">
        <v>0</v>
      </c>
      <c r="W455" s="3" t="s">
        <v>6</v>
      </c>
      <c r="X455" s="3">
        <v>0</v>
      </c>
      <c r="Y455" s="3">
        <v>0</v>
      </c>
      <c r="Z455" s="3">
        <v>0</v>
      </c>
      <c r="AA455" s="3">
        <v>0</v>
      </c>
      <c r="AB455" s="3">
        <v>0</v>
      </c>
      <c r="AC455" s="3">
        <v>0</v>
      </c>
      <c r="AD455" s="3">
        <v>0</v>
      </c>
      <c r="AE455" s="3">
        <v>0</v>
      </c>
      <c r="AF455" s="3">
        <v>0</v>
      </c>
      <c r="AG455" s="3">
        <v>0</v>
      </c>
      <c r="AH455" s="3" t="s">
        <v>577</v>
      </c>
      <c r="AI455" s="3" t="s">
        <v>915</v>
      </c>
      <c r="AK455" s="3" t="s">
        <v>915</v>
      </c>
      <c r="AL455" s="3" t="s">
        <v>916</v>
      </c>
    </row>
    <row r="456" spans="1:38" x14ac:dyDescent="0.25">
      <c r="A456" t="s">
        <v>1298</v>
      </c>
      <c r="B456" s="7">
        <v>45886</v>
      </c>
      <c r="C456" s="7" t="s">
        <v>844</v>
      </c>
      <c r="D456" s="3" t="s">
        <v>6</v>
      </c>
      <c r="E456" s="3" t="s">
        <v>881</v>
      </c>
      <c r="F456" s="3" t="s">
        <v>59</v>
      </c>
      <c r="G456" s="3" t="s">
        <v>20</v>
      </c>
      <c r="H456" s="9">
        <v>42.281566998491897</v>
      </c>
      <c r="I456" s="9">
        <v>3.2978183308883899</v>
      </c>
      <c r="J456" s="3">
        <v>1</v>
      </c>
      <c r="K456" s="3">
        <v>1</v>
      </c>
      <c r="L456" s="3">
        <v>0</v>
      </c>
      <c r="M456" s="3">
        <v>0</v>
      </c>
      <c r="N456" s="3" t="s">
        <v>66</v>
      </c>
      <c r="O456" s="3">
        <v>0</v>
      </c>
      <c r="P456" s="3">
        <v>1</v>
      </c>
      <c r="Q456" s="3">
        <v>0</v>
      </c>
      <c r="R456" s="3">
        <v>1</v>
      </c>
      <c r="S456" s="3">
        <v>0</v>
      </c>
      <c r="T456" s="3">
        <v>0</v>
      </c>
      <c r="U456" s="3">
        <v>0</v>
      </c>
      <c r="V456" s="3">
        <v>0</v>
      </c>
      <c r="W456" s="3" t="s">
        <v>6</v>
      </c>
      <c r="X456" s="3">
        <v>1</v>
      </c>
      <c r="Y456" s="3">
        <v>0</v>
      </c>
      <c r="Z456" s="3">
        <v>0</v>
      </c>
      <c r="AA456" s="3">
        <v>1</v>
      </c>
      <c r="AB456" s="3">
        <v>0</v>
      </c>
      <c r="AC456" s="3">
        <v>0</v>
      </c>
      <c r="AD456" s="3">
        <v>0</v>
      </c>
      <c r="AE456" s="3">
        <v>0</v>
      </c>
      <c r="AF456" s="3">
        <v>0</v>
      </c>
      <c r="AG456" s="3">
        <v>0</v>
      </c>
      <c r="AH456" s="3" t="s">
        <v>17</v>
      </c>
      <c r="AI456" s="3" t="s">
        <v>776</v>
      </c>
      <c r="AK456" s="3" t="s">
        <v>884</v>
      </c>
      <c r="AL456" s="3" t="s">
        <v>883</v>
      </c>
    </row>
    <row r="457" spans="1:38" x14ac:dyDescent="0.25">
      <c r="A457" t="s">
        <v>1303</v>
      </c>
      <c r="B457" s="7">
        <v>45887</v>
      </c>
      <c r="C457" s="7" t="s">
        <v>844</v>
      </c>
      <c r="D457" s="3" t="s">
        <v>6</v>
      </c>
      <c r="E457" s="3" t="s">
        <v>328</v>
      </c>
      <c r="F457" s="3" t="s">
        <v>23</v>
      </c>
      <c r="G457" s="3" t="s">
        <v>23</v>
      </c>
      <c r="H457" s="9">
        <v>37.5106787959784</v>
      </c>
      <c r="I457" s="9">
        <v>-1.39927352931897</v>
      </c>
      <c r="J457" s="3">
        <v>1</v>
      </c>
      <c r="K457" s="3">
        <v>1</v>
      </c>
      <c r="L457" s="3">
        <v>0</v>
      </c>
      <c r="M457" s="3">
        <v>0</v>
      </c>
      <c r="N457" s="3" t="s">
        <v>66</v>
      </c>
      <c r="O457" s="3">
        <v>0</v>
      </c>
      <c r="P457" s="3">
        <v>1</v>
      </c>
      <c r="Q457" s="3">
        <v>0</v>
      </c>
      <c r="R457" s="3">
        <v>1</v>
      </c>
      <c r="S457" s="3">
        <v>0</v>
      </c>
      <c r="T457" s="3">
        <v>0</v>
      </c>
      <c r="U457" s="3">
        <v>0</v>
      </c>
      <c r="V457" s="3">
        <v>0</v>
      </c>
      <c r="W457" s="3" t="s">
        <v>6</v>
      </c>
      <c r="X457" s="3">
        <v>1</v>
      </c>
      <c r="Y457" s="3">
        <v>0</v>
      </c>
      <c r="Z457" s="3">
        <v>0</v>
      </c>
      <c r="AA457" s="3">
        <v>1</v>
      </c>
      <c r="AB457" s="3">
        <v>0</v>
      </c>
      <c r="AC457" s="3">
        <v>0</v>
      </c>
      <c r="AD457" s="3">
        <v>0</v>
      </c>
      <c r="AE457" s="3">
        <v>0</v>
      </c>
      <c r="AF457" s="3">
        <v>0</v>
      </c>
      <c r="AG457" s="3">
        <v>0</v>
      </c>
      <c r="AH457" s="3" t="s">
        <v>17</v>
      </c>
      <c r="AI457" s="3" t="s">
        <v>776</v>
      </c>
      <c r="AK457" s="3" t="s">
        <v>895</v>
      </c>
      <c r="AL457" s="3" t="s">
        <v>896</v>
      </c>
    </row>
    <row r="458" spans="1:38" x14ac:dyDescent="0.25">
      <c r="A458" t="s">
        <v>1304</v>
      </c>
      <c r="B458" s="7">
        <v>45892</v>
      </c>
      <c r="C458" s="7" t="s">
        <v>844</v>
      </c>
      <c r="D458" s="3" t="s">
        <v>6</v>
      </c>
      <c r="E458" s="3" t="s">
        <v>897</v>
      </c>
      <c r="F458" s="3" t="s">
        <v>24</v>
      </c>
      <c r="G458" s="3" t="s">
        <v>20</v>
      </c>
      <c r="H458" s="9">
        <v>41.560174156506001</v>
      </c>
      <c r="I458" s="9">
        <v>2.5111125493539301</v>
      </c>
      <c r="J458" s="3">
        <v>1</v>
      </c>
      <c r="K458" s="3">
        <v>1</v>
      </c>
      <c r="L458" s="3">
        <v>0</v>
      </c>
      <c r="M458" s="3">
        <v>0</v>
      </c>
      <c r="N458" s="3" t="s">
        <v>6</v>
      </c>
      <c r="O458" s="3">
        <v>0</v>
      </c>
      <c r="P458" s="3">
        <v>1</v>
      </c>
      <c r="Q458" s="3">
        <v>0</v>
      </c>
      <c r="R458" s="3">
        <v>1</v>
      </c>
      <c r="S458" s="3">
        <v>0</v>
      </c>
      <c r="T458" s="3">
        <v>0</v>
      </c>
      <c r="U458" s="3">
        <v>0</v>
      </c>
      <c r="V458" s="3">
        <v>0</v>
      </c>
      <c r="W458" s="3" t="s">
        <v>6</v>
      </c>
      <c r="X458" s="3">
        <v>0</v>
      </c>
      <c r="Y458" s="3">
        <v>0</v>
      </c>
      <c r="Z458" s="3">
        <v>0</v>
      </c>
      <c r="AA458" s="3">
        <v>0</v>
      </c>
      <c r="AB458" s="3">
        <v>0</v>
      </c>
      <c r="AC458" s="3">
        <v>0</v>
      </c>
      <c r="AD458" s="3">
        <v>0</v>
      </c>
      <c r="AE458" s="3">
        <v>0</v>
      </c>
      <c r="AF458" s="3">
        <v>0</v>
      </c>
      <c r="AG458" s="3">
        <v>0</v>
      </c>
      <c r="AH458" s="3" t="s">
        <v>17</v>
      </c>
      <c r="AI458" s="3" t="s">
        <v>780</v>
      </c>
      <c r="AK458" s="3" t="s">
        <v>898</v>
      </c>
      <c r="AL458" s="3" t="s">
        <v>899</v>
      </c>
    </row>
    <row r="459" spans="1:38" x14ac:dyDescent="0.25">
      <c r="A459" t="s">
        <v>1312</v>
      </c>
      <c r="B459" s="7">
        <v>45933</v>
      </c>
      <c r="C459" s="7" t="s">
        <v>843</v>
      </c>
      <c r="D459" s="4">
        <v>0.75138888888888899</v>
      </c>
      <c r="F459" s="3" t="s">
        <v>24</v>
      </c>
      <c r="G459" s="3" t="s">
        <v>20</v>
      </c>
      <c r="H459" s="9">
        <v>41.3337</v>
      </c>
      <c r="I459" s="9">
        <v>2.4430000000000001</v>
      </c>
      <c r="J459" s="3">
        <v>3</v>
      </c>
      <c r="K459" s="3">
        <v>3</v>
      </c>
      <c r="L459" s="3">
        <v>0</v>
      </c>
      <c r="M459" s="3">
        <v>0</v>
      </c>
      <c r="N459" s="3" t="s">
        <v>16</v>
      </c>
      <c r="O459" s="3">
        <v>0</v>
      </c>
      <c r="P459" s="3">
        <v>1</v>
      </c>
      <c r="Q459" s="3">
        <v>2</v>
      </c>
      <c r="R459" s="3">
        <v>3</v>
      </c>
      <c r="S459" s="3">
        <v>0</v>
      </c>
      <c r="T459" s="3">
        <v>0</v>
      </c>
      <c r="U459" s="3">
        <v>0</v>
      </c>
      <c r="V459" s="3">
        <v>0</v>
      </c>
      <c r="W459" s="3" t="s">
        <v>6</v>
      </c>
      <c r="X459" s="3">
        <v>1</v>
      </c>
      <c r="Y459" s="3">
        <v>0</v>
      </c>
      <c r="Z459" s="3">
        <v>0</v>
      </c>
      <c r="AA459" s="3">
        <v>0</v>
      </c>
      <c r="AB459" s="3">
        <v>0</v>
      </c>
      <c r="AC459" s="3">
        <v>0</v>
      </c>
      <c r="AD459" s="3">
        <v>0</v>
      </c>
      <c r="AE459" s="3">
        <v>0</v>
      </c>
      <c r="AF459" s="3">
        <v>1</v>
      </c>
      <c r="AG459" s="3">
        <v>0</v>
      </c>
      <c r="AH459" s="3" t="s">
        <v>577</v>
      </c>
      <c r="AI459" s="3" t="s">
        <v>915</v>
      </c>
      <c r="AK459" s="3" t="s">
        <v>915</v>
      </c>
      <c r="AL459" s="3" t="s">
        <v>917</v>
      </c>
    </row>
    <row r="460" spans="1:38" x14ac:dyDescent="0.25">
      <c r="A460" t="s">
        <v>1313</v>
      </c>
      <c r="B460" s="7">
        <v>45933</v>
      </c>
      <c r="C460" s="7" t="s">
        <v>843</v>
      </c>
      <c r="D460" s="4">
        <v>0.92986111111111114</v>
      </c>
      <c r="F460" s="3" t="s">
        <v>24</v>
      </c>
      <c r="G460" s="3" t="s">
        <v>20</v>
      </c>
      <c r="H460" s="9">
        <v>41.350900000000003</v>
      </c>
      <c r="I460" s="9">
        <v>2.4413</v>
      </c>
      <c r="J460" s="3">
        <v>4</v>
      </c>
      <c r="K460" s="3">
        <v>4</v>
      </c>
      <c r="L460" s="3">
        <v>0</v>
      </c>
      <c r="M460" s="3">
        <v>0</v>
      </c>
      <c r="N460" s="3" t="s">
        <v>16</v>
      </c>
      <c r="O460" s="3">
        <v>0</v>
      </c>
      <c r="P460" s="3">
        <v>2</v>
      </c>
      <c r="Q460" s="3">
        <v>2</v>
      </c>
      <c r="R460" s="3">
        <v>4</v>
      </c>
      <c r="S460" s="3">
        <v>0</v>
      </c>
      <c r="T460" s="3">
        <v>0</v>
      </c>
      <c r="U460" s="3">
        <v>0</v>
      </c>
      <c r="V460" s="3">
        <v>0</v>
      </c>
      <c r="W460" s="3" t="s">
        <v>6</v>
      </c>
      <c r="X460" s="3">
        <v>1</v>
      </c>
      <c r="Y460" s="3">
        <v>0</v>
      </c>
      <c r="Z460" s="3">
        <v>0</v>
      </c>
      <c r="AA460" s="3">
        <v>0</v>
      </c>
      <c r="AB460" s="3">
        <v>0</v>
      </c>
      <c r="AC460" s="3">
        <v>0</v>
      </c>
      <c r="AD460" s="3">
        <v>0</v>
      </c>
      <c r="AE460" s="3">
        <v>0</v>
      </c>
      <c r="AF460" s="3">
        <v>1</v>
      </c>
      <c r="AG460" s="3">
        <v>0</v>
      </c>
      <c r="AH460" s="3" t="s">
        <v>577</v>
      </c>
      <c r="AI460" s="3" t="s">
        <v>915</v>
      </c>
      <c r="AK460" s="3" t="s">
        <v>915</v>
      </c>
      <c r="AL460" s="3" t="s">
        <v>918</v>
      </c>
    </row>
    <row r="461" spans="1:38" x14ac:dyDescent="0.25">
      <c r="A461" t="s">
        <v>1448</v>
      </c>
      <c r="B461" s="7">
        <v>45999</v>
      </c>
      <c r="C461" s="7" t="s">
        <v>841</v>
      </c>
      <c r="D461" s="3" t="s">
        <v>6</v>
      </c>
      <c r="E461" s="3" t="s">
        <v>1450</v>
      </c>
      <c r="F461" s="3" t="s">
        <v>25</v>
      </c>
      <c r="G461" s="3" t="s">
        <v>19</v>
      </c>
      <c r="H461" s="9">
        <v>37.966658889945201</v>
      </c>
      <c r="I461" s="9">
        <v>-0.69832829937313001</v>
      </c>
      <c r="J461" s="3">
        <v>1</v>
      </c>
      <c r="K461" s="3">
        <v>1</v>
      </c>
      <c r="L461" s="3">
        <v>0</v>
      </c>
      <c r="M461" s="3">
        <v>0</v>
      </c>
      <c r="N461" s="3" t="s">
        <v>16</v>
      </c>
      <c r="O461" s="3">
        <v>0</v>
      </c>
      <c r="P461" s="3">
        <v>1</v>
      </c>
      <c r="Q461" s="3">
        <v>0</v>
      </c>
      <c r="R461" s="3">
        <v>1</v>
      </c>
      <c r="S461" s="3">
        <v>0</v>
      </c>
      <c r="T461" s="3">
        <v>0</v>
      </c>
      <c r="U461" s="3">
        <v>0</v>
      </c>
      <c r="V461" s="3">
        <v>0</v>
      </c>
      <c r="W461" s="3" t="s">
        <v>6</v>
      </c>
      <c r="X461" s="3">
        <v>0</v>
      </c>
      <c r="Y461" s="3">
        <v>0</v>
      </c>
      <c r="Z461" s="3">
        <v>0</v>
      </c>
      <c r="AA461" s="3">
        <v>0</v>
      </c>
      <c r="AB461" s="3">
        <v>0</v>
      </c>
      <c r="AC461" s="3">
        <v>0</v>
      </c>
      <c r="AD461" s="3">
        <v>0</v>
      </c>
      <c r="AE461" s="3">
        <v>0</v>
      </c>
      <c r="AF461" s="3">
        <v>0</v>
      </c>
      <c r="AG461" s="3">
        <v>0</v>
      </c>
      <c r="AH461" s="3" t="s">
        <v>17</v>
      </c>
      <c r="AI461" s="3" t="s">
        <v>780</v>
      </c>
      <c r="AK461" s="3" t="s">
        <v>1449</v>
      </c>
      <c r="AL461" s="3" t="s">
        <v>1451</v>
      </c>
    </row>
  </sheetData>
  <autoFilter ref="A1:AM461" xr:uid="{9A449185-895A-4FE8-A11F-095CC799DA3A}">
    <sortState xmlns:xlrd2="http://schemas.microsoft.com/office/spreadsheetml/2017/richdata2" ref="A2:AM459">
      <sortCondition ref="A1:A459"/>
    </sortState>
  </autoFilter>
  <sortState xmlns:xlrd2="http://schemas.microsoft.com/office/spreadsheetml/2017/richdata2" ref="A2:AM461">
    <sortCondition ref="B2:B461"/>
  </sortState>
  <phoneticPr fontId="9"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C4E9E-79D8-4E35-90AF-9D99F85E2FB9}">
  <dimension ref="B2:G2"/>
  <sheetViews>
    <sheetView topLeftCell="A13" zoomScaleNormal="100" workbookViewId="0">
      <selection activeCell="H28" sqref="H28"/>
    </sheetView>
  </sheetViews>
  <sheetFormatPr baseColWidth="10" defaultRowHeight="15" x14ac:dyDescent="0.25"/>
  <sheetData>
    <row r="2" spans="2:7" ht="18.75" x14ac:dyDescent="0.3">
      <c r="B2" s="64" t="s">
        <v>1415</v>
      </c>
      <c r="C2" s="65"/>
      <c r="D2" s="65"/>
      <c r="E2" s="65"/>
      <c r="F2" s="65"/>
      <c r="G2" s="65"/>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E8452-AE9C-4322-874B-720AD5518167}">
  <dimension ref="A1:AW453"/>
  <sheetViews>
    <sheetView zoomScale="110" zoomScaleNormal="110" workbookViewId="0">
      <pane ySplit="1" topLeftCell="A281" activePane="bottomLeft" state="frozen"/>
      <selection pane="bottomLeft" activeCell="A292" sqref="A292"/>
    </sheetView>
  </sheetViews>
  <sheetFormatPr baseColWidth="10" defaultRowHeight="15" x14ac:dyDescent="0.25"/>
  <cols>
    <col min="1" max="1" width="13.7109375" bestFit="1" customWidth="1"/>
    <col min="2" max="2" width="11.5703125" style="7"/>
    <col min="3" max="3" width="10.28515625" style="7" bestFit="1" customWidth="1"/>
    <col min="4" max="4" width="7.28515625" style="3" bestFit="1" customWidth="1"/>
    <col min="5" max="5" width="21.7109375" style="3" bestFit="1" customWidth="1"/>
    <col min="6" max="6" width="12.42578125" style="3" bestFit="1" customWidth="1"/>
    <col min="7" max="7" width="20.5703125" style="3" bestFit="1" customWidth="1"/>
    <col min="8" max="8" width="10.5703125" style="9" bestFit="1" customWidth="1"/>
    <col min="9" max="9" width="10.140625" style="9" bestFit="1" customWidth="1"/>
    <col min="10" max="10" width="6.7109375" style="3" bestFit="1" customWidth="1"/>
    <col min="11" max="11" width="6.85546875" style="3" bestFit="1" customWidth="1"/>
    <col min="12" max="12" width="9.42578125" style="3" bestFit="1" customWidth="1"/>
    <col min="13" max="13" width="5.42578125" style="3" bestFit="1" customWidth="1"/>
    <col min="14" max="14" width="9.42578125" style="3" bestFit="1" customWidth="1"/>
    <col min="15" max="15" width="11.28515625" style="3" bestFit="1" customWidth="1"/>
    <col min="16" max="16" width="10.7109375" style="3" bestFit="1" customWidth="1"/>
    <col min="17" max="17" width="11.7109375" style="3" bestFit="1" customWidth="1"/>
    <col min="18" max="18" width="12.28515625" style="3" bestFit="1" customWidth="1"/>
    <col min="19" max="19" width="11.7109375" style="3" bestFit="1" customWidth="1"/>
    <col min="20" max="20" width="12.7109375" style="3" bestFit="1" customWidth="1"/>
    <col min="21" max="21" width="10.28515625" style="3" bestFit="1" customWidth="1"/>
    <col min="22" max="22" width="8.5703125" style="3" bestFit="1" customWidth="1"/>
    <col min="23" max="24" width="9.5703125" style="3" bestFit="1" customWidth="1"/>
    <col min="25" max="25" width="8" style="3" bestFit="1" customWidth="1"/>
    <col min="26" max="26" width="11.5703125" style="3" bestFit="1" customWidth="1"/>
    <col min="27" max="27" width="9.7109375" style="3" bestFit="1" customWidth="1"/>
    <col min="28" max="29" width="10.7109375" style="3" bestFit="1" customWidth="1"/>
    <col min="30" max="30" width="9.140625" style="3" bestFit="1" customWidth="1"/>
    <col min="31" max="31" width="6.28515625" style="3" bestFit="1" customWidth="1"/>
    <col min="32" max="32" width="11.7109375" style="3" bestFit="1" customWidth="1"/>
    <col min="33" max="34" width="9.28515625" style="3" bestFit="1" customWidth="1"/>
    <col min="35" max="35" width="10.7109375" style="3" bestFit="1" customWidth="1"/>
    <col min="36" max="36" width="8.140625" style="3" bestFit="1" customWidth="1"/>
    <col min="37" max="37" width="6.85546875" style="3" bestFit="1" customWidth="1"/>
    <col min="38" max="39" width="8" style="3" customWidth="1"/>
    <col min="40" max="40" width="6.85546875" style="3" bestFit="1" customWidth="1"/>
    <col min="41" max="41" width="11.5703125" style="3" bestFit="1" customWidth="1"/>
    <col min="42" max="42" width="12.85546875" style="3" bestFit="1" customWidth="1"/>
    <col min="43" max="43" width="10.140625" style="3" bestFit="1" customWidth="1"/>
    <col min="44" max="44" width="13.5703125" style="3" bestFit="1" customWidth="1"/>
    <col min="45" max="45" width="14" style="3" customWidth="1"/>
    <col min="46" max="46" width="10.140625" style="3" bestFit="1" customWidth="1"/>
    <col min="47" max="47" width="6.28515625" style="3" customWidth="1"/>
    <col min="48" max="48" width="24.85546875" style="3" customWidth="1"/>
  </cols>
  <sheetData>
    <row r="1" spans="1:49" s="1" customFormat="1" ht="15.75" thickBot="1" x14ac:dyDescent="0.3">
      <c r="A1" s="1" t="s">
        <v>1413</v>
      </c>
      <c r="B1" s="1" t="s">
        <v>0</v>
      </c>
      <c r="C1" s="1" t="s">
        <v>840</v>
      </c>
      <c r="D1" s="2" t="s">
        <v>1</v>
      </c>
      <c r="E1" s="2" t="s">
        <v>2</v>
      </c>
      <c r="F1" s="2" t="s">
        <v>3</v>
      </c>
      <c r="G1" s="2" t="s">
        <v>845</v>
      </c>
      <c r="H1" s="2" t="s">
        <v>9</v>
      </c>
      <c r="I1" s="2" t="s">
        <v>10</v>
      </c>
      <c r="J1" s="2" t="s">
        <v>925</v>
      </c>
      <c r="K1" s="53" t="s">
        <v>5</v>
      </c>
      <c r="L1" s="53" t="s">
        <v>28</v>
      </c>
      <c r="M1" s="53" t="s">
        <v>6</v>
      </c>
      <c r="N1" s="56" t="s">
        <v>13</v>
      </c>
      <c r="O1" s="54" t="s">
        <v>939</v>
      </c>
      <c r="P1" s="54" t="s">
        <v>940</v>
      </c>
      <c r="Q1" s="54" t="s">
        <v>941</v>
      </c>
      <c r="R1" s="54" t="s">
        <v>936</v>
      </c>
      <c r="S1" s="54" t="s">
        <v>937</v>
      </c>
      <c r="T1" s="54" t="s">
        <v>938</v>
      </c>
      <c r="U1" s="55" t="s">
        <v>942</v>
      </c>
      <c r="V1" s="55" t="s">
        <v>943</v>
      </c>
      <c r="W1" s="55" t="s">
        <v>944</v>
      </c>
      <c r="X1" s="55" t="s">
        <v>945</v>
      </c>
      <c r="Y1" s="55" t="s">
        <v>946</v>
      </c>
      <c r="Z1" s="55" t="s">
        <v>947</v>
      </c>
      <c r="AA1" s="55" t="s">
        <v>948</v>
      </c>
      <c r="AB1" s="55" t="s">
        <v>949</v>
      </c>
      <c r="AC1" s="55" t="s">
        <v>950</v>
      </c>
      <c r="AD1" s="55" t="s">
        <v>951</v>
      </c>
      <c r="AE1" s="58" t="s">
        <v>7</v>
      </c>
      <c r="AF1" s="56" t="s">
        <v>933</v>
      </c>
      <c r="AG1" s="56" t="s">
        <v>928</v>
      </c>
      <c r="AH1" s="56" t="s">
        <v>926</v>
      </c>
      <c r="AI1" s="56" t="s">
        <v>927</v>
      </c>
      <c r="AJ1" s="56" t="s">
        <v>1432</v>
      </c>
      <c r="AK1" s="56" t="s">
        <v>929</v>
      </c>
      <c r="AL1" s="56" t="s">
        <v>1431</v>
      </c>
      <c r="AM1" s="56" t="s">
        <v>551</v>
      </c>
      <c r="AN1" s="56" t="s">
        <v>930</v>
      </c>
      <c r="AO1" s="56" t="s">
        <v>931</v>
      </c>
      <c r="AP1" s="56" t="s">
        <v>1416</v>
      </c>
      <c r="AQ1" s="56" t="s">
        <v>932</v>
      </c>
      <c r="AR1" s="56" t="s">
        <v>935</v>
      </c>
      <c r="AS1" s="2" t="s">
        <v>782</v>
      </c>
      <c r="AT1" s="2" t="s">
        <v>11</v>
      </c>
      <c r="AU1" s="2" t="s">
        <v>12</v>
      </c>
      <c r="AV1" s="2" t="s">
        <v>934</v>
      </c>
    </row>
    <row r="2" spans="1:49" x14ac:dyDescent="0.25">
      <c r="A2" t="s">
        <v>1314</v>
      </c>
      <c r="B2" s="7">
        <v>45810</v>
      </c>
      <c r="C2" s="7" t="s">
        <v>844</v>
      </c>
      <c r="D2" s="4" t="s">
        <v>6</v>
      </c>
      <c r="E2" s="3" t="s">
        <v>15</v>
      </c>
      <c r="F2" s="3" t="s">
        <v>8</v>
      </c>
      <c r="G2" s="3" t="s">
        <v>8</v>
      </c>
      <c r="H2" s="9">
        <v>38.913876715728598</v>
      </c>
      <c r="I2" s="9">
        <v>1.2235663082200701</v>
      </c>
      <c r="J2" s="3">
        <v>1</v>
      </c>
      <c r="K2" s="3">
        <v>1</v>
      </c>
      <c r="L2" s="3">
        <v>0</v>
      </c>
      <c r="M2" s="3">
        <v>0</v>
      </c>
      <c r="N2" s="3" t="s">
        <v>16</v>
      </c>
      <c r="O2" s="3">
        <v>0</v>
      </c>
      <c r="P2" s="3">
        <v>0</v>
      </c>
      <c r="Q2" s="3">
        <v>0</v>
      </c>
      <c r="R2" s="3">
        <v>0</v>
      </c>
      <c r="S2" s="3">
        <v>0</v>
      </c>
      <c r="T2" s="3">
        <v>1</v>
      </c>
      <c r="U2" s="3">
        <v>0</v>
      </c>
      <c r="V2" s="3">
        <v>0</v>
      </c>
      <c r="W2" s="3">
        <v>0</v>
      </c>
      <c r="X2" s="3">
        <v>0</v>
      </c>
      <c r="Y2" s="3">
        <v>0</v>
      </c>
      <c r="Z2" s="3">
        <v>0</v>
      </c>
      <c r="AA2" s="3">
        <v>0</v>
      </c>
      <c r="AB2" s="3">
        <v>0</v>
      </c>
      <c r="AC2" s="3">
        <v>0</v>
      </c>
      <c r="AD2" s="3">
        <v>1</v>
      </c>
      <c r="AE2" s="3" t="s">
        <v>6</v>
      </c>
      <c r="AF2" s="3" t="s">
        <v>1433</v>
      </c>
      <c r="AS2" s="3" t="s">
        <v>17</v>
      </c>
      <c r="AT2" s="3" t="s">
        <v>776</v>
      </c>
      <c r="AU2" s="3" t="s">
        <v>14</v>
      </c>
      <c r="AV2" s="3" t="s">
        <v>18</v>
      </c>
    </row>
    <row r="3" spans="1:49" x14ac:dyDescent="0.25">
      <c r="A3" t="s">
        <v>1315</v>
      </c>
      <c r="B3" s="7">
        <v>45511</v>
      </c>
      <c r="C3" s="7" t="s">
        <v>844</v>
      </c>
      <c r="D3" s="5">
        <v>0.46319444444444446</v>
      </c>
      <c r="E3" s="3" t="s">
        <v>284</v>
      </c>
      <c r="F3" s="3" t="s">
        <v>25</v>
      </c>
      <c r="G3" s="3" t="s">
        <v>19</v>
      </c>
      <c r="H3" s="9">
        <v>38.664443352017699</v>
      </c>
      <c r="I3" s="9">
        <v>0.16454547980540901</v>
      </c>
      <c r="J3" s="3">
        <v>1</v>
      </c>
      <c r="K3" s="3">
        <v>1</v>
      </c>
      <c r="L3" s="3">
        <v>0</v>
      </c>
      <c r="M3" s="3">
        <v>0</v>
      </c>
      <c r="N3" s="3" t="s">
        <v>66</v>
      </c>
      <c r="O3" s="3">
        <v>0</v>
      </c>
      <c r="P3" s="3">
        <v>1</v>
      </c>
      <c r="Q3" s="3">
        <v>0</v>
      </c>
      <c r="R3" s="3">
        <v>0</v>
      </c>
      <c r="S3" s="3">
        <v>0</v>
      </c>
      <c r="T3" s="3">
        <v>0</v>
      </c>
      <c r="U3" s="3">
        <v>1</v>
      </c>
      <c r="V3" s="3">
        <v>0</v>
      </c>
      <c r="W3" s="3">
        <v>0</v>
      </c>
      <c r="X3" s="3">
        <v>0</v>
      </c>
      <c r="Y3" s="3">
        <v>0</v>
      </c>
      <c r="Z3" s="3">
        <v>0</v>
      </c>
      <c r="AA3" s="3">
        <v>0</v>
      </c>
      <c r="AB3" s="3">
        <v>0</v>
      </c>
      <c r="AC3" s="3">
        <v>0</v>
      </c>
      <c r="AD3" s="3">
        <v>0</v>
      </c>
      <c r="AE3" s="3" t="s">
        <v>6</v>
      </c>
      <c r="AF3" s="3">
        <f>SUM(AH3:AL3)</f>
        <v>0</v>
      </c>
      <c r="AS3" s="3" t="s">
        <v>775</v>
      </c>
      <c r="AT3" s="3" t="s">
        <v>80</v>
      </c>
      <c r="AU3" t="s">
        <v>262</v>
      </c>
      <c r="AV3" s="3" t="s">
        <v>283</v>
      </c>
      <c r="AW3" t="s">
        <v>22</v>
      </c>
    </row>
    <row r="4" spans="1:49" x14ac:dyDescent="0.25">
      <c r="A4" t="s">
        <v>1316</v>
      </c>
      <c r="B4" s="7">
        <v>45517</v>
      </c>
      <c r="C4" s="7" t="s">
        <v>844</v>
      </c>
      <c r="D4" s="5">
        <v>0.59791666666666665</v>
      </c>
      <c r="E4" s="3" t="s">
        <v>44</v>
      </c>
      <c r="F4" s="3" t="s">
        <v>24</v>
      </c>
      <c r="G4" s="3" t="s">
        <v>20</v>
      </c>
      <c r="H4" s="9">
        <v>41.259323000000002</v>
      </c>
      <c r="I4" s="9">
        <v>1.925179</v>
      </c>
      <c r="J4" s="3">
        <v>1</v>
      </c>
      <c r="K4" s="3">
        <v>1</v>
      </c>
      <c r="L4" s="3">
        <v>0</v>
      </c>
      <c r="M4" s="3">
        <v>0</v>
      </c>
      <c r="N4" s="3" t="s">
        <v>66</v>
      </c>
      <c r="O4" s="3">
        <v>0</v>
      </c>
      <c r="P4" s="3">
        <v>1</v>
      </c>
      <c r="Q4" s="3">
        <v>0</v>
      </c>
      <c r="R4" s="3">
        <v>0</v>
      </c>
      <c r="S4" s="3">
        <v>0</v>
      </c>
      <c r="T4" s="3">
        <v>0</v>
      </c>
      <c r="U4" s="3">
        <v>1</v>
      </c>
      <c r="V4" s="3">
        <v>0</v>
      </c>
      <c r="W4" s="3">
        <v>0</v>
      </c>
      <c r="X4" s="3">
        <v>0</v>
      </c>
      <c r="Y4" s="3">
        <v>0</v>
      </c>
      <c r="Z4" s="3">
        <v>0</v>
      </c>
      <c r="AA4" s="3">
        <v>0</v>
      </c>
      <c r="AB4" s="3">
        <v>0</v>
      </c>
      <c r="AC4" s="3">
        <v>0</v>
      </c>
      <c r="AD4" s="3">
        <v>0</v>
      </c>
      <c r="AE4" s="3" t="s">
        <v>6</v>
      </c>
      <c r="AF4" s="3">
        <f>SUM(AH4:AL4)</f>
        <v>0</v>
      </c>
      <c r="AS4" s="3" t="s">
        <v>775</v>
      </c>
      <c r="AT4" s="3" t="s">
        <v>80</v>
      </c>
      <c r="AU4" t="s">
        <v>263</v>
      </c>
      <c r="AV4" s="3" t="s">
        <v>285</v>
      </c>
      <c r="AW4" t="s">
        <v>22</v>
      </c>
    </row>
    <row r="5" spans="1:49" x14ac:dyDescent="0.25">
      <c r="A5" t="s">
        <v>1317</v>
      </c>
      <c r="B5" s="7">
        <v>45516</v>
      </c>
      <c r="C5" s="7" t="s">
        <v>844</v>
      </c>
      <c r="D5" s="5">
        <v>0.58680555555555558</v>
      </c>
      <c r="E5" s="3" t="s">
        <v>45</v>
      </c>
      <c r="F5" s="3" t="s">
        <v>24</v>
      </c>
      <c r="G5" s="3" t="s">
        <v>20</v>
      </c>
      <c r="H5" s="9">
        <v>41.507573000000001</v>
      </c>
      <c r="I5" s="9">
        <v>2.41472</v>
      </c>
      <c r="J5" s="3">
        <v>1</v>
      </c>
      <c r="K5" s="3">
        <v>1</v>
      </c>
      <c r="L5" s="3">
        <v>0</v>
      </c>
      <c r="M5" s="3">
        <v>0</v>
      </c>
      <c r="N5" s="3" t="s">
        <v>66</v>
      </c>
      <c r="O5" s="3">
        <v>0</v>
      </c>
      <c r="P5" s="3">
        <v>1</v>
      </c>
      <c r="Q5" s="3">
        <v>0</v>
      </c>
      <c r="R5" s="3">
        <v>0</v>
      </c>
      <c r="S5" s="3">
        <v>0</v>
      </c>
      <c r="T5" s="3">
        <v>0</v>
      </c>
      <c r="U5" s="3">
        <v>0</v>
      </c>
      <c r="V5" s="3">
        <v>0</v>
      </c>
      <c r="W5" s="3">
        <v>0</v>
      </c>
      <c r="X5" s="3">
        <v>0</v>
      </c>
      <c r="Y5" s="3">
        <v>1</v>
      </c>
      <c r="Z5" s="3">
        <v>0</v>
      </c>
      <c r="AA5" s="3">
        <v>0</v>
      </c>
      <c r="AB5" s="3">
        <v>0</v>
      </c>
      <c r="AC5" s="3">
        <v>0</v>
      </c>
      <c r="AD5" s="3">
        <v>0</v>
      </c>
      <c r="AE5" s="3" t="s">
        <v>6</v>
      </c>
      <c r="AF5" s="3">
        <f>SUM(AH5:AL5)</f>
        <v>0</v>
      </c>
      <c r="AS5" s="3" t="s">
        <v>775</v>
      </c>
      <c r="AT5" s="3" t="s">
        <v>80</v>
      </c>
      <c r="AU5" t="s">
        <v>264</v>
      </c>
      <c r="AV5" s="3" t="s">
        <v>286</v>
      </c>
      <c r="AW5" t="s">
        <v>22</v>
      </c>
    </row>
    <row r="6" spans="1:49" x14ac:dyDescent="0.25">
      <c r="A6" t="s">
        <v>1319</v>
      </c>
      <c r="B6" s="7">
        <v>45494</v>
      </c>
      <c r="C6" s="7" t="s">
        <v>844</v>
      </c>
      <c r="D6" s="5">
        <v>0.49652777777777779</v>
      </c>
      <c r="E6" s="3" t="s">
        <v>46</v>
      </c>
      <c r="F6" s="3" t="s">
        <v>47</v>
      </c>
      <c r="G6" s="3" t="s">
        <v>21</v>
      </c>
      <c r="H6" s="9">
        <v>37.172542</v>
      </c>
      <c r="I6" s="9">
        <v>-1.8215859999999999</v>
      </c>
      <c r="J6" s="3">
        <v>1</v>
      </c>
      <c r="K6" s="3">
        <v>1</v>
      </c>
      <c r="L6" s="3">
        <v>0</v>
      </c>
      <c r="M6" s="3">
        <v>0</v>
      </c>
      <c r="N6" s="3" t="s">
        <v>66</v>
      </c>
      <c r="O6" s="3">
        <v>0</v>
      </c>
      <c r="P6" s="3">
        <v>1</v>
      </c>
      <c r="Q6" s="3">
        <v>0</v>
      </c>
      <c r="R6" s="3">
        <v>0</v>
      </c>
      <c r="S6" s="3">
        <v>0</v>
      </c>
      <c r="T6" s="3">
        <v>0</v>
      </c>
      <c r="U6" s="3">
        <v>1</v>
      </c>
      <c r="V6" s="3">
        <v>0</v>
      </c>
      <c r="W6" s="3">
        <v>0</v>
      </c>
      <c r="X6" s="3">
        <v>0</v>
      </c>
      <c r="Y6" s="3">
        <v>0</v>
      </c>
      <c r="Z6" s="3">
        <v>0</v>
      </c>
      <c r="AA6" s="3">
        <v>0</v>
      </c>
      <c r="AB6" s="3">
        <v>0</v>
      </c>
      <c r="AC6" s="3">
        <v>0</v>
      </c>
      <c r="AD6" s="3">
        <v>0</v>
      </c>
      <c r="AE6" s="3" t="s">
        <v>6</v>
      </c>
      <c r="AF6" s="3">
        <f>SUM(AH6:AL6)</f>
        <v>0</v>
      </c>
      <c r="AS6" s="3" t="s">
        <v>775</v>
      </c>
      <c r="AT6" s="3" t="s">
        <v>80</v>
      </c>
      <c r="AU6" t="s">
        <v>266</v>
      </c>
      <c r="AV6" s="3" t="s">
        <v>30</v>
      </c>
    </row>
    <row r="7" spans="1:49" x14ac:dyDescent="0.25">
      <c r="A7" t="s">
        <v>1320</v>
      </c>
      <c r="B7" s="7">
        <v>45492</v>
      </c>
      <c r="C7" s="7" t="s">
        <v>844</v>
      </c>
      <c r="D7" s="5">
        <v>0.66041666666666665</v>
      </c>
      <c r="E7" s="3" t="s">
        <v>48</v>
      </c>
      <c r="F7" s="3" t="s">
        <v>25</v>
      </c>
      <c r="G7" s="3" t="s">
        <v>19</v>
      </c>
      <c r="H7" s="9">
        <v>38.077838999999997</v>
      </c>
      <c r="I7" s="9">
        <v>-0.647482</v>
      </c>
      <c r="J7" s="3">
        <v>1</v>
      </c>
      <c r="K7" s="3">
        <v>1</v>
      </c>
      <c r="L7" s="3">
        <v>0</v>
      </c>
      <c r="M7" s="3">
        <v>0</v>
      </c>
      <c r="N7" s="3" t="s">
        <v>16</v>
      </c>
      <c r="O7" s="3">
        <v>0</v>
      </c>
      <c r="P7" s="3">
        <v>0</v>
      </c>
      <c r="Q7" s="3">
        <v>0</v>
      </c>
      <c r="R7" s="3">
        <v>0</v>
      </c>
      <c r="S7" s="3">
        <v>0</v>
      </c>
      <c r="T7" s="3">
        <v>1</v>
      </c>
      <c r="U7" s="3">
        <v>0</v>
      </c>
      <c r="V7" s="3">
        <v>0</v>
      </c>
      <c r="W7" s="3">
        <v>0</v>
      </c>
      <c r="X7" s="3">
        <v>0</v>
      </c>
      <c r="Y7" s="3">
        <v>0</v>
      </c>
      <c r="Z7" s="3">
        <v>0</v>
      </c>
      <c r="AA7" s="3">
        <v>0</v>
      </c>
      <c r="AB7" s="3">
        <v>0</v>
      </c>
      <c r="AC7" s="3">
        <v>0</v>
      </c>
      <c r="AD7" s="3">
        <v>1</v>
      </c>
      <c r="AE7" s="3" t="s">
        <v>6</v>
      </c>
      <c r="AF7" s="3" t="s">
        <v>1433</v>
      </c>
      <c r="AS7" s="3" t="s">
        <v>775</v>
      </c>
      <c r="AT7" s="3" t="s">
        <v>80</v>
      </c>
      <c r="AU7" t="s">
        <v>267</v>
      </c>
      <c r="AV7" s="3" t="s">
        <v>249</v>
      </c>
      <c r="AW7" t="s">
        <v>22</v>
      </c>
    </row>
    <row r="8" spans="1:49" x14ac:dyDescent="0.25">
      <c r="A8" t="s">
        <v>1324</v>
      </c>
      <c r="B8" s="7">
        <v>43672</v>
      </c>
      <c r="C8" s="7" t="s">
        <v>844</v>
      </c>
      <c r="D8" s="5" t="s">
        <v>6</v>
      </c>
      <c r="E8" s="3" t="s">
        <v>52</v>
      </c>
      <c r="F8" s="3" t="s">
        <v>23</v>
      </c>
      <c r="G8" s="3" t="s">
        <v>23</v>
      </c>
      <c r="H8" s="9">
        <v>37.561861</v>
      </c>
      <c r="I8" s="9">
        <v>-1.1194470000000001</v>
      </c>
      <c r="J8" s="3">
        <v>1</v>
      </c>
      <c r="K8" s="3">
        <v>1</v>
      </c>
      <c r="L8" s="3">
        <v>0</v>
      </c>
      <c r="M8" s="3">
        <v>0</v>
      </c>
      <c r="N8" s="3" t="s">
        <v>66</v>
      </c>
      <c r="O8" s="3">
        <v>0</v>
      </c>
      <c r="P8" s="3">
        <v>1</v>
      </c>
      <c r="Q8" s="3">
        <v>0</v>
      </c>
      <c r="R8" s="3">
        <v>0</v>
      </c>
      <c r="S8" s="3">
        <v>0</v>
      </c>
      <c r="T8" s="3">
        <v>0</v>
      </c>
      <c r="U8" s="3">
        <v>1</v>
      </c>
      <c r="V8" s="3">
        <v>0</v>
      </c>
      <c r="W8" s="3">
        <v>0</v>
      </c>
      <c r="X8" s="3">
        <v>0</v>
      </c>
      <c r="Y8" s="3">
        <v>0</v>
      </c>
      <c r="Z8" s="3">
        <v>0</v>
      </c>
      <c r="AA8" s="3">
        <v>0</v>
      </c>
      <c r="AB8" s="3">
        <v>0</v>
      </c>
      <c r="AC8" s="3">
        <v>0</v>
      </c>
      <c r="AD8" s="3">
        <v>0</v>
      </c>
      <c r="AE8" s="3" t="s">
        <v>6</v>
      </c>
      <c r="AF8" s="3">
        <f>SUM(AH8:AL8)</f>
        <v>0</v>
      </c>
      <c r="AS8" s="3" t="s">
        <v>775</v>
      </c>
      <c r="AT8" s="3" t="s">
        <v>80</v>
      </c>
      <c r="AU8" t="s">
        <v>910</v>
      </c>
      <c r="AV8" s="3" t="s">
        <v>22</v>
      </c>
      <c r="AW8" t="s">
        <v>22</v>
      </c>
    </row>
    <row r="9" spans="1:49" x14ac:dyDescent="0.25">
      <c r="A9" t="s">
        <v>1325</v>
      </c>
      <c r="B9" s="7">
        <v>41508</v>
      </c>
      <c r="C9" s="7" t="s">
        <v>844</v>
      </c>
      <c r="D9" s="5" t="s">
        <v>6</v>
      </c>
      <c r="E9" s="3" t="s">
        <v>53</v>
      </c>
      <c r="F9" s="3" t="s">
        <v>8</v>
      </c>
      <c r="G9" s="3" t="s">
        <v>8</v>
      </c>
      <c r="H9" s="9">
        <v>39.322646292098398</v>
      </c>
      <c r="I9" s="9">
        <v>3.14626308090426</v>
      </c>
      <c r="J9" s="3">
        <v>1</v>
      </c>
      <c r="K9" s="3">
        <v>0</v>
      </c>
      <c r="L9" s="3">
        <v>0</v>
      </c>
      <c r="M9" s="3">
        <v>1</v>
      </c>
      <c r="N9" s="3" t="s">
        <v>16</v>
      </c>
      <c r="O9" s="3">
        <v>0</v>
      </c>
      <c r="P9" s="3">
        <v>0</v>
      </c>
      <c r="Q9" s="3">
        <v>0</v>
      </c>
      <c r="R9" s="3">
        <v>0</v>
      </c>
      <c r="S9" s="3">
        <v>1</v>
      </c>
      <c r="T9" s="3">
        <v>0</v>
      </c>
      <c r="U9" s="3">
        <v>0</v>
      </c>
      <c r="V9" s="3">
        <v>0</v>
      </c>
      <c r="W9" s="3">
        <v>0</v>
      </c>
      <c r="X9" s="3">
        <v>0</v>
      </c>
      <c r="Y9" s="3">
        <v>0</v>
      </c>
      <c r="Z9" s="3">
        <v>1</v>
      </c>
      <c r="AA9" s="3">
        <v>0</v>
      </c>
      <c r="AB9" s="3">
        <v>0</v>
      </c>
      <c r="AC9" s="3">
        <v>0</v>
      </c>
      <c r="AD9" s="3">
        <v>0</v>
      </c>
      <c r="AE9" s="3" t="s">
        <v>6</v>
      </c>
      <c r="AF9" s="3" t="s">
        <v>1433</v>
      </c>
      <c r="AS9" s="3" t="s">
        <v>775</v>
      </c>
      <c r="AT9" s="3" t="s">
        <v>80</v>
      </c>
      <c r="AU9" t="s">
        <v>911</v>
      </c>
      <c r="AV9" s="3" t="s">
        <v>22</v>
      </c>
    </row>
    <row r="10" spans="1:49" x14ac:dyDescent="0.25">
      <c r="A10" t="s">
        <v>1329</v>
      </c>
      <c r="B10" s="7">
        <v>44359</v>
      </c>
      <c r="C10" s="7" t="s">
        <v>844</v>
      </c>
      <c r="D10" s="5">
        <v>0.72083333333333333</v>
      </c>
      <c r="E10" s="3" t="s">
        <v>55</v>
      </c>
      <c r="F10" s="3" t="s">
        <v>8</v>
      </c>
      <c r="G10" s="3" t="s">
        <v>8</v>
      </c>
      <c r="H10" s="9">
        <v>39.417119341375802</v>
      </c>
      <c r="I10" s="9">
        <v>3.2616092236702898</v>
      </c>
      <c r="J10" s="3">
        <v>1</v>
      </c>
      <c r="K10" s="3">
        <v>1</v>
      </c>
      <c r="L10" s="3">
        <v>0</v>
      </c>
      <c r="M10" s="3">
        <v>0</v>
      </c>
      <c r="N10" s="3" t="s">
        <v>16</v>
      </c>
      <c r="O10" s="3">
        <v>0</v>
      </c>
      <c r="P10" s="3">
        <v>0</v>
      </c>
      <c r="Q10" s="3">
        <v>0</v>
      </c>
      <c r="R10" s="3">
        <v>0</v>
      </c>
      <c r="S10" s="3">
        <v>0</v>
      </c>
      <c r="T10" s="3">
        <v>1</v>
      </c>
      <c r="U10" s="3">
        <v>0</v>
      </c>
      <c r="V10" s="3">
        <v>0</v>
      </c>
      <c r="W10" s="3">
        <v>0</v>
      </c>
      <c r="X10" s="3">
        <v>0</v>
      </c>
      <c r="Y10" s="3">
        <v>0</v>
      </c>
      <c r="Z10" s="3">
        <v>0</v>
      </c>
      <c r="AA10" s="3">
        <v>0</v>
      </c>
      <c r="AB10" s="3">
        <v>0</v>
      </c>
      <c r="AC10" s="3">
        <v>0</v>
      </c>
      <c r="AD10" s="3">
        <v>1</v>
      </c>
      <c r="AE10" s="3" t="s">
        <v>6</v>
      </c>
      <c r="AF10" s="3" t="s">
        <v>1433</v>
      </c>
      <c r="AS10" s="3" t="s">
        <v>775</v>
      </c>
      <c r="AT10" s="3" t="s">
        <v>80</v>
      </c>
      <c r="AU10" t="s">
        <v>272</v>
      </c>
      <c r="AV10" s="3" t="s">
        <v>760</v>
      </c>
    </row>
    <row r="11" spans="1:49" x14ac:dyDescent="0.25">
      <c r="A11" t="s">
        <v>1330</v>
      </c>
      <c r="B11" s="7">
        <v>44037</v>
      </c>
      <c r="C11" s="7" t="s">
        <v>844</v>
      </c>
      <c r="D11" s="5">
        <v>0.56874999999999998</v>
      </c>
      <c r="E11" s="3" t="s">
        <v>56</v>
      </c>
      <c r="F11" s="3" t="s">
        <v>57</v>
      </c>
      <c r="G11" s="3" t="s">
        <v>21</v>
      </c>
      <c r="H11" s="9">
        <v>36.721260000000001</v>
      </c>
      <c r="I11" s="9">
        <v>-3.7274400000000001</v>
      </c>
      <c r="J11" s="3">
        <v>1</v>
      </c>
      <c r="K11" s="3">
        <v>1</v>
      </c>
      <c r="L11" s="3">
        <v>0</v>
      </c>
      <c r="M11" s="3">
        <v>0</v>
      </c>
      <c r="N11" s="3" t="s">
        <v>16</v>
      </c>
      <c r="O11" s="3">
        <v>0</v>
      </c>
      <c r="P11" s="3">
        <v>0</v>
      </c>
      <c r="Q11" s="3">
        <v>0</v>
      </c>
      <c r="R11" s="3">
        <v>0</v>
      </c>
      <c r="S11" s="3">
        <v>1</v>
      </c>
      <c r="T11" s="3">
        <v>0</v>
      </c>
      <c r="U11" s="3">
        <v>0</v>
      </c>
      <c r="V11" s="3">
        <v>0</v>
      </c>
      <c r="W11" s="3">
        <v>0</v>
      </c>
      <c r="X11" s="3">
        <v>0</v>
      </c>
      <c r="Y11" s="3">
        <v>0</v>
      </c>
      <c r="Z11" s="3">
        <v>0</v>
      </c>
      <c r="AA11" s="3">
        <v>0</v>
      </c>
      <c r="AB11" s="3">
        <v>0</v>
      </c>
      <c r="AC11" s="3">
        <v>0</v>
      </c>
      <c r="AD11" s="3">
        <v>1</v>
      </c>
      <c r="AE11" s="3" t="s">
        <v>6</v>
      </c>
      <c r="AF11" s="3" t="s">
        <v>1433</v>
      </c>
      <c r="AS11" s="3" t="s">
        <v>775</v>
      </c>
      <c r="AT11" s="3" t="s">
        <v>80</v>
      </c>
      <c r="AU11" t="s">
        <v>273</v>
      </c>
      <c r="AV11" s="3" t="s">
        <v>287</v>
      </c>
    </row>
    <row r="12" spans="1:49" x14ac:dyDescent="0.25">
      <c r="A12" t="s">
        <v>1331</v>
      </c>
      <c r="B12" s="7">
        <v>44762</v>
      </c>
      <c r="C12" s="7" t="s">
        <v>844</v>
      </c>
      <c r="D12" s="5">
        <v>0.42152777777777778</v>
      </c>
      <c r="E12" s="3" t="s">
        <v>58</v>
      </c>
      <c r="F12" s="3" t="s">
        <v>59</v>
      </c>
      <c r="G12" s="3" t="s">
        <v>20</v>
      </c>
      <c r="H12" s="9">
        <v>42.386580000000002</v>
      </c>
      <c r="I12" s="9">
        <v>3.164809</v>
      </c>
      <c r="J12" s="3">
        <v>1</v>
      </c>
      <c r="K12" s="3">
        <v>1</v>
      </c>
      <c r="L12" s="3">
        <v>0</v>
      </c>
      <c r="M12" s="3">
        <v>0</v>
      </c>
      <c r="N12" s="3" t="s">
        <v>66</v>
      </c>
      <c r="O12" s="3">
        <v>0</v>
      </c>
      <c r="P12" s="3">
        <v>0</v>
      </c>
      <c r="Q12" s="3">
        <v>1</v>
      </c>
      <c r="R12" s="3">
        <v>0</v>
      </c>
      <c r="S12" s="3">
        <v>0</v>
      </c>
      <c r="T12" s="3">
        <v>0</v>
      </c>
      <c r="U12" s="3">
        <v>0</v>
      </c>
      <c r="V12" s="3">
        <v>0</v>
      </c>
      <c r="W12" s="3">
        <v>0</v>
      </c>
      <c r="X12" s="3">
        <v>0</v>
      </c>
      <c r="Y12" s="3">
        <v>1</v>
      </c>
      <c r="Z12" s="3">
        <v>0</v>
      </c>
      <c r="AA12" s="3">
        <v>0</v>
      </c>
      <c r="AB12" s="3">
        <v>0</v>
      </c>
      <c r="AC12" s="3">
        <v>0</v>
      </c>
      <c r="AD12" s="3">
        <v>0</v>
      </c>
      <c r="AE12" s="3" t="s">
        <v>6</v>
      </c>
      <c r="AF12" s="3">
        <f>SUM(AH12:AL12)</f>
        <v>0</v>
      </c>
      <c r="AS12" s="3" t="s">
        <v>775</v>
      </c>
      <c r="AT12" s="3" t="s">
        <v>80</v>
      </c>
      <c r="AU12" t="s">
        <v>274</v>
      </c>
      <c r="AV12" s="3" t="s">
        <v>22</v>
      </c>
      <c r="AW12" t="s">
        <v>22</v>
      </c>
    </row>
    <row r="13" spans="1:49" x14ac:dyDescent="0.25">
      <c r="A13" t="s">
        <v>1332</v>
      </c>
      <c r="B13" s="7">
        <v>42385</v>
      </c>
      <c r="C13" s="7" t="s">
        <v>841</v>
      </c>
      <c r="D13" s="5">
        <v>0.86041666666666672</v>
      </c>
      <c r="F13" s="3" t="s">
        <v>8</v>
      </c>
      <c r="G13" s="3" t="s">
        <v>8</v>
      </c>
      <c r="H13" s="9">
        <v>38.632002</v>
      </c>
      <c r="I13" s="9">
        <v>0.78200999999999998</v>
      </c>
      <c r="J13" s="3">
        <v>1</v>
      </c>
      <c r="K13" s="3">
        <v>1</v>
      </c>
      <c r="L13" s="3">
        <v>0</v>
      </c>
      <c r="M13" s="3">
        <v>0</v>
      </c>
      <c r="N13" s="3" t="s">
        <v>16</v>
      </c>
      <c r="O13" s="3">
        <v>0</v>
      </c>
      <c r="P13" s="3">
        <v>0</v>
      </c>
      <c r="Q13" s="3">
        <v>0</v>
      </c>
      <c r="R13" s="3">
        <v>0</v>
      </c>
      <c r="S13" s="3">
        <v>0</v>
      </c>
      <c r="T13" s="3">
        <v>1</v>
      </c>
      <c r="U13" s="3">
        <v>0</v>
      </c>
      <c r="V13" s="3">
        <v>0</v>
      </c>
      <c r="W13" s="3">
        <v>0</v>
      </c>
      <c r="X13" s="3">
        <v>0</v>
      </c>
      <c r="Y13" s="3">
        <v>0</v>
      </c>
      <c r="Z13" s="3">
        <v>0</v>
      </c>
      <c r="AA13" s="3">
        <v>0</v>
      </c>
      <c r="AB13" s="3">
        <v>0</v>
      </c>
      <c r="AC13" s="3">
        <v>0</v>
      </c>
      <c r="AD13" s="3">
        <v>1</v>
      </c>
      <c r="AE13" s="3" t="s">
        <v>6</v>
      </c>
      <c r="AF13" s="3" t="s">
        <v>1433</v>
      </c>
      <c r="AS13" s="3" t="s">
        <v>775</v>
      </c>
      <c r="AT13" s="3" t="s">
        <v>80</v>
      </c>
      <c r="AU13"/>
      <c r="AW13" t="s">
        <v>22</v>
      </c>
    </row>
    <row r="14" spans="1:49" x14ac:dyDescent="0.25">
      <c r="A14" t="s">
        <v>1333</v>
      </c>
      <c r="B14" s="7">
        <v>44023</v>
      </c>
      <c r="C14" s="7" t="s">
        <v>844</v>
      </c>
      <c r="D14" s="5" t="s">
        <v>6</v>
      </c>
      <c r="E14" s="3" t="s">
        <v>60</v>
      </c>
      <c r="F14" s="3" t="s">
        <v>8</v>
      </c>
      <c r="G14" s="3" t="s">
        <v>8</v>
      </c>
      <c r="H14" s="9">
        <v>39.597000000000001</v>
      </c>
      <c r="I14" s="9">
        <v>2.3525999999999998</v>
      </c>
      <c r="J14" s="3">
        <v>1</v>
      </c>
      <c r="K14" s="3">
        <v>1</v>
      </c>
      <c r="L14" s="3">
        <v>0</v>
      </c>
      <c r="M14" s="3">
        <v>0</v>
      </c>
      <c r="N14" s="3" t="s">
        <v>66</v>
      </c>
      <c r="O14" s="3">
        <v>0</v>
      </c>
      <c r="P14" s="3">
        <v>0</v>
      </c>
      <c r="Q14" s="3">
        <v>1</v>
      </c>
      <c r="R14" s="3">
        <v>0</v>
      </c>
      <c r="S14" s="3">
        <v>0</v>
      </c>
      <c r="T14" s="3">
        <v>0</v>
      </c>
      <c r="U14" s="3">
        <v>0</v>
      </c>
      <c r="V14" s="3">
        <v>0</v>
      </c>
      <c r="W14" s="3">
        <v>0</v>
      </c>
      <c r="X14" s="3">
        <v>0</v>
      </c>
      <c r="Y14" s="3">
        <v>1</v>
      </c>
      <c r="Z14" s="3">
        <v>0</v>
      </c>
      <c r="AA14" s="3">
        <v>0</v>
      </c>
      <c r="AB14" s="3">
        <v>0</v>
      </c>
      <c r="AC14" s="3">
        <v>0</v>
      </c>
      <c r="AD14" s="3">
        <v>0</v>
      </c>
      <c r="AE14" s="3" t="s">
        <v>6</v>
      </c>
      <c r="AF14" s="3">
        <f>SUM(AH14:AL14)</f>
        <v>0</v>
      </c>
      <c r="AS14" s="3" t="s">
        <v>775</v>
      </c>
      <c r="AT14" s="3" t="s">
        <v>81</v>
      </c>
      <c r="AU14" t="s">
        <v>304</v>
      </c>
      <c r="AV14" s="3" t="s">
        <v>303</v>
      </c>
    </row>
    <row r="15" spans="1:49" x14ac:dyDescent="0.25">
      <c r="A15" t="s">
        <v>1335</v>
      </c>
      <c r="B15" s="7">
        <v>43333</v>
      </c>
      <c r="C15" s="7" t="s">
        <v>844</v>
      </c>
      <c r="D15" s="5" t="s">
        <v>6</v>
      </c>
      <c r="E15" s="3" t="s">
        <v>41</v>
      </c>
      <c r="F15" s="3" t="s">
        <v>25</v>
      </c>
      <c r="G15" s="3" t="s">
        <v>19</v>
      </c>
      <c r="H15" s="9">
        <v>38.258699999999997</v>
      </c>
      <c r="I15" s="9">
        <v>-0.51539999999999997</v>
      </c>
      <c r="J15" s="3">
        <v>1</v>
      </c>
      <c r="K15" s="3">
        <v>1</v>
      </c>
      <c r="L15" s="3">
        <v>0</v>
      </c>
      <c r="M15" s="3">
        <v>0</v>
      </c>
      <c r="N15" s="3" t="s">
        <v>16</v>
      </c>
      <c r="O15" s="3">
        <v>0</v>
      </c>
      <c r="P15" s="3">
        <v>0</v>
      </c>
      <c r="Q15" s="3">
        <v>0</v>
      </c>
      <c r="R15" s="3">
        <v>0</v>
      </c>
      <c r="S15" s="3">
        <v>0</v>
      </c>
      <c r="T15" s="3">
        <v>1</v>
      </c>
      <c r="U15" s="3">
        <v>0</v>
      </c>
      <c r="V15" s="3">
        <v>0</v>
      </c>
      <c r="W15" s="3">
        <v>0</v>
      </c>
      <c r="X15" s="3">
        <v>0</v>
      </c>
      <c r="Y15" s="3">
        <v>0</v>
      </c>
      <c r="Z15" s="3">
        <v>0</v>
      </c>
      <c r="AA15" s="3">
        <v>0</v>
      </c>
      <c r="AB15" s="3">
        <v>0</v>
      </c>
      <c r="AC15" s="3">
        <v>0</v>
      </c>
      <c r="AD15" s="3">
        <v>1</v>
      </c>
      <c r="AE15" s="3" t="s">
        <v>6</v>
      </c>
      <c r="AF15" s="3" t="s">
        <v>1433</v>
      </c>
      <c r="AS15" s="3" t="s">
        <v>775</v>
      </c>
      <c r="AT15" s="3" t="s">
        <v>81</v>
      </c>
      <c r="AU15" t="s">
        <v>297</v>
      </c>
      <c r="AV15" s="3" t="s">
        <v>22</v>
      </c>
    </row>
    <row r="16" spans="1:49" x14ac:dyDescent="0.25">
      <c r="A16" t="s">
        <v>1336</v>
      </c>
      <c r="B16" s="7">
        <v>43317</v>
      </c>
      <c r="C16" s="7" t="s">
        <v>844</v>
      </c>
      <c r="D16" s="5" t="s">
        <v>6</v>
      </c>
      <c r="E16" s="3" t="s">
        <v>62</v>
      </c>
      <c r="F16" s="3" t="s">
        <v>8</v>
      </c>
      <c r="G16" s="3" t="s">
        <v>8</v>
      </c>
      <c r="H16" s="9">
        <v>39.480400000000003</v>
      </c>
      <c r="I16" s="9">
        <v>2.7277</v>
      </c>
      <c r="J16" s="3">
        <v>1</v>
      </c>
      <c r="K16" s="3">
        <v>1</v>
      </c>
      <c r="L16" s="3">
        <v>0</v>
      </c>
      <c r="M16" s="3">
        <v>0</v>
      </c>
      <c r="N16" s="3" t="s">
        <v>66</v>
      </c>
      <c r="O16" s="3">
        <v>0</v>
      </c>
      <c r="P16" s="3">
        <v>1</v>
      </c>
      <c r="Q16" s="3">
        <v>0</v>
      </c>
      <c r="R16" s="3">
        <v>0</v>
      </c>
      <c r="S16" s="3">
        <v>0</v>
      </c>
      <c r="T16" s="3">
        <v>0</v>
      </c>
      <c r="U16" s="3">
        <v>0</v>
      </c>
      <c r="V16" s="3">
        <v>0</v>
      </c>
      <c r="W16" s="3">
        <v>0</v>
      </c>
      <c r="X16" s="3">
        <v>0</v>
      </c>
      <c r="Y16" s="3">
        <v>1</v>
      </c>
      <c r="Z16" s="3">
        <v>0</v>
      </c>
      <c r="AA16" s="3">
        <v>0</v>
      </c>
      <c r="AB16" s="3">
        <v>0</v>
      </c>
      <c r="AC16" s="3">
        <v>0</v>
      </c>
      <c r="AD16" s="3">
        <v>0</v>
      </c>
      <c r="AE16" s="3" t="s">
        <v>6</v>
      </c>
      <c r="AF16" s="3">
        <f>SUM(AH16:AL16)</f>
        <v>0</v>
      </c>
      <c r="AS16" s="3" t="s">
        <v>775</v>
      </c>
      <c r="AT16" s="3" t="s">
        <v>81</v>
      </c>
      <c r="AU16" t="s">
        <v>301</v>
      </c>
      <c r="AV16" s="3" t="s">
        <v>22</v>
      </c>
    </row>
    <row r="17" spans="1:49" x14ac:dyDescent="0.25">
      <c r="A17" t="s">
        <v>1338</v>
      </c>
      <c r="B17" s="7">
        <v>41509</v>
      </c>
      <c r="C17" s="7" t="s">
        <v>844</v>
      </c>
      <c r="D17" s="5" t="s">
        <v>6</v>
      </c>
      <c r="E17" s="3" t="s">
        <v>64</v>
      </c>
      <c r="F17" s="3" t="s">
        <v>25</v>
      </c>
      <c r="G17" s="3" t="s">
        <v>19</v>
      </c>
      <c r="H17" s="9">
        <v>38.019599999999997</v>
      </c>
      <c r="I17" s="9">
        <v>-0.65180000000000005</v>
      </c>
      <c r="J17" s="3">
        <v>1</v>
      </c>
      <c r="K17" s="3">
        <v>0</v>
      </c>
      <c r="L17" s="3">
        <v>1</v>
      </c>
      <c r="M17" s="3">
        <v>0</v>
      </c>
      <c r="N17" s="3" t="s">
        <v>16</v>
      </c>
      <c r="O17" s="3">
        <v>0</v>
      </c>
      <c r="P17" s="3">
        <v>0</v>
      </c>
      <c r="Q17" s="3">
        <v>0</v>
      </c>
      <c r="R17" s="3">
        <v>0</v>
      </c>
      <c r="S17" s="3">
        <v>0</v>
      </c>
      <c r="T17" s="3">
        <v>1</v>
      </c>
      <c r="U17" s="3">
        <v>0</v>
      </c>
      <c r="V17" s="3">
        <v>0</v>
      </c>
      <c r="W17" s="3">
        <v>0</v>
      </c>
      <c r="X17" s="3">
        <v>0</v>
      </c>
      <c r="Y17" s="3">
        <v>0</v>
      </c>
      <c r="Z17" s="3">
        <v>0</v>
      </c>
      <c r="AA17" s="3">
        <v>1</v>
      </c>
      <c r="AB17" s="3">
        <v>0</v>
      </c>
      <c r="AC17" s="3">
        <v>0</v>
      </c>
      <c r="AD17" s="3">
        <v>0</v>
      </c>
      <c r="AE17" s="3" t="s">
        <v>6</v>
      </c>
      <c r="AF17" s="3" t="s">
        <v>1433</v>
      </c>
      <c r="AS17" s="3" t="s">
        <v>775</v>
      </c>
      <c r="AT17" s="3" t="s">
        <v>81</v>
      </c>
      <c r="AU17" t="s">
        <v>295</v>
      </c>
      <c r="AV17" s="3" t="s">
        <v>296</v>
      </c>
      <c r="AW17" t="s">
        <v>22</v>
      </c>
    </row>
    <row r="18" spans="1:49" x14ac:dyDescent="0.25">
      <c r="A18" t="s">
        <v>1339</v>
      </c>
      <c r="B18" s="7">
        <v>43330</v>
      </c>
      <c r="C18" s="7" t="s">
        <v>844</v>
      </c>
      <c r="D18" s="5" t="s">
        <v>6</v>
      </c>
      <c r="E18" s="3" t="s">
        <v>65</v>
      </c>
      <c r="F18" s="3" t="s">
        <v>8</v>
      </c>
      <c r="G18" s="3" t="s">
        <v>8</v>
      </c>
      <c r="H18" s="9">
        <v>38.832999999999998</v>
      </c>
      <c r="I18" s="9">
        <v>1.3903000000000001</v>
      </c>
      <c r="J18" s="3">
        <v>1</v>
      </c>
      <c r="K18" s="3">
        <v>1</v>
      </c>
      <c r="L18" s="3">
        <v>0</v>
      </c>
      <c r="M18" s="3">
        <v>0</v>
      </c>
      <c r="N18" s="3" t="s">
        <v>66</v>
      </c>
      <c r="O18" s="3">
        <v>0</v>
      </c>
      <c r="P18" s="3">
        <v>1</v>
      </c>
      <c r="Q18" s="3">
        <v>0</v>
      </c>
      <c r="R18" s="3">
        <v>0</v>
      </c>
      <c r="S18" s="3">
        <v>0</v>
      </c>
      <c r="T18" s="3">
        <v>0</v>
      </c>
      <c r="U18" s="3">
        <v>1</v>
      </c>
      <c r="V18" s="3">
        <v>0</v>
      </c>
      <c r="W18" s="3">
        <v>0</v>
      </c>
      <c r="X18" s="3">
        <v>0</v>
      </c>
      <c r="Y18" s="3">
        <v>0</v>
      </c>
      <c r="Z18" s="3">
        <v>0</v>
      </c>
      <c r="AA18" s="3">
        <v>0</v>
      </c>
      <c r="AB18" s="3">
        <v>0</v>
      </c>
      <c r="AC18" s="3">
        <v>0</v>
      </c>
      <c r="AD18" s="3">
        <v>0</v>
      </c>
      <c r="AE18" s="3" t="s">
        <v>6</v>
      </c>
      <c r="AF18" s="3">
        <f>SUM(AH18:AL18)</f>
        <v>0</v>
      </c>
      <c r="AS18" s="3" t="s">
        <v>775</v>
      </c>
      <c r="AT18" s="3" t="s">
        <v>81</v>
      </c>
      <c r="AU18" t="s">
        <v>298</v>
      </c>
      <c r="AV18" s="3" t="s">
        <v>33</v>
      </c>
      <c r="AW18" t="s">
        <v>22</v>
      </c>
    </row>
    <row r="19" spans="1:49" x14ac:dyDescent="0.25">
      <c r="A19" t="s">
        <v>1340</v>
      </c>
      <c r="B19" s="7">
        <v>43328</v>
      </c>
      <c r="C19" s="7" t="s">
        <v>844</v>
      </c>
      <c r="D19" s="5" t="s">
        <v>6</v>
      </c>
      <c r="E19" s="3" t="s">
        <v>68</v>
      </c>
      <c r="F19" s="3" t="s">
        <v>69</v>
      </c>
      <c r="G19" s="3" t="s">
        <v>20</v>
      </c>
      <c r="H19" s="9">
        <v>41.143599999999999</v>
      </c>
      <c r="I19" s="9">
        <v>1.4147000000000001</v>
      </c>
      <c r="J19" s="3">
        <v>1</v>
      </c>
      <c r="K19" s="3">
        <v>1</v>
      </c>
      <c r="L19" s="3">
        <v>0</v>
      </c>
      <c r="M19" s="3">
        <v>0</v>
      </c>
      <c r="N19" s="3" t="s">
        <v>16</v>
      </c>
      <c r="O19" s="3">
        <v>0</v>
      </c>
      <c r="P19" s="3">
        <v>0</v>
      </c>
      <c r="Q19" s="3">
        <v>0</v>
      </c>
      <c r="R19" s="3">
        <v>1</v>
      </c>
      <c r="S19" s="3">
        <v>0</v>
      </c>
      <c r="T19" s="3">
        <v>0</v>
      </c>
      <c r="U19" s="3">
        <v>0</v>
      </c>
      <c r="V19" s="3">
        <v>0</v>
      </c>
      <c r="W19" s="3">
        <v>0</v>
      </c>
      <c r="X19" s="3">
        <v>0</v>
      </c>
      <c r="Y19" s="3">
        <v>0</v>
      </c>
      <c r="Z19" s="3">
        <v>1</v>
      </c>
      <c r="AA19" s="3">
        <v>0</v>
      </c>
      <c r="AB19" s="3">
        <v>0</v>
      </c>
      <c r="AC19" s="3">
        <v>0</v>
      </c>
      <c r="AD19" s="3">
        <v>0</v>
      </c>
      <c r="AE19" s="3" t="s">
        <v>6</v>
      </c>
      <c r="AF19" s="3" t="s">
        <v>1433</v>
      </c>
      <c r="AS19" s="3" t="s">
        <v>775</v>
      </c>
      <c r="AT19" s="3" t="s">
        <v>81</v>
      </c>
      <c r="AU19" t="s">
        <v>310</v>
      </c>
      <c r="AV19" s="3" t="s">
        <v>34</v>
      </c>
      <c r="AW19" t="s">
        <v>22</v>
      </c>
    </row>
    <row r="20" spans="1:49" x14ac:dyDescent="0.25">
      <c r="A20" t="s">
        <v>1341</v>
      </c>
      <c r="B20" s="7">
        <v>42595</v>
      </c>
      <c r="C20" s="7" t="s">
        <v>844</v>
      </c>
      <c r="D20" s="5" t="s">
        <v>6</v>
      </c>
      <c r="E20" s="3" t="s">
        <v>70</v>
      </c>
      <c r="F20" s="3" t="s">
        <v>59</v>
      </c>
      <c r="G20" s="3" t="s">
        <v>20</v>
      </c>
      <c r="H20" s="9">
        <v>41.960099999999997</v>
      </c>
      <c r="I20" s="9">
        <v>3.2315</v>
      </c>
      <c r="J20" s="3">
        <v>1</v>
      </c>
      <c r="K20" s="3">
        <v>1</v>
      </c>
      <c r="L20" s="3">
        <v>0</v>
      </c>
      <c r="M20" s="3">
        <v>0</v>
      </c>
      <c r="N20" s="3" t="s">
        <v>66</v>
      </c>
      <c r="O20" s="3">
        <v>0</v>
      </c>
      <c r="P20" s="3">
        <v>1</v>
      </c>
      <c r="Q20" s="3">
        <v>0</v>
      </c>
      <c r="R20" s="3">
        <v>0</v>
      </c>
      <c r="S20" s="3">
        <v>0</v>
      </c>
      <c r="T20" s="3">
        <v>0</v>
      </c>
      <c r="U20" s="3">
        <v>1</v>
      </c>
      <c r="V20" s="3">
        <v>0</v>
      </c>
      <c r="W20" s="3">
        <v>0</v>
      </c>
      <c r="X20" s="3">
        <v>0</v>
      </c>
      <c r="Y20" s="3">
        <v>0</v>
      </c>
      <c r="Z20" s="3">
        <v>0</v>
      </c>
      <c r="AA20" s="3">
        <v>0</v>
      </c>
      <c r="AB20" s="3">
        <v>0</v>
      </c>
      <c r="AC20" s="3">
        <v>0</v>
      </c>
      <c r="AD20" s="3">
        <v>0</v>
      </c>
      <c r="AE20" s="3" t="s">
        <v>6</v>
      </c>
      <c r="AF20" s="3">
        <f>SUM(AH20:AL20)</f>
        <v>0</v>
      </c>
      <c r="AS20" s="3" t="s">
        <v>775</v>
      </c>
      <c r="AT20" s="3" t="s">
        <v>81</v>
      </c>
      <c r="AU20" t="s">
        <v>313</v>
      </c>
      <c r="AV20" s="3" t="s">
        <v>35</v>
      </c>
      <c r="AW20" t="s">
        <v>22</v>
      </c>
    </row>
    <row r="21" spans="1:49" x14ac:dyDescent="0.25">
      <c r="A21" t="s">
        <v>1342</v>
      </c>
      <c r="B21" s="7">
        <v>43328</v>
      </c>
      <c r="C21" s="7" t="s">
        <v>844</v>
      </c>
      <c r="D21" s="5" t="s">
        <v>6</v>
      </c>
      <c r="E21" s="3" t="s">
        <v>71</v>
      </c>
      <c r="F21" s="3" t="s">
        <v>23</v>
      </c>
      <c r="G21" s="3" t="s">
        <v>23</v>
      </c>
      <c r="H21" s="9">
        <v>37.552599999999998</v>
      </c>
      <c r="I21" s="9">
        <v>-1.1783999999999999</v>
      </c>
      <c r="J21" s="3">
        <v>2</v>
      </c>
      <c r="K21" s="3">
        <v>2</v>
      </c>
      <c r="L21" s="3">
        <v>0</v>
      </c>
      <c r="M21" s="3">
        <v>0</v>
      </c>
      <c r="N21" s="3" t="s">
        <v>16</v>
      </c>
      <c r="O21" s="3">
        <v>0</v>
      </c>
      <c r="P21" s="3">
        <v>0</v>
      </c>
      <c r="Q21" s="3">
        <v>0</v>
      </c>
      <c r="R21" s="3">
        <v>1</v>
      </c>
      <c r="S21" s="3">
        <v>1</v>
      </c>
      <c r="T21" s="3">
        <v>0</v>
      </c>
      <c r="U21" s="3">
        <v>0</v>
      </c>
      <c r="V21" s="3">
        <v>0</v>
      </c>
      <c r="W21" s="3">
        <v>0</v>
      </c>
      <c r="X21" s="3">
        <v>0</v>
      </c>
      <c r="Y21" s="3">
        <v>0</v>
      </c>
      <c r="Z21" s="3">
        <v>2</v>
      </c>
      <c r="AA21" s="3">
        <v>0</v>
      </c>
      <c r="AB21" s="3">
        <v>0</v>
      </c>
      <c r="AC21" s="3">
        <v>0</v>
      </c>
      <c r="AD21" s="3">
        <v>0</v>
      </c>
      <c r="AE21" s="3" t="s">
        <v>6</v>
      </c>
      <c r="AF21" s="3" t="s">
        <v>1433</v>
      </c>
      <c r="AS21" s="3" t="s">
        <v>775</v>
      </c>
      <c r="AT21" s="3" t="s">
        <v>81</v>
      </c>
      <c r="AU21" t="s">
        <v>291</v>
      </c>
      <c r="AV21" s="3" t="s">
        <v>234</v>
      </c>
      <c r="AW21" t="s">
        <v>22</v>
      </c>
    </row>
    <row r="22" spans="1:49" x14ac:dyDescent="0.25">
      <c r="A22" t="s">
        <v>1343</v>
      </c>
      <c r="B22" s="7">
        <v>41136</v>
      </c>
      <c r="C22" s="7" t="s">
        <v>844</v>
      </c>
      <c r="D22" s="5" t="s">
        <v>6</v>
      </c>
      <c r="E22" s="3" t="s">
        <v>72</v>
      </c>
      <c r="F22" s="3" t="s">
        <v>25</v>
      </c>
      <c r="G22" s="3" t="s">
        <v>19</v>
      </c>
      <c r="H22" s="9">
        <v>38.006</v>
      </c>
      <c r="I22" s="9">
        <v>-0.64939999999999998</v>
      </c>
      <c r="J22" s="3">
        <v>1</v>
      </c>
      <c r="K22" s="3">
        <v>1</v>
      </c>
      <c r="L22" s="3">
        <v>0</v>
      </c>
      <c r="M22" s="3">
        <v>0</v>
      </c>
      <c r="N22" s="3" t="s">
        <v>66</v>
      </c>
      <c r="O22" s="3">
        <v>0</v>
      </c>
      <c r="P22" s="3">
        <v>0</v>
      </c>
      <c r="Q22" s="3">
        <v>1</v>
      </c>
      <c r="R22" s="3">
        <v>0</v>
      </c>
      <c r="S22" s="3">
        <v>0</v>
      </c>
      <c r="T22" s="3">
        <v>0</v>
      </c>
      <c r="U22" s="3">
        <v>0</v>
      </c>
      <c r="V22" s="3">
        <v>0</v>
      </c>
      <c r="W22" s="3">
        <v>1</v>
      </c>
      <c r="X22" s="3">
        <v>0</v>
      </c>
      <c r="Y22" s="3">
        <v>0</v>
      </c>
      <c r="Z22" s="3">
        <v>0</v>
      </c>
      <c r="AA22" s="3">
        <v>0</v>
      </c>
      <c r="AB22" s="3">
        <v>0</v>
      </c>
      <c r="AC22" s="3">
        <v>0</v>
      </c>
      <c r="AD22" s="3">
        <v>0</v>
      </c>
      <c r="AE22" s="3" t="s">
        <v>6</v>
      </c>
      <c r="AF22" s="3">
        <f t="shared" ref="AF22:AF32" si="0">SUM(AH22:AL22)</f>
        <v>0</v>
      </c>
      <c r="AS22" s="3" t="s">
        <v>775</v>
      </c>
      <c r="AT22" s="3" t="s">
        <v>81</v>
      </c>
      <c r="AU22" t="s">
        <v>293</v>
      </c>
      <c r="AV22" s="3" t="s">
        <v>294</v>
      </c>
    </row>
    <row r="23" spans="1:49" x14ac:dyDescent="0.25">
      <c r="A23" t="s">
        <v>1344</v>
      </c>
      <c r="B23" s="7">
        <v>42159</v>
      </c>
      <c r="C23" s="7" t="s">
        <v>844</v>
      </c>
      <c r="D23" s="5" t="s">
        <v>6</v>
      </c>
      <c r="E23" s="3" t="s">
        <v>72</v>
      </c>
      <c r="F23" s="3" t="s">
        <v>25</v>
      </c>
      <c r="G23" s="3" t="s">
        <v>19</v>
      </c>
      <c r="H23" s="9">
        <v>37.985399999999998</v>
      </c>
      <c r="I23" s="9">
        <v>-0.60540000000000005</v>
      </c>
      <c r="J23" s="3">
        <v>1</v>
      </c>
      <c r="K23" s="3">
        <v>0</v>
      </c>
      <c r="L23" s="3">
        <v>1</v>
      </c>
      <c r="M23" s="3">
        <v>0</v>
      </c>
      <c r="N23" s="3" t="s">
        <v>66</v>
      </c>
      <c r="O23" s="3">
        <v>0</v>
      </c>
      <c r="P23" s="3">
        <v>0</v>
      </c>
      <c r="Q23" s="3">
        <v>1</v>
      </c>
      <c r="R23" s="3">
        <v>0</v>
      </c>
      <c r="S23" s="3">
        <v>0</v>
      </c>
      <c r="T23" s="3">
        <v>0</v>
      </c>
      <c r="U23" s="3">
        <v>1</v>
      </c>
      <c r="V23" s="3">
        <v>0</v>
      </c>
      <c r="W23" s="3">
        <v>0</v>
      </c>
      <c r="X23" s="3">
        <v>0</v>
      </c>
      <c r="Y23" s="3">
        <v>0</v>
      </c>
      <c r="Z23" s="3">
        <v>0</v>
      </c>
      <c r="AA23" s="3">
        <v>0</v>
      </c>
      <c r="AB23" s="3">
        <v>0</v>
      </c>
      <c r="AC23" s="3">
        <v>0</v>
      </c>
      <c r="AD23" s="3">
        <v>0</v>
      </c>
      <c r="AE23" s="3" t="s">
        <v>6</v>
      </c>
      <c r="AF23" s="3">
        <f t="shared" si="0"/>
        <v>0</v>
      </c>
      <c r="AS23" s="3" t="s">
        <v>775</v>
      </c>
      <c r="AT23" s="3" t="s">
        <v>81</v>
      </c>
      <c r="AU23" t="s">
        <v>281</v>
      </c>
      <c r="AV23" s="3" t="s">
        <v>36</v>
      </c>
      <c r="AW23" t="s">
        <v>22</v>
      </c>
    </row>
    <row r="24" spans="1:49" x14ac:dyDescent="0.25">
      <c r="A24" t="s">
        <v>1345</v>
      </c>
      <c r="B24" s="7">
        <v>43303</v>
      </c>
      <c r="C24" s="7" t="s">
        <v>844</v>
      </c>
      <c r="D24" s="5" t="s">
        <v>6</v>
      </c>
      <c r="E24" s="3" t="s">
        <v>73</v>
      </c>
      <c r="F24" s="3" t="s">
        <v>8</v>
      </c>
      <c r="G24" s="3" t="s">
        <v>8</v>
      </c>
      <c r="H24" s="9">
        <v>39.962899999999998</v>
      </c>
      <c r="I24" s="9">
        <v>3.2107000000000001</v>
      </c>
      <c r="J24" s="3">
        <v>1</v>
      </c>
      <c r="K24" s="3">
        <v>1</v>
      </c>
      <c r="L24" s="3">
        <v>0</v>
      </c>
      <c r="M24" s="3">
        <v>0</v>
      </c>
      <c r="N24" s="3" t="s">
        <v>66</v>
      </c>
      <c r="O24" s="3">
        <v>0</v>
      </c>
      <c r="P24" s="3">
        <v>1</v>
      </c>
      <c r="Q24" s="3">
        <v>0</v>
      </c>
      <c r="R24" s="3">
        <v>0</v>
      </c>
      <c r="S24" s="3">
        <v>0</v>
      </c>
      <c r="T24" s="3">
        <v>0</v>
      </c>
      <c r="U24" s="3">
        <v>0</v>
      </c>
      <c r="V24" s="3">
        <v>0</v>
      </c>
      <c r="W24" s="3">
        <v>0</v>
      </c>
      <c r="X24" s="3">
        <v>0</v>
      </c>
      <c r="Y24" s="3">
        <v>1</v>
      </c>
      <c r="Z24" s="3">
        <v>0</v>
      </c>
      <c r="AA24" s="3">
        <v>0</v>
      </c>
      <c r="AB24" s="3">
        <v>0</v>
      </c>
      <c r="AC24" s="3">
        <v>0</v>
      </c>
      <c r="AD24" s="3">
        <v>0</v>
      </c>
      <c r="AE24" s="3" t="s">
        <v>6</v>
      </c>
      <c r="AF24" s="3">
        <f t="shared" si="0"/>
        <v>0</v>
      </c>
      <c r="AS24" s="3" t="s">
        <v>775</v>
      </c>
      <c r="AT24" s="3" t="s">
        <v>81</v>
      </c>
      <c r="AU24" t="s">
        <v>309</v>
      </c>
      <c r="AV24" s="3" t="s">
        <v>37</v>
      </c>
      <c r="AW24" t="s">
        <v>22</v>
      </c>
    </row>
    <row r="25" spans="1:49" x14ac:dyDescent="0.25">
      <c r="A25" t="s">
        <v>1346</v>
      </c>
      <c r="B25" s="7">
        <v>43997</v>
      </c>
      <c r="C25" s="7" t="s">
        <v>844</v>
      </c>
      <c r="D25" s="5" t="s">
        <v>6</v>
      </c>
      <c r="E25" s="3" t="s">
        <v>74</v>
      </c>
      <c r="F25" s="3" t="s">
        <v>23</v>
      </c>
      <c r="G25" s="3" t="s">
        <v>23</v>
      </c>
      <c r="H25" s="9">
        <v>37.411499999999997</v>
      </c>
      <c r="I25" s="9">
        <v>-1.5587</v>
      </c>
      <c r="J25" s="3">
        <v>1</v>
      </c>
      <c r="K25" s="3">
        <v>1</v>
      </c>
      <c r="L25" s="3">
        <v>0</v>
      </c>
      <c r="M25" s="3">
        <v>0</v>
      </c>
      <c r="N25" s="3" t="s">
        <v>66</v>
      </c>
      <c r="O25" s="3">
        <v>0</v>
      </c>
      <c r="P25" s="3">
        <v>1</v>
      </c>
      <c r="Q25" s="3">
        <v>0</v>
      </c>
      <c r="R25" s="3">
        <v>0</v>
      </c>
      <c r="S25" s="3">
        <v>0</v>
      </c>
      <c r="T25" s="3">
        <v>0</v>
      </c>
      <c r="U25" s="3">
        <v>1</v>
      </c>
      <c r="V25" s="3">
        <v>0</v>
      </c>
      <c r="W25" s="3">
        <v>0</v>
      </c>
      <c r="X25" s="3">
        <v>0</v>
      </c>
      <c r="Y25" s="3">
        <v>0</v>
      </c>
      <c r="Z25" s="3">
        <v>0</v>
      </c>
      <c r="AA25" s="3">
        <v>0</v>
      </c>
      <c r="AB25" s="3">
        <v>0</v>
      </c>
      <c r="AC25" s="3">
        <v>0</v>
      </c>
      <c r="AD25" s="3">
        <v>0</v>
      </c>
      <c r="AE25" s="3" t="s">
        <v>6</v>
      </c>
      <c r="AF25" s="3">
        <f t="shared" si="0"/>
        <v>0</v>
      </c>
      <c r="AS25" s="3" t="s">
        <v>775</v>
      </c>
      <c r="AT25" s="3" t="s">
        <v>780</v>
      </c>
      <c r="AU25" t="s">
        <v>288</v>
      </c>
      <c r="AV25" s="3" t="s">
        <v>38</v>
      </c>
    </row>
    <row r="26" spans="1:49" x14ac:dyDescent="0.25">
      <c r="A26" t="s">
        <v>1348</v>
      </c>
      <c r="B26" s="7">
        <v>43306</v>
      </c>
      <c r="C26" s="7" t="s">
        <v>844</v>
      </c>
      <c r="D26" s="5" t="s">
        <v>6</v>
      </c>
      <c r="E26" s="3" t="s">
        <v>22</v>
      </c>
      <c r="F26" s="3" t="s">
        <v>24</v>
      </c>
      <c r="G26" s="3" t="s">
        <v>20</v>
      </c>
      <c r="H26" s="9">
        <v>41.235883358926202</v>
      </c>
      <c r="I26" s="9">
        <v>1.82905629906239</v>
      </c>
      <c r="J26" s="3">
        <v>1</v>
      </c>
      <c r="K26" s="3">
        <v>1</v>
      </c>
      <c r="L26" s="3">
        <v>0</v>
      </c>
      <c r="M26" s="3">
        <v>0</v>
      </c>
      <c r="N26" s="3" t="s">
        <v>66</v>
      </c>
      <c r="O26" s="3">
        <v>0</v>
      </c>
      <c r="P26" s="3">
        <v>0</v>
      </c>
      <c r="Q26" s="3">
        <v>1</v>
      </c>
      <c r="R26" s="3">
        <v>0</v>
      </c>
      <c r="S26" s="3">
        <v>0</v>
      </c>
      <c r="T26" s="3">
        <v>0</v>
      </c>
      <c r="U26" s="3">
        <v>0</v>
      </c>
      <c r="V26" s="3">
        <v>0</v>
      </c>
      <c r="W26" s="3">
        <v>0</v>
      </c>
      <c r="X26" s="3">
        <v>0</v>
      </c>
      <c r="Y26" s="3">
        <v>1</v>
      </c>
      <c r="Z26" s="3">
        <v>0</v>
      </c>
      <c r="AA26" s="3">
        <v>0</v>
      </c>
      <c r="AB26" s="3">
        <v>0</v>
      </c>
      <c r="AC26" s="3">
        <v>0</v>
      </c>
      <c r="AD26" s="3">
        <v>0</v>
      </c>
      <c r="AE26" s="3" t="s">
        <v>6</v>
      </c>
      <c r="AF26" s="3">
        <f t="shared" si="0"/>
        <v>0</v>
      </c>
      <c r="AS26" s="3" t="s">
        <v>775</v>
      </c>
      <c r="AT26" s="3" t="s">
        <v>81</v>
      </c>
      <c r="AU26" t="s">
        <v>311</v>
      </c>
      <c r="AV26" s="3" t="s">
        <v>594</v>
      </c>
      <c r="AW26" t="s">
        <v>22</v>
      </c>
    </row>
    <row r="27" spans="1:49" x14ac:dyDescent="0.25">
      <c r="A27" t="s">
        <v>1349</v>
      </c>
      <c r="B27" s="7">
        <v>44035</v>
      </c>
      <c r="C27" s="7" t="s">
        <v>844</v>
      </c>
      <c r="D27" s="5">
        <v>0.47638888888888892</v>
      </c>
      <c r="E27" s="3" t="s">
        <v>42</v>
      </c>
      <c r="F27" s="3" t="s">
        <v>47</v>
      </c>
      <c r="G27" s="3" t="s">
        <v>21</v>
      </c>
      <c r="H27" s="9">
        <v>36.723761000000003</v>
      </c>
      <c r="I27" s="9">
        <v>-2.1940249999999999</v>
      </c>
      <c r="J27" s="3">
        <v>1</v>
      </c>
      <c r="K27" s="3">
        <v>1</v>
      </c>
      <c r="L27" s="3">
        <v>0</v>
      </c>
      <c r="M27" s="3">
        <v>0</v>
      </c>
      <c r="N27" s="3" t="s">
        <v>66</v>
      </c>
      <c r="O27" s="3">
        <v>0</v>
      </c>
      <c r="P27" s="3">
        <v>1</v>
      </c>
      <c r="Q27" s="3">
        <v>0</v>
      </c>
      <c r="R27" s="3">
        <v>0</v>
      </c>
      <c r="S27" s="3">
        <v>0</v>
      </c>
      <c r="T27" s="3">
        <v>0</v>
      </c>
      <c r="U27" s="3">
        <v>1</v>
      </c>
      <c r="V27" s="3">
        <v>0</v>
      </c>
      <c r="W27" s="3">
        <v>0</v>
      </c>
      <c r="X27" s="3">
        <v>0</v>
      </c>
      <c r="Y27" s="3">
        <v>0</v>
      </c>
      <c r="Z27" s="3">
        <v>0</v>
      </c>
      <c r="AA27" s="3">
        <v>0</v>
      </c>
      <c r="AB27" s="3">
        <v>0</v>
      </c>
      <c r="AC27" s="3">
        <v>0</v>
      </c>
      <c r="AD27" s="3">
        <v>0</v>
      </c>
      <c r="AE27" s="3" t="s">
        <v>6</v>
      </c>
      <c r="AF27" s="3">
        <f t="shared" si="0"/>
        <v>0</v>
      </c>
      <c r="AS27" s="3" t="s">
        <v>775</v>
      </c>
      <c r="AT27" s="3" t="s">
        <v>80</v>
      </c>
      <c r="AU27" t="s">
        <v>276</v>
      </c>
      <c r="AV27" s="3" t="s">
        <v>22</v>
      </c>
      <c r="AW27" t="s">
        <v>22</v>
      </c>
    </row>
    <row r="28" spans="1:49" x14ac:dyDescent="0.25">
      <c r="A28" t="s">
        <v>1350</v>
      </c>
      <c r="B28" s="7">
        <v>42917</v>
      </c>
      <c r="C28" s="7" t="s">
        <v>844</v>
      </c>
      <c r="D28" s="5">
        <v>0.37083333333333335</v>
      </c>
      <c r="E28" s="3" t="s">
        <v>76</v>
      </c>
      <c r="F28" s="3" t="s">
        <v>59</v>
      </c>
      <c r="G28" s="3" t="s">
        <v>20</v>
      </c>
      <c r="H28" s="9">
        <v>42.249115000000003</v>
      </c>
      <c r="I28" s="9">
        <v>3.227598</v>
      </c>
      <c r="J28" s="3">
        <v>1</v>
      </c>
      <c r="K28" s="3">
        <v>1</v>
      </c>
      <c r="L28" s="3">
        <v>0</v>
      </c>
      <c r="M28" s="3">
        <v>0</v>
      </c>
      <c r="N28" s="3" t="s">
        <v>66</v>
      </c>
      <c r="O28" s="3">
        <v>0</v>
      </c>
      <c r="P28" s="3">
        <v>0</v>
      </c>
      <c r="Q28" s="3">
        <v>1</v>
      </c>
      <c r="R28" s="3">
        <v>0</v>
      </c>
      <c r="S28" s="3">
        <v>0</v>
      </c>
      <c r="T28" s="3">
        <v>0</v>
      </c>
      <c r="U28" s="3">
        <v>0</v>
      </c>
      <c r="V28" s="3">
        <v>0</v>
      </c>
      <c r="W28" s="3">
        <v>0</v>
      </c>
      <c r="X28" s="3">
        <v>0</v>
      </c>
      <c r="Y28" s="3">
        <v>1</v>
      </c>
      <c r="Z28" s="3">
        <v>0</v>
      </c>
      <c r="AA28" s="3">
        <v>0</v>
      </c>
      <c r="AB28" s="3">
        <v>0</v>
      </c>
      <c r="AC28" s="3">
        <v>0</v>
      </c>
      <c r="AD28" s="3">
        <v>0</v>
      </c>
      <c r="AE28" s="3" t="s">
        <v>6</v>
      </c>
      <c r="AF28" s="3">
        <f t="shared" si="0"/>
        <v>0</v>
      </c>
      <c r="AS28" s="3" t="s">
        <v>775</v>
      </c>
      <c r="AT28" s="3" t="s">
        <v>80</v>
      </c>
      <c r="AU28" t="s">
        <v>277</v>
      </c>
      <c r="AV28" s="3" t="s">
        <v>286</v>
      </c>
      <c r="AW28" t="s">
        <v>22</v>
      </c>
    </row>
    <row r="29" spans="1:49" x14ac:dyDescent="0.25">
      <c r="A29" t="s">
        <v>1351</v>
      </c>
      <c r="B29" s="7">
        <v>43317</v>
      </c>
      <c r="C29" s="7" t="s">
        <v>844</v>
      </c>
      <c r="D29" s="5">
        <v>0.90347222222222223</v>
      </c>
      <c r="E29" s="3" t="s">
        <v>77</v>
      </c>
      <c r="F29" s="3" t="s">
        <v>8</v>
      </c>
      <c r="G29" s="3" t="s">
        <v>8</v>
      </c>
      <c r="H29" s="9">
        <v>39.800228027583003</v>
      </c>
      <c r="I29" s="9">
        <v>2.68559145623207</v>
      </c>
      <c r="J29" s="3">
        <v>1</v>
      </c>
      <c r="K29" s="3">
        <v>1</v>
      </c>
      <c r="L29" s="3">
        <v>0</v>
      </c>
      <c r="M29" s="3">
        <v>0</v>
      </c>
      <c r="N29" s="3" t="s">
        <v>66</v>
      </c>
      <c r="O29" s="3">
        <v>0</v>
      </c>
      <c r="P29" s="3">
        <v>0</v>
      </c>
      <c r="Q29" s="3">
        <v>1</v>
      </c>
      <c r="R29" s="3">
        <v>0</v>
      </c>
      <c r="S29" s="3">
        <v>0</v>
      </c>
      <c r="T29" s="3">
        <v>0</v>
      </c>
      <c r="U29" s="3">
        <v>1</v>
      </c>
      <c r="V29" s="3">
        <v>0</v>
      </c>
      <c r="W29" s="3">
        <v>0</v>
      </c>
      <c r="X29" s="3">
        <v>0</v>
      </c>
      <c r="Y29" s="3">
        <v>0</v>
      </c>
      <c r="Z29" s="3">
        <v>0</v>
      </c>
      <c r="AA29" s="3">
        <v>0</v>
      </c>
      <c r="AB29" s="3">
        <v>0</v>
      </c>
      <c r="AC29" s="3">
        <v>0</v>
      </c>
      <c r="AD29" s="3">
        <v>0</v>
      </c>
      <c r="AE29" s="3" t="s">
        <v>6</v>
      </c>
      <c r="AF29" s="3">
        <f t="shared" si="0"/>
        <v>0</v>
      </c>
      <c r="AS29" s="3" t="s">
        <v>775</v>
      </c>
      <c r="AT29" s="3" t="s">
        <v>80</v>
      </c>
      <c r="AU29" t="s">
        <v>278</v>
      </c>
      <c r="AW29" t="s">
        <v>22</v>
      </c>
    </row>
    <row r="30" spans="1:49" x14ac:dyDescent="0.25">
      <c r="A30" t="s">
        <v>1352</v>
      </c>
      <c r="B30" s="7">
        <v>44022</v>
      </c>
      <c r="C30" s="7" t="s">
        <v>844</v>
      </c>
      <c r="D30" s="5">
        <v>0.5625</v>
      </c>
      <c r="E30" s="3" t="s">
        <v>43</v>
      </c>
      <c r="F30" s="3" t="s">
        <v>47</v>
      </c>
      <c r="G30" s="3" t="s">
        <v>21</v>
      </c>
      <c r="H30" s="9">
        <v>37.357948</v>
      </c>
      <c r="I30" s="9">
        <v>-1.6621349999999999</v>
      </c>
      <c r="J30" s="3">
        <v>1</v>
      </c>
      <c r="K30" s="3">
        <v>1</v>
      </c>
      <c r="L30" s="3">
        <v>0</v>
      </c>
      <c r="M30" s="3">
        <v>0</v>
      </c>
      <c r="N30" s="3" t="s">
        <v>66</v>
      </c>
      <c r="O30" s="3">
        <v>0</v>
      </c>
      <c r="P30" s="3">
        <v>1</v>
      </c>
      <c r="Q30" s="3">
        <v>0</v>
      </c>
      <c r="R30" s="3">
        <v>0</v>
      </c>
      <c r="S30" s="3">
        <v>0</v>
      </c>
      <c r="T30" s="3">
        <v>0</v>
      </c>
      <c r="U30" s="3">
        <v>1</v>
      </c>
      <c r="V30" s="3">
        <v>0</v>
      </c>
      <c r="W30" s="3">
        <v>0</v>
      </c>
      <c r="X30" s="3">
        <v>0</v>
      </c>
      <c r="Y30" s="3">
        <v>0</v>
      </c>
      <c r="Z30" s="3">
        <v>0</v>
      </c>
      <c r="AA30" s="3">
        <v>0</v>
      </c>
      <c r="AB30" s="3">
        <v>0</v>
      </c>
      <c r="AC30" s="3">
        <v>0</v>
      </c>
      <c r="AD30" s="3">
        <v>0</v>
      </c>
      <c r="AE30" s="3" t="s">
        <v>6</v>
      </c>
      <c r="AF30" s="3">
        <f t="shared" si="0"/>
        <v>0</v>
      </c>
      <c r="AS30" s="3" t="s">
        <v>775</v>
      </c>
      <c r="AT30" s="3" t="s">
        <v>80</v>
      </c>
      <c r="AU30" t="s">
        <v>279</v>
      </c>
      <c r="AV30" s="3" t="s">
        <v>22</v>
      </c>
      <c r="AW30" t="s">
        <v>22</v>
      </c>
    </row>
    <row r="31" spans="1:49" x14ac:dyDescent="0.25">
      <c r="A31" t="s">
        <v>1353</v>
      </c>
      <c r="B31" s="7">
        <v>42596</v>
      </c>
      <c r="C31" s="7" t="s">
        <v>844</v>
      </c>
      <c r="D31" s="5">
        <v>0.90277777777777779</v>
      </c>
      <c r="E31" s="3" t="s">
        <v>26</v>
      </c>
      <c r="F31" s="3" t="s">
        <v>78</v>
      </c>
      <c r="G31" s="3" t="s">
        <v>19</v>
      </c>
      <c r="H31" s="9">
        <v>39.881656999999997</v>
      </c>
      <c r="I31" s="9">
        <v>0.67274900000000004</v>
      </c>
      <c r="J31" s="3">
        <v>1</v>
      </c>
      <c r="K31" s="3">
        <v>1</v>
      </c>
      <c r="L31" s="3">
        <v>0</v>
      </c>
      <c r="M31" s="3">
        <v>0</v>
      </c>
      <c r="N31" s="3" t="s">
        <v>66</v>
      </c>
      <c r="O31" s="3">
        <v>0</v>
      </c>
      <c r="P31" s="3">
        <v>1</v>
      </c>
      <c r="Q31" s="3">
        <v>0</v>
      </c>
      <c r="R31" s="3">
        <v>0</v>
      </c>
      <c r="S31" s="3">
        <v>0</v>
      </c>
      <c r="T31" s="3">
        <v>0</v>
      </c>
      <c r="U31" s="3">
        <v>1</v>
      </c>
      <c r="V31" s="3">
        <v>0</v>
      </c>
      <c r="W31" s="3">
        <v>0</v>
      </c>
      <c r="X31" s="3">
        <v>0</v>
      </c>
      <c r="Y31" s="3">
        <v>0</v>
      </c>
      <c r="Z31" s="3">
        <v>0</v>
      </c>
      <c r="AA31" s="3">
        <v>0</v>
      </c>
      <c r="AB31" s="3">
        <v>0</v>
      </c>
      <c r="AC31" s="3">
        <v>0</v>
      </c>
      <c r="AD31" s="3">
        <v>0</v>
      </c>
      <c r="AE31" s="3" t="s">
        <v>6</v>
      </c>
      <c r="AF31" s="3">
        <f t="shared" si="0"/>
        <v>0</v>
      </c>
      <c r="AS31" s="3" t="s">
        <v>775</v>
      </c>
      <c r="AT31" s="3" t="s">
        <v>80</v>
      </c>
      <c r="AU31" t="s">
        <v>280</v>
      </c>
      <c r="AV31" s="3" t="s">
        <v>22</v>
      </c>
      <c r="AW31" t="s">
        <v>22</v>
      </c>
    </row>
    <row r="32" spans="1:49" x14ac:dyDescent="0.25">
      <c r="A32" t="s">
        <v>1355</v>
      </c>
      <c r="B32" s="8">
        <v>41506</v>
      </c>
      <c r="C32" s="7" t="s">
        <v>844</v>
      </c>
      <c r="D32" s="59" t="s">
        <v>6</v>
      </c>
      <c r="E32" s="3" t="s">
        <v>26</v>
      </c>
      <c r="F32" s="3" t="s">
        <v>78</v>
      </c>
      <c r="G32" s="3" t="s">
        <v>19</v>
      </c>
      <c r="H32" s="9">
        <v>39.890047182757598</v>
      </c>
      <c r="I32" s="9">
        <v>0.66895061246423404</v>
      </c>
      <c r="J32" s="3">
        <v>1</v>
      </c>
      <c r="K32" s="3">
        <v>1</v>
      </c>
      <c r="L32" s="3">
        <v>0</v>
      </c>
      <c r="M32" s="3">
        <v>0</v>
      </c>
      <c r="N32" s="3" t="s">
        <v>66</v>
      </c>
      <c r="O32" s="3">
        <v>0</v>
      </c>
      <c r="P32" s="3">
        <v>1</v>
      </c>
      <c r="Q32" s="3">
        <v>0</v>
      </c>
      <c r="R32" s="3">
        <v>0</v>
      </c>
      <c r="S32" s="3">
        <v>0</v>
      </c>
      <c r="T32" s="3">
        <v>0</v>
      </c>
      <c r="U32" s="3">
        <v>1</v>
      </c>
      <c r="V32" s="3">
        <v>0</v>
      </c>
      <c r="W32" s="3">
        <v>0</v>
      </c>
      <c r="X32" s="3">
        <v>0</v>
      </c>
      <c r="Y32" s="3">
        <v>0</v>
      </c>
      <c r="Z32" s="3">
        <v>0</v>
      </c>
      <c r="AA32" s="3">
        <v>0</v>
      </c>
      <c r="AB32" s="3">
        <v>0</v>
      </c>
      <c r="AC32" s="3">
        <v>0</v>
      </c>
      <c r="AD32" s="3">
        <v>0</v>
      </c>
      <c r="AE32" s="3" t="s">
        <v>6</v>
      </c>
      <c r="AF32" s="3">
        <f t="shared" si="0"/>
        <v>0</v>
      </c>
      <c r="AS32" s="3" t="s">
        <v>17</v>
      </c>
      <c r="AT32" s="3" t="s">
        <v>777</v>
      </c>
      <c r="AU32" t="s">
        <v>141</v>
      </c>
      <c r="AV32" s="3" t="s">
        <v>240</v>
      </c>
      <c r="AW32" t="s">
        <v>22</v>
      </c>
    </row>
    <row r="33" spans="1:49" x14ac:dyDescent="0.25">
      <c r="A33" t="s">
        <v>1356</v>
      </c>
      <c r="B33" s="8">
        <v>42573</v>
      </c>
      <c r="C33" s="7" t="s">
        <v>844</v>
      </c>
      <c r="D33" s="59" t="s">
        <v>6</v>
      </c>
      <c r="E33" s="3" t="s">
        <v>82</v>
      </c>
      <c r="F33" s="3" t="s">
        <v>47</v>
      </c>
      <c r="G33" s="3" t="s">
        <v>21</v>
      </c>
      <c r="H33" s="9">
        <v>36.817942473534899</v>
      </c>
      <c r="I33" s="9">
        <v>-2.5332834711130299</v>
      </c>
      <c r="J33" s="3">
        <v>2</v>
      </c>
      <c r="K33" s="3">
        <v>2</v>
      </c>
      <c r="L33" s="3">
        <v>0</v>
      </c>
      <c r="M33" s="3">
        <v>0</v>
      </c>
      <c r="N33" s="3" t="s">
        <v>16</v>
      </c>
      <c r="O33" s="3">
        <v>0</v>
      </c>
      <c r="P33" s="3">
        <v>0</v>
      </c>
      <c r="Q33" s="3">
        <v>0</v>
      </c>
      <c r="R33" s="3">
        <v>1</v>
      </c>
      <c r="S33" s="3">
        <v>1</v>
      </c>
      <c r="T33" s="3">
        <v>0</v>
      </c>
      <c r="U33" s="3">
        <v>0</v>
      </c>
      <c r="V33" s="3">
        <v>0</v>
      </c>
      <c r="W33" s="3">
        <v>0</v>
      </c>
      <c r="X33" s="3">
        <v>0</v>
      </c>
      <c r="Y33" s="3">
        <v>0</v>
      </c>
      <c r="Z33" s="3">
        <v>2</v>
      </c>
      <c r="AA33" s="3">
        <v>0</v>
      </c>
      <c r="AB33" s="3">
        <v>0</v>
      </c>
      <c r="AC33" s="3">
        <v>0</v>
      </c>
      <c r="AD33" s="3">
        <v>0</v>
      </c>
      <c r="AE33" s="3" t="s">
        <v>6</v>
      </c>
      <c r="AF33" s="3" t="s">
        <v>1433</v>
      </c>
      <c r="AS33" s="3" t="s">
        <v>17</v>
      </c>
      <c r="AT33" s="3" t="s">
        <v>779</v>
      </c>
      <c r="AU33" s="3" t="s">
        <v>142</v>
      </c>
      <c r="AV33" s="3" t="s">
        <v>234</v>
      </c>
      <c r="AW33" t="s">
        <v>22</v>
      </c>
    </row>
    <row r="34" spans="1:49" x14ac:dyDescent="0.25">
      <c r="A34" t="s">
        <v>1357</v>
      </c>
      <c r="B34" s="8">
        <v>42581</v>
      </c>
      <c r="C34" s="7" t="s">
        <v>844</v>
      </c>
      <c r="D34" s="59" t="s">
        <v>6</v>
      </c>
      <c r="E34" s="3" t="s">
        <v>83</v>
      </c>
      <c r="F34" s="3" t="s">
        <v>25</v>
      </c>
      <c r="G34" s="3" t="s">
        <v>19</v>
      </c>
      <c r="H34" s="9">
        <v>38.685822395333297</v>
      </c>
      <c r="I34" s="9">
        <v>0.15444061476923501</v>
      </c>
      <c r="J34" s="3">
        <v>1</v>
      </c>
      <c r="K34" s="3">
        <v>1</v>
      </c>
      <c r="L34" s="3">
        <v>0</v>
      </c>
      <c r="M34" s="3">
        <v>0</v>
      </c>
      <c r="N34" s="3" t="s">
        <v>66</v>
      </c>
      <c r="O34" s="3">
        <v>0</v>
      </c>
      <c r="P34" s="3">
        <v>1</v>
      </c>
      <c r="Q34" s="3">
        <v>0</v>
      </c>
      <c r="R34" s="3">
        <v>0</v>
      </c>
      <c r="S34" s="3">
        <v>0</v>
      </c>
      <c r="T34" s="3">
        <v>0</v>
      </c>
      <c r="U34" s="3">
        <v>1</v>
      </c>
      <c r="V34" s="3">
        <v>0</v>
      </c>
      <c r="W34" s="3">
        <v>0</v>
      </c>
      <c r="X34" s="3">
        <v>0</v>
      </c>
      <c r="Y34" s="3">
        <v>0</v>
      </c>
      <c r="Z34" s="3">
        <v>0</v>
      </c>
      <c r="AA34" s="3">
        <v>0</v>
      </c>
      <c r="AB34" s="3">
        <v>0</v>
      </c>
      <c r="AC34" s="3">
        <v>0</v>
      </c>
      <c r="AD34" s="3">
        <v>0</v>
      </c>
      <c r="AE34" s="3" t="s">
        <v>6</v>
      </c>
      <c r="AF34" s="3">
        <f>SUM(AH34:AL34)</f>
        <v>0</v>
      </c>
      <c r="AS34" s="3" t="s">
        <v>17</v>
      </c>
      <c r="AT34" s="3" t="s">
        <v>780</v>
      </c>
      <c r="AU34" s="3" t="s">
        <v>143</v>
      </c>
      <c r="AV34" s="3" t="s">
        <v>241</v>
      </c>
      <c r="AW34" t="s">
        <v>22</v>
      </c>
    </row>
    <row r="35" spans="1:49" x14ac:dyDescent="0.25">
      <c r="A35" t="s">
        <v>1358</v>
      </c>
      <c r="B35" s="8">
        <v>42581</v>
      </c>
      <c r="C35" s="7" t="s">
        <v>844</v>
      </c>
      <c r="D35" s="59" t="s">
        <v>6</v>
      </c>
      <c r="E35" s="3" t="s">
        <v>84</v>
      </c>
      <c r="F35" s="3" t="s">
        <v>8</v>
      </c>
      <c r="G35" s="3" t="s">
        <v>8</v>
      </c>
      <c r="H35" s="9">
        <v>39.776233835183902</v>
      </c>
      <c r="I35" s="9">
        <v>3.1497188613510998</v>
      </c>
      <c r="J35" s="3">
        <v>1</v>
      </c>
      <c r="K35" s="3">
        <v>1</v>
      </c>
      <c r="L35" s="3">
        <v>0</v>
      </c>
      <c r="M35" s="3">
        <v>0</v>
      </c>
      <c r="N35" s="3" t="s">
        <v>16</v>
      </c>
      <c r="O35" s="3">
        <v>0</v>
      </c>
      <c r="P35" s="3">
        <v>0</v>
      </c>
      <c r="Q35" s="3">
        <v>0</v>
      </c>
      <c r="R35" s="3">
        <v>0</v>
      </c>
      <c r="S35" s="3">
        <v>0</v>
      </c>
      <c r="T35" s="3">
        <v>1</v>
      </c>
      <c r="U35" s="3">
        <v>0</v>
      </c>
      <c r="V35" s="3">
        <v>0</v>
      </c>
      <c r="W35" s="3">
        <v>0</v>
      </c>
      <c r="X35" s="3">
        <v>0</v>
      </c>
      <c r="Y35" s="3">
        <v>0</v>
      </c>
      <c r="Z35" s="3">
        <v>1</v>
      </c>
      <c r="AA35" s="3">
        <v>0</v>
      </c>
      <c r="AB35" s="3">
        <v>0</v>
      </c>
      <c r="AC35" s="3">
        <v>0</v>
      </c>
      <c r="AD35" s="3">
        <v>0</v>
      </c>
      <c r="AE35" s="3" t="s">
        <v>6</v>
      </c>
      <c r="AF35" s="3" t="s">
        <v>1433</v>
      </c>
      <c r="AS35" s="3" t="s">
        <v>17</v>
      </c>
      <c r="AT35" s="3" t="s">
        <v>778</v>
      </c>
      <c r="AU35" s="3" t="s">
        <v>144</v>
      </c>
      <c r="AV35" s="3" t="s">
        <v>242</v>
      </c>
    </row>
    <row r="36" spans="1:49" x14ac:dyDescent="0.25">
      <c r="A36" t="s">
        <v>1360</v>
      </c>
      <c r="B36" s="8">
        <v>42590</v>
      </c>
      <c r="C36" s="7" t="s">
        <v>844</v>
      </c>
      <c r="D36" s="59" t="s">
        <v>6</v>
      </c>
      <c r="E36" s="3" t="s">
        <v>24</v>
      </c>
      <c r="F36" s="3" t="s">
        <v>24</v>
      </c>
      <c r="G36" s="3" t="s">
        <v>20</v>
      </c>
      <c r="H36" s="9">
        <v>41.378808232807799</v>
      </c>
      <c r="I36" s="9">
        <v>2.1949401553585899</v>
      </c>
      <c r="J36" s="3">
        <v>1</v>
      </c>
      <c r="K36" s="3">
        <v>1</v>
      </c>
      <c r="L36" s="3">
        <v>0</v>
      </c>
      <c r="M36" s="3">
        <v>0</v>
      </c>
      <c r="N36" s="3" t="s">
        <v>16</v>
      </c>
      <c r="O36" s="3">
        <v>0</v>
      </c>
      <c r="P36" s="3">
        <v>0</v>
      </c>
      <c r="Q36" s="3">
        <v>0</v>
      </c>
      <c r="R36" s="3">
        <v>0</v>
      </c>
      <c r="S36" s="3">
        <v>1</v>
      </c>
      <c r="T36" s="3">
        <v>0</v>
      </c>
      <c r="U36" s="3">
        <v>0</v>
      </c>
      <c r="V36" s="3">
        <v>0</v>
      </c>
      <c r="W36" s="3">
        <v>0</v>
      </c>
      <c r="X36" s="3">
        <v>0</v>
      </c>
      <c r="Y36" s="3">
        <v>0</v>
      </c>
      <c r="Z36" s="3">
        <v>1</v>
      </c>
      <c r="AA36" s="3">
        <v>0</v>
      </c>
      <c r="AB36" s="3">
        <v>0</v>
      </c>
      <c r="AC36" s="3">
        <v>0</v>
      </c>
      <c r="AD36" s="3">
        <v>0</v>
      </c>
      <c r="AE36" s="3" t="s">
        <v>6</v>
      </c>
      <c r="AF36" s="3" t="s">
        <v>1433</v>
      </c>
      <c r="AS36" s="3" t="s">
        <v>17</v>
      </c>
      <c r="AT36" s="3" t="s">
        <v>778</v>
      </c>
      <c r="AU36" s="3" t="s">
        <v>146</v>
      </c>
      <c r="AW36" t="s">
        <v>22</v>
      </c>
    </row>
    <row r="37" spans="1:49" x14ac:dyDescent="0.25">
      <c r="A37" t="s">
        <v>1363</v>
      </c>
      <c r="B37" s="8">
        <v>42963</v>
      </c>
      <c r="C37" s="7" t="s">
        <v>844</v>
      </c>
      <c r="D37" s="59" t="s">
        <v>6</v>
      </c>
      <c r="E37" s="3" t="s">
        <v>88</v>
      </c>
      <c r="F37" s="3" t="s">
        <v>24</v>
      </c>
      <c r="G37" s="3" t="s">
        <v>20</v>
      </c>
      <c r="H37" s="9">
        <v>41.566685095404701</v>
      </c>
      <c r="I37" s="9">
        <v>2.52544230649724</v>
      </c>
      <c r="J37" s="3">
        <v>1</v>
      </c>
      <c r="K37" s="3">
        <v>1</v>
      </c>
      <c r="L37" s="3">
        <v>0</v>
      </c>
      <c r="M37" s="3">
        <v>0</v>
      </c>
      <c r="N37" s="3" t="s">
        <v>66</v>
      </c>
      <c r="O37" s="3">
        <v>0</v>
      </c>
      <c r="P37" s="3">
        <v>0</v>
      </c>
      <c r="Q37" s="3">
        <v>1</v>
      </c>
      <c r="R37" s="3">
        <v>0</v>
      </c>
      <c r="S37" s="3">
        <v>0</v>
      </c>
      <c r="T37" s="3">
        <v>0</v>
      </c>
      <c r="U37" s="3">
        <v>0</v>
      </c>
      <c r="V37" s="3">
        <v>0</v>
      </c>
      <c r="W37" s="3">
        <v>0</v>
      </c>
      <c r="X37" s="3">
        <v>0</v>
      </c>
      <c r="Y37" s="3">
        <v>1</v>
      </c>
      <c r="Z37" s="3">
        <v>0</v>
      </c>
      <c r="AA37" s="3">
        <v>0</v>
      </c>
      <c r="AB37" s="3">
        <v>0</v>
      </c>
      <c r="AC37" s="3">
        <v>0</v>
      </c>
      <c r="AD37" s="3">
        <v>0</v>
      </c>
      <c r="AE37" s="3" t="s">
        <v>6</v>
      </c>
      <c r="AF37" s="3">
        <f>SUM(AH37:AL37)</f>
        <v>0</v>
      </c>
      <c r="AS37" s="3" t="s">
        <v>17</v>
      </c>
      <c r="AT37" s="3" t="s">
        <v>776</v>
      </c>
      <c r="AU37" s="3" t="s">
        <v>149</v>
      </c>
      <c r="AV37" s="3" t="s">
        <v>567</v>
      </c>
      <c r="AW37" t="s">
        <v>22</v>
      </c>
    </row>
    <row r="38" spans="1:49" x14ac:dyDescent="0.25">
      <c r="A38" t="s">
        <v>1365</v>
      </c>
      <c r="B38" s="8">
        <v>43225</v>
      </c>
      <c r="C38" s="8" t="s">
        <v>842</v>
      </c>
      <c r="D38" s="59" t="s">
        <v>6</v>
      </c>
      <c r="E38" s="3" t="s">
        <v>90</v>
      </c>
      <c r="F38" s="3" t="s">
        <v>69</v>
      </c>
      <c r="G38" s="3" t="s">
        <v>20</v>
      </c>
      <c r="H38" s="9">
        <v>41.118889405874903</v>
      </c>
      <c r="I38" s="9">
        <v>1.2781904836431</v>
      </c>
      <c r="J38" s="3">
        <v>1</v>
      </c>
      <c r="K38" s="3">
        <v>1</v>
      </c>
      <c r="L38" s="3">
        <v>0</v>
      </c>
      <c r="M38" s="3">
        <v>0</v>
      </c>
      <c r="N38" s="3" t="s">
        <v>16</v>
      </c>
      <c r="O38" s="3">
        <v>0</v>
      </c>
      <c r="P38" s="3">
        <v>0</v>
      </c>
      <c r="Q38" s="3">
        <v>0</v>
      </c>
      <c r="R38" s="3">
        <v>0</v>
      </c>
      <c r="S38" s="3">
        <v>0</v>
      </c>
      <c r="T38" s="3">
        <v>1</v>
      </c>
      <c r="U38" s="3">
        <v>0</v>
      </c>
      <c r="V38" s="3">
        <v>0</v>
      </c>
      <c r="W38" s="3">
        <v>0</v>
      </c>
      <c r="X38" s="3">
        <v>0</v>
      </c>
      <c r="Y38" s="3">
        <v>0</v>
      </c>
      <c r="Z38" s="3">
        <v>0</v>
      </c>
      <c r="AA38" s="3">
        <v>0</v>
      </c>
      <c r="AB38" s="3">
        <v>0</v>
      </c>
      <c r="AC38" s="3">
        <v>0</v>
      </c>
      <c r="AD38" s="3">
        <v>1</v>
      </c>
      <c r="AE38" s="3" t="s">
        <v>6</v>
      </c>
      <c r="AF38" s="3" t="s">
        <v>1433</v>
      </c>
      <c r="AS38" s="3" t="s">
        <v>17</v>
      </c>
      <c r="AT38" s="3" t="s">
        <v>776</v>
      </c>
      <c r="AU38" s="3" t="s">
        <v>151</v>
      </c>
      <c r="AW38" t="s">
        <v>22</v>
      </c>
    </row>
    <row r="39" spans="1:49" x14ac:dyDescent="0.25">
      <c r="A39" t="s">
        <v>1366</v>
      </c>
      <c r="B39" s="8">
        <v>43300</v>
      </c>
      <c r="C39" s="8" t="s">
        <v>844</v>
      </c>
      <c r="D39" s="59" t="s">
        <v>6</v>
      </c>
      <c r="E39" s="3" t="s">
        <v>91</v>
      </c>
      <c r="F39" s="3" t="s">
        <v>59</v>
      </c>
      <c r="G39" s="3" t="s">
        <v>20</v>
      </c>
      <c r="H39" s="9">
        <v>42.361303164752499</v>
      </c>
      <c r="I39" s="9">
        <v>3.1661867347394099</v>
      </c>
      <c r="J39" s="3">
        <v>1</v>
      </c>
      <c r="K39" s="3">
        <v>1</v>
      </c>
      <c r="L39" s="3">
        <v>0</v>
      </c>
      <c r="M39" s="3">
        <v>0</v>
      </c>
      <c r="N39" s="3" t="s">
        <v>66</v>
      </c>
      <c r="O39" s="3">
        <v>0</v>
      </c>
      <c r="P39" s="3">
        <v>1</v>
      </c>
      <c r="Q39" s="3">
        <v>0</v>
      </c>
      <c r="R39" s="3">
        <v>0</v>
      </c>
      <c r="S39" s="3">
        <v>0</v>
      </c>
      <c r="T39" s="3">
        <v>0</v>
      </c>
      <c r="U39" s="3">
        <v>1</v>
      </c>
      <c r="V39" s="3">
        <v>0</v>
      </c>
      <c r="W39" s="3">
        <v>0</v>
      </c>
      <c r="X39" s="3">
        <v>0</v>
      </c>
      <c r="Y39" s="3">
        <v>0</v>
      </c>
      <c r="Z39" s="3">
        <v>0</v>
      </c>
      <c r="AA39" s="3">
        <v>0</v>
      </c>
      <c r="AB39" s="3">
        <v>0</v>
      </c>
      <c r="AC39" s="3">
        <v>0</v>
      </c>
      <c r="AD39" s="3">
        <v>0</v>
      </c>
      <c r="AE39" s="3" t="s">
        <v>6</v>
      </c>
      <c r="AF39" s="3">
        <f>SUM(AH39:AL39)</f>
        <v>0</v>
      </c>
      <c r="AS39" s="3" t="s">
        <v>17</v>
      </c>
      <c r="AT39" s="3" t="s">
        <v>776</v>
      </c>
      <c r="AU39" s="3" t="s">
        <v>152</v>
      </c>
      <c r="AW39" t="s">
        <v>22</v>
      </c>
    </row>
    <row r="40" spans="1:49" x14ac:dyDescent="0.25">
      <c r="A40" t="s">
        <v>1370</v>
      </c>
      <c r="B40" s="8">
        <v>43309</v>
      </c>
      <c r="C40" s="8" t="s">
        <v>844</v>
      </c>
      <c r="D40" s="59" t="s">
        <v>6</v>
      </c>
      <c r="E40" s="3" t="s">
        <v>94</v>
      </c>
      <c r="F40" s="3" t="s">
        <v>59</v>
      </c>
      <c r="G40" s="3" t="s">
        <v>20</v>
      </c>
      <c r="H40" s="9">
        <v>42.405055670054502</v>
      </c>
      <c r="I40" s="9">
        <v>3.1573966384024299</v>
      </c>
      <c r="J40" s="3">
        <v>1</v>
      </c>
      <c r="K40" s="3">
        <v>1</v>
      </c>
      <c r="L40" s="3">
        <v>0</v>
      </c>
      <c r="M40" s="3">
        <v>0</v>
      </c>
      <c r="N40" s="3" t="s">
        <v>66</v>
      </c>
      <c r="O40" s="3">
        <v>0</v>
      </c>
      <c r="P40" s="3">
        <v>0</v>
      </c>
      <c r="Q40" s="3">
        <v>1</v>
      </c>
      <c r="R40" s="3">
        <v>0</v>
      </c>
      <c r="S40" s="3">
        <v>0</v>
      </c>
      <c r="T40" s="3">
        <v>0</v>
      </c>
      <c r="U40" s="3">
        <v>1</v>
      </c>
      <c r="V40" s="3">
        <v>0</v>
      </c>
      <c r="W40" s="3">
        <v>0</v>
      </c>
      <c r="X40" s="3">
        <v>0</v>
      </c>
      <c r="Y40" s="3">
        <v>0</v>
      </c>
      <c r="Z40" s="3">
        <v>0</v>
      </c>
      <c r="AA40" s="3">
        <v>0</v>
      </c>
      <c r="AB40" s="3">
        <v>0</v>
      </c>
      <c r="AC40" s="3">
        <v>0</v>
      </c>
      <c r="AD40" s="3">
        <v>0</v>
      </c>
      <c r="AE40" s="3" t="s">
        <v>6</v>
      </c>
      <c r="AF40" s="3">
        <f>SUM(AH40:AL40)</f>
        <v>0</v>
      </c>
      <c r="AS40" s="3" t="s">
        <v>17</v>
      </c>
      <c r="AT40" s="3" t="s">
        <v>776</v>
      </c>
      <c r="AU40" s="3" t="s">
        <v>156</v>
      </c>
      <c r="AW40" t="s">
        <v>22</v>
      </c>
    </row>
    <row r="41" spans="1:49" x14ac:dyDescent="0.25">
      <c r="A41" t="s">
        <v>1371</v>
      </c>
      <c r="B41" s="8">
        <v>43310</v>
      </c>
      <c r="C41" s="8" t="s">
        <v>844</v>
      </c>
      <c r="D41" s="59" t="s">
        <v>6</v>
      </c>
      <c r="E41" s="3" t="s">
        <v>95</v>
      </c>
      <c r="F41" s="3" t="s">
        <v>59</v>
      </c>
      <c r="G41" s="3" t="s">
        <v>20</v>
      </c>
      <c r="H41" s="9">
        <v>42.428211944788302</v>
      </c>
      <c r="I41" s="9">
        <v>3.1651550374395998</v>
      </c>
      <c r="J41" s="3">
        <v>1</v>
      </c>
      <c r="K41" s="3">
        <v>1</v>
      </c>
      <c r="L41" s="3">
        <v>0</v>
      </c>
      <c r="M41" s="3">
        <v>0</v>
      </c>
      <c r="N41" s="3" t="s">
        <v>16</v>
      </c>
      <c r="O41" s="3">
        <v>0</v>
      </c>
      <c r="P41" s="3">
        <v>0</v>
      </c>
      <c r="Q41" s="3">
        <v>0</v>
      </c>
      <c r="R41" s="3">
        <v>0</v>
      </c>
      <c r="S41" s="3">
        <v>0</v>
      </c>
      <c r="T41" s="3">
        <v>1</v>
      </c>
      <c r="U41" s="3">
        <v>0</v>
      </c>
      <c r="V41" s="3">
        <v>0</v>
      </c>
      <c r="W41" s="3">
        <v>0</v>
      </c>
      <c r="X41" s="3">
        <v>0</v>
      </c>
      <c r="Y41" s="3">
        <v>0</v>
      </c>
      <c r="Z41" s="3">
        <v>1</v>
      </c>
      <c r="AA41" s="3">
        <v>0</v>
      </c>
      <c r="AB41" s="3">
        <v>0</v>
      </c>
      <c r="AC41" s="3">
        <v>0</v>
      </c>
      <c r="AD41" s="3">
        <v>0</v>
      </c>
      <c r="AE41" s="3" t="s">
        <v>6</v>
      </c>
      <c r="AF41" s="3" t="s">
        <v>1433</v>
      </c>
      <c r="AS41" s="3" t="s">
        <v>17</v>
      </c>
      <c r="AT41" s="3" t="s">
        <v>776</v>
      </c>
      <c r="AU41" s="3" t="s">
        <v>157</v>
      </c>
      <c r="AW41" t="s">
        <v>22</v>
      </c>
    </row>
    <row r="42" spans="1:49" x14ac:dyDescent="0.25">
      <c r="A42" t="s">
        <v>1373</v>
      </c>
      <c r="B42" s="8">
        <v>43311</v>
      </c>
      <c r="C42" s="8" t="s">
        <v>844</v>
      </c>
      <c r="D42" s="59" t="s">
        <v>6</v>
      </c>
      <c r="E42" s="3" t="s">
        <v>95</v>
      </c>
      <c r="F42" s="3" t="s">
        <v>59</v>
      </c>
      <c r="G42" s="3" t="s">
        <v>20</v>
      </c>
      <c r="H42" s="9">
        <v>42.428211944788302</v>
      </c>
      <c r="I42" s="9">
        <v>3.1651550374395998</v>
      </c>
      <c r="J42" s="3">
        <v>2</v>
      </c>
      <c r="K42" s="3">
        <v>2</v>
      </c>
      <c r="L42" s="3">
        <v>0</v>
      </c>
      <c r="M42" s="3">
        <v>0</v>
      </c>
      <c r="N42" s="3" t="s">
        <v>247</v>
      </c>
      <c r="O42" s="3">
        <v>0</v>
      </c>
      <c r="P42" s="3">
        <v>0</v>
      </c>
      <c r="Q42" s="3">
        <v>1</v>
      </c>
      <c r="R42" s="3">
        <v>0</v>
      </c>
      <c r="S42" s="3">
        <v>0</v>
      </c>
      <c r="T42" s="3">
        <v>1</v>
      </c>
      <c r="U42" s="3">
        <v>0</v>
      </c>
      <c r="V42" s="3">
        <v>0</v>
      </c>
      <c r="W42" s="3">
        <v>0</v>
      </c>
      <c r="X42" s="3">
        <v>0</v>
      </c>
      <c r="Y42" s="3">
        <v>1</v>
      </c>
      <c r="Z42" s="3">
        <v>0</v>
      </c>
      <c r="AA42" s="3">
        <v>0</v>
      </c>
      <c r="AB42" s="3">
        <v>0</v>
      </c>
      <c r="AC42" s="3">
        <v>0</v>
      </c>
      <c r="AD42" s="3">
        <v>1</v>
      </c>
      <c r="AE42" s="3" t="s">
        <v>6</v>
      </c>
      <c r="AF42" s="3">
        <f>SUM(AH42:AL42)</f>
        <v>0</v>
      </c>
      <c r="AS42" s="3" t="s">
        <v>17</v>
      </c>
      <c r="AT42" s="3" t="s">
        <v>780</v>
      </c>
      <c r="AU42" s="3" t="s">
        <v>159</v>
      </c>
      <c r="AV42" s="3" t="s">
        <v>248</v>
      </c>
    </row>
    <row r="43" spans="1:49" x14ac:dyDescent="0.25">
      <c r="A43" t="s">
        <v>1374</v>
      </c>
      <c r="B43" s="8">
        <v>43313</v>
      </c>
      <c r="C43" s="8" t="s">
        <v>844</v>
      </c>
      <c r="D43" s="3" t="s">
        <v>6</v>
      </c>
      <c r="E43" s="3" t="s">
        <v>97</v>
      </c>
      <c r="F43" s="3" t="s">
        <v>59</v>
      </c>
      <c r="G43" s="3" t="s">
        <v>20</v>
      </c>
      <c r="H43" s="9">
        <v>42.262452179144901</v>
      </c>
      <c r="I43" s="9">
        <v>3.1720993617682698</v>
      </c>
      <c r="J43" s="3">
        <v>1</v>
      </c>
      <c r="K43" s="3">
        <v>1</v>
      </c>
      <c r="L43" s="3">
        <v>0</v>
      </c>
      <c r="M43" s="3">
        <v>0</v>
      </c>
      <c r="N43" s="3" t="s">
        <v>16</v>
      </c>
      <c r="O43" s="3">
        <v>0</v>
      </c>
      <c r="P43" s="3">
        <v>0</v>
      </c>
      <c r="Q43" s="3">
        <v>0</v>
      </c>
      <c r="R43" s="3">
        <v>0</v>
      </c>
      <c r="S43" s="3">
        <v>1</v>
      </c>
      <c r="T43" s="3">
        <v>0</v>
      </c>
      <c r="U43" s="3">
        <v>0</v>
      </c>
      <c r="V43" s="3">
        <v>0</v>
      </c>
      <c r="W43" s="3">
        <v>0</v>
      </c>
      <c r="X43" s="3">
        <v>0</v>
      </c>
      <c r="Y43" s="3">
        <v>0</v>
      </c>
      <c r="Z43" s="3">
        <v>0</v>
      </c>
      <c r="AA43" s="3">
        <v>0</v>
      </c>
      <c r="AB43" s="3">
        <v>0</v>
      </c>
      <c r="AC43" s="3">
        <v>0</v>
      </c>
      <c r="AD43" s="3">
        <v>1</v>
      </c>
      <c r="AE43" s="3" t="s">
        <v>6</v>
      </c>
      <c r="AF43" s="3" t="s">
        <v>1433</v>
      </c>
      <c r="AS43" s="3" t="s">
        <v>17</v>
      </c>
      <c r="AT43" s="3" t="s">
        <v>778</v>
      </c>
      <c r="AU43" s="3" t="s">
        <v>160</v>
      </c>
    </row>
    <row r="44" spans="1:49" x14ac:dyDescent="0.25">
      <c r="A44" t="s">
        <v>1376</v>
      </c>
      <c r="B44" s="8">
        <v>43314</v>
      </c>
      <c r="C44" s="8" t="s">
        <v>844</v>
      </c>
      <c r="D44" s="3" t="s">
        <v>6</v>
      </c>
      <c r="E44" s="3" t="s">
        <v>98</v>
      </c>
      <c r="F44" s="3" t="s">
        <v>24</v>
      </c>
      <c r="G44" s="3" t="s">
        <v>20</v>
      </c>
      <c r="H44" s="9">
        <v>41.618485543829102</v>
      </c>
      <c r="I44" s="9">
        <v>2.6887821072081399</v>
      </c>
      <c r="J44" s="3">
        <v>1</v>
      </c>
      <c r="K44" s="3">
        <v>1</v>
      </c>
      <c r="L44" s="3">
        <v>0</v>
      </c>
      <c r="M44" s="3">
        <v>0</v>
      </c>
      <c r="N44" s="3" t="s">
        <v>66</v>
      </c>
      <c r="O44" s="3">
        <v>0</v>
      </c>
      <c r="P44" s="3">
        <v>1</v>
      </c>
      <c r="Q44" s="3">
        <v>0</v>
      </c>
      <c r="R44" s="3">
        <v>0</v>
      </c>
      <c r="S44" s="3">
        <v>0</v>
      </c>
      <c r="T44" s="3">
        <v>0</v>
      </c>
      <c r="U44" s="3">
        <v>1</v>
      </c>
      <c r="V44" s="3">
        <v>0</v>
      </c>
      <c r="W44" s="3">
        <v>0</v>
      </c>
      <c r="X44" s="3">
        <v>0</v>
      </c>
      <c r="Y44" s="3">
        <v>0</v>
      </c>
      <c r="Z44" s="3">
        <v>0</v>
      </c>
      <c r="AA44" s="3">
        <v>0</v>
      </c>
      <c r="AB44" s="3">
        <v>0</v>
      </c>
      <c r="AC44" s="3">
        <v>0</v>
      </c>
      <c r="AD44" s="3">
        <v>0</v>
      </c>
      <c r="AE44" s="3" t="s">
        <v>6</v>
      </c>
      <c r="AF44" s="3">
        <f>SUM(AH44:AL44)</f>
        <v>0</v>
      </c>
      <c r="AS44" s="3" t="s">
        <v>17</v>
      </c>
      <c r="AT44" s="3" t="s">
        <v>778</v>
      </c>
      <c r="AU44" s="3" t="s">
        <v>162</v>
      </c>
    </row>
    <row r="45" spans="1:49" x14ac:dyDescent="0.25">
      <c r="A45" t="s">
        <v>1378</v>
      </c>
      <c r="B45" s="8">
        <v>43315</v>
      </c>
      <c r="C45" s="8" t="s">
        <v>844</v>
      </c>
      <c r="D45" s="3" t="s">
        <v>6</v>
      </c>
      <c r="E45" s="3" t="s">
        <v>99</v>
      </c>
      <c r="F45" s="3" t="s">
        <v>69</v>
      </c>
      <c r="G45" s="3" t="s">
        <v>20</v>
      </c>
      <c r="H45" s="9">
        <v>41.187794270318697</v>
      </c>
      <c r="I45" s="9">
        <v>1.60145743577168</v>
      </c>
      <c r="J45" s="3">
        <v>1</v>
      </c>
      <c r="K45" s="3">
        <v>1</v>
      </c>
      <c r="L45" s="3">
        <v>0</v>
      </c>
      <c r="M45" s="3">
        <v>0</v>
      </c>
      <c r="N45" s="3" t="s">
        <v>66</v>
      </c>
      <c r="O45" s="3">
        <v>0</v>
      </c>
      <c r="P45" s="3">
        <v>1</v>
      </c>
      <c r="Q45" s="3">
        <v>0</v>
      </c>
      <c r="R45" s="3">
        <v>0</v>
      </c>
      <c r="S45" s="3">
        <v>0</v>
      </c>
      <c r="T45" s="3">
        <v>0</v>
      </c>
      <c r="U45" s="3">
        <v>0</v>
      </c>
      <c r="V45" s="3">
        <v>0</v>
      </c>
      <c r="W45" s="3">
        <v>0</v>
      </c>
      <c r="X45" s="3">
        <v>0</v>
      </c>
      <c r="Y45" s="3">
        <v>1</v>
      </c>
      <c r="Z45" s="3">
        <v>0</v>
      </c>
      <c r="AA45" s="3">
        <v>0</v>
      </c>
      <c r="AB45" s="3">
        <v>0</v>
      </c>
      <c r="AC45" s="3">
        <v>0</v>
      </c>
      <c r="AD45" s="3">
        <v>0</v>
      </c>
      <c r="AE45" s="3" t="s">
        <v>6</v>
      </c>
      <c r="AF45" s="3">
        <f>SUM(AH45:AL45)</f>
        <v>0</v>
      </c>
      <c r="AS45" s="3" t="s">
        <v>17</v>
      </c>
      <c r="AT45" s="3" t="s">
        <v>776</v>
      </c>
      <c r="AU45" s="3" t="s">
        <v>164</v>
      </c>
    </row>
    <row r="46" spans="1:49" x14ac:dyDescent="0.25">
      <c r="A46" t="s">
        <v>1382</v>
      </c>
      <c r="B46" s="8">
        <v>43316</v>
      </c>
      <c r="C46" s="8" t="s">
        <v>844</v>
      </c>
      <c r="D46" s="3" t="s">
        <v>6</v>
      </c>
      <c r="E46" s="3" t="s">
        <v>102</v>
      </c>
      <c r="F46" s="3" t="s">
        <v>59</v>
      </c>
      <c r="G46" s="3" t="s">
        <v>20</v>
      </c>
      <c r="H46" s="9">
        <v>42.392961472906102</v>
      </c>
      <c r="I46" s="9">
        <v>3.15594262774701</v>
      </c>
      <c r="J46" s="3">
        <v>1</v>
      </c>
      <c r="K46" s="3">
        <v>1</v>
      </c>
      <c r="L46" s="3">
        <v>0</v>
      </c>
      <c r="M46" s="3">
        <v>0</v>
      </c>
      <c r="N46" s="3" t="s">
        <v>16</v>
      </c>
      <c r="O46" s="3">
        <v>0</v>
      </c>
      <c r="P46" s="3">
        <v>0</v>
      </c>
      <c r="Q46" s="3">
        <v>0</v>
      </c>
      <c r="R46" s="3">
        <v>0</v>
      </c>
      <c r="S46" s="3">
        <v>1</v>
      </c>
      <c r="T46" s="3">
        <v>0</v>
      </c>
      <c r="U46" s="3">
        <v>0</v>
      </c>
      <c r="V46" s="3">
        <v>0</v>
      </c>
      <c r="W46" s="3">
        <v>0</v>
      </c>
      <c r="X46" s="3">
        <v>0</v>
      </c>
      <c r="Y46" s="3">
        <v>0</v>
      </c>
      <c r="Z46" s="3">
        <v>1</v>
      </c>
      <c r="AA46" s="3">
        <v>0</v>
      </c>
      <c r="AB46" s="3">
        <v>0</v>
      </c>
      <c r="AC46" s="3">
        <v>0</v>
      </c>
      <c r="AD46" s="3">
        <v>0</v>
      </c>
      <c r="AE46" s="3" t="s">
        <v>6</v>
      </c>
      <c r="AF46" s="3" t="s">
        <v>1433</v>
      </c>
      <c r="AS46" s="3" t="s">
        <v>17</v>
      </c>
      <c r="AT46" s="3" t="s">
        <v>776</v>
      </c>
      <c r="AU46" s="3" t="s">
        <v>168</v>
      </c>
      <c r="AV46" s="3" t="s">
        <v>249</v>
      </c>
    </row>
    <row r="47" spans="1:49" x14ac:dyDescent="0.25">
      <c r="A47" t="s">
        <v>1383</v>
      </c>
      <c r="B47" s="8">
        <v>43316</v>
      </c>
      <c r="C47" s="8" t="s">
        <v>844</v>
      </c>
      <c r="D47" s="3" t="s">
        <v>6</v>
      </c>
      <c r="E47" s="3" t="s">
        <v>67</v>
      </c>
      <c r="F47" s="3" t="s">
        <v>69</v>
      </c>
      <c r="G47" s="3" t="s">
        <v>20</v>
      </c>
      <c r="H47" s="9">
        <v>41.141815362546602</v>
      </c>
      <c r="I47" s="9">
        <v>1.4120186853093899</v>
      </c>
      <c r="J47" s="3">
        <v>1</v>
      </c>
      <c r="K47" s="3">
        <v>1</v>
      </c>
      <c r="L47" s="3">
        <v>0</v>
      </c>
      <c r="M47" s="3">
        <v>0</v>
      </c>
      <c r="N47" s="3" t="s">
        <v>66</v>
      </c>
      <c r="O47" s="3">
        <v>0</v>
      </c>
      <c r="P47" s="3">
        <v>0</v>
      </c>
      <c r="Q47" s="3">
        <v>1</v>
      </c>
      <c r="R47" s="3">
        <v>0</v>
      </c>
      <c r="S47" s="3">
        <v>0</v>
      </c>
      <c r="T47" s="3">
        <v>0</v>
      </c>
      <c r="U47" s="3">
        <v>0</v>
      </c>
      <c r="V47" s="3">
        <v>0</v>
      </c>
      <c r="W47" s="3">
        <v>0</v>
      </c>
      <c r="X47" s="3">
        <v>0</v>
      </c>
      <c r="Y47" s="3">
        <v>1</v>
      </c>
      <c r="Z47" s="3">
        <v>0</v>
      </c>
      <c r="AA47" s="3">
        <v>0</v>
      </c>
      <c r="AB47" s="3">
        <v>0</v>
      </c>
      <c r="AC47" s="3">
        <v>0</v>
      </c>
      <c r="AD47" s="3">
        <v>0</v>
      </c>
      <c r="AE47" s="3" t="s">
        <v>6</v>
      </c>
      <c r="AF47" s="3">
        <f>SUM(AH47:AL47)</f>
        <v>0</v>
      </c>
      <c r="AS47" s="3" t="s">
        <v>17</v>
      </c>
      <c r="AT47" s="3" t="s">
        <v>776</v>
      </c>
      <c r="AU47" s="3" t="s">
        <v>169</v>
      </c>
    </row>
    <row r="48" spans="1:49" x14ac:dyDescent="0.25">
      <c r="A48" t="s">
        <v>1384</v>
      </c>
      <c r="B48" s="8">
        <v>43316</v>
      </c>
      <c r="C48" s="8" t="s">
        <v>844</v>
      </c>
      <c r="D48" s="3" t="s">
        <v>6</v>
      </c>
      <c r="E48" s="3" t="s">
        <v>95</v>
      </c>
      <c r="F48" s="3" t="s">
        <v>59</v>
      </c>
      <c r="G48" s="3" t="s">
        <v>20</v>
      </c>
      <c r="H48" s="9">
        <v>42.428211944788302</v>
      </c>
      <c r="I48" s="9">
        <v>3.1651550374395998</v>
      </c>
      <c r="J48" s="3">
        <v>1</v>
      </c>
      <c r="K48" s="3">
        <v>1</v>
      </c>
      <c r="L48" s="3">
        <v>0</v>
      </c>
      <c r="M48" s="3">
        <v>0</v>
      </c>
      <c r="N48" s="3" t="s">
        <v>16</v>
      </c>
      <c r="O48" s="3">
        <v>0</v>
      </c>
      <c r="P48" s="3">
        <v>0</v>
      </c>
      <c r="Q48" s="3">
        <v>0</v>
      </c>
      <c r="R48" s="3">
        <v>0</v>
      </c>
      <c r="S48" s="3">
        <v>1</v>
      </c>
      <c r="T48" s="3">
        <v>0</v>
      </c>
      <c r="U48" s="3">
        <v>0</v>
      </c>
      <c r="V48" s="3">
        <v>0</v>
      </c>
      <c r="W48" s="3">
        <v>0</v>
      </c>
      <c r="X48" s="3">
        <v>0</v>
      </c>
      <c r="Y48" s="3">
        <v>0</v>
      </c>
      <c r="Z48" s="3">
        <v>1</v>
      </c>
      <c r="AA48" s="3">
        <v>0</v>
      </c>
      <c r="AB48" s="3">
        <v>0</v>
      </c>
      <c r="AC48" s="3">
        <v>0</v>
      </c>
      <c r="AD48" s="3">
        <v>0</v>
      </c>
      <c r="AE48" s="3" t="s">
        <v>6</v>
      </c>
      <c r="AF48" s="3" t="s">
        <v>1433</v>
      </c>
      <c r="AS48" s="3" t="s">
        <v>17</v>
      </c>
      <c r="AT48" s="3" t="s">
        <v>776</v>
      </c>
      <c r="AU48" s="3" t="s">
        <v>170</v>
      </c>
    </row>
    <row r="49" spans="1:48" x14ac:dyDescent="0.25">
      <c r="A49" t="s">
        <v>1385</v>
      </c>
      <c r="B49" s="8">
        <v>43316</v>
      </c>
      <c r="C49" s="8" t="s">
        <v>844</v>
      </c>
      <c r="D49" s="3" t="s">
        <v>6</v>
      </c>
      <c r="E49" s="3" t="s">
        <v>103</v>
      </c>
      <c r="F49" s="3" t="s">
        <v>59</v>
      </c>
      <c r="G49" s="3" t="s">
        <v>20</v>
      </c>
      <c r="H49" s="9">
        <v>42.406284448718601</v>
      </c>
      <c r="I49" s="9">
        <v>3.1589480892134998</v>
      </c>
      <c r="J49" s="3">
        <v>1</v>
      </c>
      <c r="K49" s="3">
        <v>1</v>
      </c>
      <c r="L49" s="3">
        <v>0</v>
      </c>
      <c r="M49" s="3">
        <v>0</v>
      </c>
      <c r="N49" s="3" t="s">
        <v>66</v>
      </c>
      <c r="O49" s="3">
        <v>0</v>
      </c>
      <c r="P49" s="3">
        <v>1</v>
      </c>
      <c r="Q49" s="3">
        <v>0</v>
      </c>
      <c r="R49" s="3">
        <v>0</v>
      </c>
      <c r="S49" s="3">
        <v>0</v>
      </c>
      <c r="T49" s="3">
        <v>0</v>
      </c>
      <c r="U49" s="3">
        <v>1</v>
      </c>
      <c r="V49" s="3">
        <v>0</v>
      </c>
      <c r="W49" s="3">
        <v>0</v>
      </c>
      <c r="X49" s="3">
        <v>0</v>
      </c>
      <c r="Y49" s="3">
        <v>0</v>
      </c>
      <c r="Z49" s="3">
        <v>0</v>
      </c>
      <c r="AA49" s="3">
        <v>0</v>
      </c>
      <c r="AB49" s="3">
        <v>0</v>
      </c>
      <c r="AC49" s="3">
        <v>0</v>
      </c>
      <c r="AD49" s="3">
        <v>0</v>
      </c>
      <c r="AE49" s="3" t="s">
        <v>6</v>
      </c>
      <c r="AF49" s="3">
        <f>SUM(AH49:AL49)</f>
        <v>0</v>
      </c>
      <c r="AS49" s="3" t="s">
        <v>17</v>
      </c>
      <c r="AT49" s="3" t="s">
        <v>776</v>
      </c>
      <c r="AU49" s="3" t="s">
        <v>171</v>
      </c>
    </row>
    <row r="50" spans="1:48" x14ac:dyDescent="0.25">
      <c r="A50" t="s">
        <v>1386</v>
      </c>
      <c r="B50" s="8">
        <v>43316</v>
      </c>
      <c r="C50" s="8" t="s">
        <v>844</v>
      </c>
      <c r="D50" s="3" t="s">
        <v>6</v>
      </c>
      <c r="E50" s="3" t="s">
        <v>104</v>
      </c>
      <c r="F50" s="3" t="s">
        <v>24</v>
      </c>
      <c r="G50" s="3" t="s">
        <v>20</v>
      </c>
      <c r="H50" s="9">
        <v>41.577271718827497</v>
      </c>
      <c r="I50" s="9">
        <v>2.55280288315834</v>
      </c>
      <c r="J50" s="3">
        <v>1</v>
      </c>
      <c r="K50" s="3">
        <v>1</v>
      </c>
      <c r="L50" s="3">
        <v>0</v>
      </c>
      <c r="M50" s="3">
        <v>0</v>
      </c>
      <c r="N50" s="3" t="s">
        <v>16</v>
      </c>
      <c r="O50" s="3">
        <v>0</v>
      </c>
      <c r="P50" s="3">
        <v>0</v>
      </c>
      <c r="Q50" s="3">
        <v>0</v>
      </c>
      <c r="R50" s="3">
        <v>0</v>
      </c>
      <c r="S50" s="3">
        <v>0</v>
      </c>
      <c r="T50" s="3">
        <v>1</v>
      </c>
      <c r="U50" s="3">
        <v>0</v>
      </c>
      <c r="V50" s="3">
        <v>0</v>
      </c>
      <c r="W50" s="3">
        <v>0</v>
      </c>
      <c r="X50" s="3">
        <v>0</v>
      </c>
      <c r="Y50" s="3">
        <v>0</v>
      </c>
      <c r="Z50" s="3">
        <v>0</v>
      </c>
      <c r="AA50" s="3">
        <v>0</v>
      </c>
      <c r="AB50" s="3">
        <v>0</v>
      </c>
      <c r="AC50" s="3">
        <v>0</v>
      </c>
      <c r="AD50" s="3">
        <v>1</v>
      </c>
      <c r="AE50" s="3" t="s">
        <v>6</v>
      </c>
      <c r="AF50" s="3" t="s">
        <v>1433</v>
      </c>
      <c r="AS50" s="3" t="s">
        <v>17</v>
      </c>
      <c r="AT50" s="3" t="s">
        <v>778</v>
      </c>
      <c r="AU50" s="3" t="s">
        <v>172</v>
      </c>
      <c r="AV50" s="3" t="s">
        <v>249</v>
      </c>
    </row>
    <row r="51" spans="1:48" x14ac:dyDescent="0.25">
      <c r="A51" t="s">
        <v>1387</v>
      </c>
      <c r="B51" s="8">
        <v>43316</v>
      </c>
      <c r="C51" s="8" t="s">
        <v>844</v>
      </c>
      <c r="D51" s="3" t="s">
        <v>6</v>
      </c>
      <c r="E51" s="3" t="s">
        <v>105</v>
      </c>
      <c r="F51" s="3" t="s">
        <v>24</v>
      </c>
      <c r="G51" s="3" t="s">
        <v>20</v>
      </c>
      <c r="H51" s="9">
        <v>41.610507305435299</v>
      </c>
      <c r="I51" s="9">
        <v>2.6580549270148799</v>
      </c>
      <c r="J51" s="3">
        <v>1</v>
      </c>
      <c r="K51" s="3">
        <v>1</v>
      </c>
      <c r="L51" s="3">
        <v>0</v>
      </c>
      <c r="M51" s="3">
        <v>0</v>
      </c>
      <c r="N51" s="3" t="s">
        <v>66</v>
      </c>
      <c r="O51" s="3">
        <v>0</v>
      </c>
      <c r="P51" s="3">
        <v>1</v>
      </c>
      <c r="Q51" s="3">
        <v>0</v>
      </c>
      <c r="R51" s="3">
        <v>0</v>
      </c>
      <c r="S51" s="3">
        <v>0</v>
      </c>
      <c r="T51" s="3">
        <v>0</v>
      </c>
      <c r="U51" s="3">
        <v>0</v>
      </c>
      <c r="V51" s="3">
        <v>0</v>
      </c>
      <c r="W51" s="3">
        <v>0</v>
      </c>
      <c r="X51" s="3">
        <v>0</v>
      </c>
      <c r="Y51" s="3">
        <v>1</v>
      </c>
      <c r="Z51" s="3">
        <v>0</v>
      </c>
      <c r="AA51" s="3">
        <v>0</v>
      </c>
      <c r="AB51" s="3">
        <v>0</v>
      </c>
      <c r="AC51" s="3">
        <v>0</v>
      </c>
      <c r="AD51" s="3">
        <v>0</v>
      </c>
      <c r="AE51" s="3" t="s">
        <v>6</v>
      </c>
      <c r="AF51" s="3">
        <f>SUM(AH51:AL51)</f>
        <v>0</v>
      </c>
      <c r="AS51" s="3" t="s">
        <v>17</v>
      </c>
      <c r="AT51" s="3" t="s">
        <v>778</v>
      </c>
      <c r="AU51" s="3" t="s">
        <v>173</v>
      </c>
      <c r="AV51" s="3" t="s">
        <v>249</v>
      </c>
    </row>
    <row r="52" spans="1:48" x14ac:dyDescent="0.25">
      <c r="A52" t="s">
        <v>1388</v>
      </c>
      <c r="B52" s="8">
        <v>43316</v>
      </c>
      <c r="C52" s="8" t="s">
        <v>844</v>
      </c>
      <c r="D52" s="3" t="s">
        <v>6</v>
      </c>
      <c r="E52" s="3" t="s">
        <v>67</v>
      </c>
      <c r="F52" s="3" t="s">
        <v>69</v>
      </c>
      <c r="G52" s="3" t="s">
        <v>20</v>
      </c>
      <c r="H52" s="9">
        <v>41.140443657688401</v>
      </c>
      <c r="I52" s="9">
        <v>1.4093565403352699</v>
      </c>
      <c r="J52" s="3">
        <v>1</v>
      </c>
      <c r="K52" s="3">
        <v>1</v>
      </c>
      <c r="L52" s="3">
        <v>0</v>
      </c>
      <c r="M52" s="3">
        <v>0</v>
      </c>
      <c r="N52" s="3" t="s">
        <v>66</v>
      </c>
      <c r="O52" s="3">
        <v>0</v>
      </c>
      <c r="P52" s="3">
        <v>1</v>
      </c>
      <c r="Q52" s="3">
        <v>0</v>
      </c>
      <c r="R52" s="3">
        <v>0</v>
      </c>
      <c r="S52" s="3">
        <v>0</v>
      </c>
      <c r="T52" s="3">
        <v>0</v>
      </c>
      <c r="U52" s="3">
        <v>1</v>
      </c>
      <c r="V52" s="3">
        <v>0</v>
      </c>
      <c r="W52" s="3">
        <v>0</v>
      </c>
      <c r="X52" s="3">
        <v>0</v>
      </c>
      <c r="Y52" s="3">
        <v>0</v>
      </c>
      <c r="Z52" s="3">
        <v>0</v>
      </c>
      <c r="AA52" s="3">
        <v>0</v>
      </c>
      <c r="AB52" s="3">
        <v>0</v>
      </c>
      <c r="AC52" s="3">
        <v>0</v>
      </c>
      <c r="AD52" s="3">
        <v>0</v>
      </c>
      <c r="AE52" s="3" t="s">
        <v>6</v>
      </c>
      <c r="AF52" s="3">
        <f>SUM(AH52:AL52)</f>
        <v>0</v>
      </c>
      <c r="AS52" s="3" t="s">
        <v>17</v>
      </c>
      <c r="AT52" s="3" t="s">
        <v>778</v>
      </c>
      <c r="AU52" s="3" t="s">
        <v>174</v>
      </c>
    </row>
    <row r="53" spans="1:48" x14ac:dyDescent="0.25">
      <c r="A53" t="s">
        <v>1389</v>
      </c>
      <c r="B53" s="8">
        <v>43316</v>
      </c>
      <c r="C53" s="8" t="s">
        <v>844</v>
      </c>
      <c r="D53" s="3" t="s">
        <v>6</v>
      </c>
      <c r="E53" s="3" t="s">
        <v>91</v>
      </c>
      <c r="F53" s="3" t="s">
        <v>59</v>
      </c>
      <c r="G53" s="3" t="s">
        <v>20</v>
      </c>
      <c r="H53" s="9">
        <v>42.364488742278802</v>
      </c>
      <c r="I53" s="9">
        <v>3.1642599010221399</v>
      </c>
      <c r="J53" s="3">
        <v>1</v>
      </c>
      <c r="K53" s="3">
        <v>1</v>
      </c>
      <c r="L53" s="3">
        <v>0</v>
      </c>
      <c r="M53" s="3">
        <v>0</v>
      </c>
      <c r="N53" s="3" t="s">
        <v>16</v>
      </c>
      <c r="O53" s="3">
        <v>0</v>
      </c>
      <c r="P53" s="3">
        <v>0</v>
      </c>
      <c r="Q53" s="3">
        <v>0</v>
      </c>
      <c r="R53" s="3">
        <v>0</v>
      </c>
      <c r="S53" s="3">
        <v>0</v>
      </c>
      <c r="T53" s="3">
        <v>1</v>
      </c>
      <c r="U53" s="3">
        <v>0</v>
      </c>
      <c r="V53" s="3">
        <v>0</v>
      </c>
      <c r="W53" s="3">
        <v>0</v>
      </c>
      <c r="X53" s="3">
        <v>0</v>
      </c>
      <c r="Y53" s="3">
        <v>0</v>
      </c>
      <c r="Z53" s="3">
        <v>0</v>
      </c>
      <c r="AA53" s="3">
        <v>0</v>
      </c>
      <c r="AB53" s="3">
        <v>0</v>
      </c>
      <c r="AC53" s="3">
        <v>0</v>
      </c>
      <c r="AD53" s="3">
        <v>1</v>
      </c>
      <c r="AE53" s="3" t="s">
        <v>6</v>
      </c>
      <c r="AF53" s="3" t="s">
        <v>1433</v>
      </c>
      <c r="AS53" s="3" t="s">
        <v>17</v>
      </c>
      <c r="AT53" s="3" t="s">
        <v>776</v>
      </c>
      <c r="AU53" s="3" t="s">
        <v>175</v>
      </c>
    </row>
    <row r="54" spans="1:48" x14ac:dyDescent="0.25">
      <c r="A54" t="s">
        <v>1394</v>
      </c>
      <c r="B54" s="8">
        <v>43318</v>
      </c>
      <c r="C54" s="8" t="s">
        <v>844</v>
      </c>
      <c r="D54" s="3" t="s">
        <v>6</v>
      </c>
      <c r="E54" s="3" t="s">
        <v>97</v>
      </c>
      <c r="F54" s="3" t="s">
        <v>59</v>
      </c>
      <c r="G54" s="3" t="s">
        <v>20</v>
      </c>
      <c r="H54" s="9">
        <v>42.262452179144901</v>
      </c>
      <c r="I54" s="9">
        <v>3.1720993617682698</v>
      </c>
      <c r="J54" s="3">
        <v>1</v>
      </c>
      <c r="K54" s="3">
        <v>1</v>
      </c>
      <c r="L54" s="3">
        <v>0</v>
      </c>
      <c r="M54" s="3">
        <v>0</v>
      </c>
      <c r="N54" s="3" t="s">
        <v>66</v>
      </c>
      <c r="O54" s="3">
        <v>0</v>
      </c>
      <c r="P54" s="3">
        <v>0</v>
      </c>
      <c r="Q54" s="3">
        <v>1</v>
      </c>
      <c r="R54" s="3">
        <v>0</v>
      </c>
      <c r="S54" s="3">
        <v>0</v>
      </c>
      <c r="T54" s="3">
        <v>0</v>
      </c>
      <c r="U54" s="3">
        <v>0</v>
      </c>
      <c r="V54" s="3">
        <v>0</v>
      </c>
      <c r="W54" s="3">
        <v>0</v>
      </c>
      <c r="X54" s="3">
        <v>0</v>
      </c>
      <c r="Y54" s="3">
        <v>1</v>
      </c>
      <c r="Z54" s="3">
        <v>0</v>
      </c>
      <c r="AA54" s="3">
        <v>0</v>
      </c>
      <c r="AB54" s="3">
        <v>0</v>
      </c>
      <c r="AC54" s="3">
        <v>0</v>
      </c>
      <c r="AD54" s="3">
        <v>0</v>
      </c>
      <c r="AE54" s="3" t="s">
        <v>6</v>
      </c>
      <c r="AF54" s="3">
        <f>SUM(AH54:AL54)</f>
        <v>0</v>
      </c>
      <c r="AS54" s="3" t="s">
        <v>17</v>
      </c>
      <c r="AT54" s="3" t="s">
        <v>778</v>
      </c>
      <c r="AU54" s="3" t="s">
        <v>180</v>
      </c>
    </row>
    <row r="55" spans="1:48" x14ac:dyDescent="0.25">
      <c r="A55" t="s">
        <v>1395</v>
      </c>
      <c r="B55" s="8">
        <v>43318</v>
      </c>
      <c r="C55" s="8" t="s">
        <v>844</v>
      </c>
      <c r="D55" s="3" t="s">
        <v>6</v>
      </c>
      <c r="E55" s="3" t="s">
        <v>110</v>
      </c>
      <c r="F55" s="3" t="s">
        <v>69</v>
      </c>
      <c r="G55" s="3" t="s">
        <v>20</v>
      </c>
      <c r="H55" s="9">
        <v>41.186017928280201</v>
      </c>
      <c r="I55" s="9">
        <v>1.58123586161407</v>
      </c>
      <c r="J55" s="3">
        <v>1</v>
      </c>
      <c r="K55" s="3">
        <v>1</v>
      </c>
      <c r="L55" s="3">
        <v>0</v>
      </c>
      <c r="M55" s="3">
        <v>0</v>
      </c>
      <c r="N55" s="3" t="s">
        <v>66</v>
      </c>
      <c r="O55" s="3">
        <v>0</v>
      </c>
      <c r="P55" s="3">
        <v>1</v>
      </c>
      <c r="Q55" s="3">
        <v>0</v>
      </c>
      <c r="R55" s="3">
        <v>0</v>
      </c>
      <c r="S55" s="3">
        <v>0</v>
      </c>
      <c r="T55" s="3">
        <v>0</v>
      </c>
      <c r="U55" s="3">
        <v>0</v>
      </c>
      <c r="V55" s="3">
        <v>0</v>
      </c>
      <c r="W55" s="3">
        <v>0</v>
      </c>
      <c r="X55" s="3">
        <v>0</v>
      </c>
      <c r="Y55" s="3">
        <v>1</v>
      </c>
      <c r="Z55" s="3">
        <v>0</v>
      </c>
      <c r="AA55" s="3">
        <v>0</v>
      </c>
      <c r="AB55" s="3">
        <v>0</v>
      </c>
      <c r="AC55" s="3">
        <v>0</v>
      </c>
      <c r="AD55" s="3">
        <v>0</v>
      </c>
      <c r="AE55" s="3" t="s">
        <v>6</v>
      </c>
      <c r="AF55" s="3">
        <f>SUM(AH55:AL55)</f>
        <v>0</v>
      </c>
      <c r="AS55" s="3" t="s">
        <v>17</v>
      </c>
      <c r="AT55" s="3" t="s">
        <v>778</v>
      </c>
      <c r="AU55" s="3" t="s">
        <v>181</v>
      </c>
      <c r="AV55" s="3" t="s">
        <v>251</v>
      </c>
    </row>
    <row r="56" spans="1:48" x14ac:dyDescent="0.25">
      <c r="A56" t="s">
        <v>1396</v>
      </c>
      <c r="B56" s="8">
        <v>43318</v>
      </c>
      <c r="C56" s="8" t="s">
        <v>844</v>
      </c>
      <c r="D56" s="3" t="s">
        <v>6</v>
      </c>
      <c r="E56" s="3" t="s">
        <v>111</v>
      </c>
      <c r="F56" s="3" t="s">
        <v>24</v>
      </c>
      <c r="G56" s="3" t="s">
        <v>20</v>
      </c>
      <c r="H56" s="9">
        <v>41.579640202628198</v>
      </c>
      <c r="I56" s="9">
        <v>2.5688108972829702</v>
      </c>
      <c r="J56" s="3">
        <v>1</v>
      </c>
      <c r="K56" s="3">
        <v>1</v>
      </c>
      <c r="L56" s="3">
        <v>0</v>
      </c>
      <c r="M56" s="3">
        <v>0</v>
      </c>
      <c r="N56" s="3" t="s">
        <v>16</v>
      </c>
      <c r="O56" s="3">
        <v>0</v>
      </c>
      <c r="P56" s="3">
        <v>0</v>
      </c>
      <c r="Q56" s="3">
        <v>0</v>
      </c>
      <c r="R56" s="3">
        <v>0</v>
      </c>
      <c r="S56" s="3">
        <v>0</v>
      </c>
      <c r="T56" s="3">
        <v>1</v>
      </c>
      <c r="U56" s="3">
        <v>0</v>
      </c>
      <c r="V56" s="3">
        <v>0</v>
      </c>
      <c r="W56" s="3">
        <v>0</v>
      </c>
      <c r="X56" s="3">
        <v>0</v>
      </c>
      <c r="Y56" s="3">
        <v>0</v>
      </c>
      <c r="Z56" s="3">
        <v>0</v>
      </c>
      <c r="AA56" s="3">
        <v>0</v>
      </c>
      <c r="AB56" s="3">
        <v>0</v>
      </c>
      <c r="AC56" s="3">
        <v>0</v>
      </c>
      <c r="AD56" s="3">
        <v>1</v>
      </c>
      <c r="AE56" s="3" t="s">
        <v>6</v>
      </c>
      <c r="AF56" s="3" t="s">
        <v>1433</v>
      </c>
      <c r="AS56" s="3" t="s">
        <v>17</v>
      </c>
      <c r="AT56" s="3" t="s">
        <v>778</v>
      </c>
      <c r="AU56" s="3" t="s">
        <v>182</v>
      </c>
    </row>
    <row r="57" spans="1:48" x14ac:dyDescent="0.25">
      <c r="A57" t="s">
        <v>1399</v>
      </c>
      <c r="B57" s="8">
        <v>43320</v>
      </c>
      <c r="C57" s="8" t="s">
        <v>844</v>
      </c>
      <c r="D57" s="3" t="s">
        <v>6</v>
      </c>
      <c r="E57" s="3" t="s">
        <v>113</v>
      </c>
      <c r="F57" s="3" t="s">
        <v>24</v>
      </c>
      <c r="G57" s="3" t="s">
        <v>20</v>
      </c>
      <c r="H57" s="9">
        <v>41.407150314679399</v>
      </c>
      <c r="I57" s="9">
        <v>2.2290744515752001</v>
      </c>
      <c r="J57" s="3">
        <v>1</v>
      </c>
      <c r="K57" s="3">
        <v>1</v>
      </c>
      <c r="L57" s="3">
        <v>0</v>
      </c>
      <c r="M57" s="3">
        <v>0</v>
      </c>
      <c r="N57" s="3" t="s">
        <v>66</v>
      </c>
      <c r="O57" s="3">
        <v>0</v>
      </c>
      <c r="P57" s="3">
        <v>0</v>
      </c>
      <c r="Q57" s="3">
        <v>1</v>
      </c>
      <c r="R57" s="3">
        <v>0</v>
      </c>
      <c r="S57" s="3">
        <v>0</v>
      </c>
      <c r="T57" s="3">
        <v>0</v>
      </c>
      <c r="U57" s="3">
        <v>0</v>
      </c>
      <c r="V57" s="3">
        <v>0</v>
      </c>
      <c r="W57" s="3">
        <v>0</v>
      </c>
      <c r="X57" s="3">
        <v>0</v>
      </c>
      <c r="Y57" s="3">
        <v>1</v>
      </c>
      <c r="Z57" s="3">
        <v>0</v>
      </c>
      <c r="AA57" s="3">
        <v>0</v>
      </c>
      <c r="AB57" s="3">
        <v>0</v>
      </c>
      <c r="AC57" s="3">
        <v>0</v>
      </c>
      <c r="AD57" s="3">
        <v>0</v>
      </c>
      <c r="AE57" s="3" t="s">
        <v>6</v>
      </c>
      <c r="AF57" s="3">
        <f>SUM(AH57:AL57)</f>
        <v>0</v>
      </c>
      <c r="AS57" s="3" t="s">
        <v>17</v>
      </c>
      <c r="AT57" s="3" t="s">
        <v>776</v>
      </c>
      <c r="AU57" s="3" t="s">
        <v>185</v>
      </c>
    </row>
    <row r="58" spans="1:48" x14ac:dyDescent="0.25">
      <c r="A58" t="s">
        <v>1400</v>
      </c>
      <c r="B58" s="8">
        <v>43320</v>
      </c>
      <c r="C58" s="8" t="s">
        <v>844</v>
      </c>
      <c r="D58" s="3" t="s">
        <v>6</v>
      </c>
      <c r="E58" s="3" t="s">
        <v>91</v>
      </c>
      <c r="F58" s="3" t="s">
        <v>59</v>
      </c>
      <c r="G58" s="3" t="s">
        <v>20</v>
      </c>
      <c r="H58" s="9">
        <v>42.374083920523098</v>
      </c>
      <c r="I58" s="9">
        <v>3.1610113386980401</v>
      </c>
      <c r="J58" s="3">
        <v>1</v>
      </c>
      <c r="K58" s="3">
        <v>1</v>
      </c>
      <c r="L58" s="3">
        <v>0</v>
      </c>
      <c r="M58" s="3">
        <v>0</v>
      </c>
      <c r="N58" s="3" t="s">
        <v>16</v>
      </c>
      <c r="O58" s="3">
        <v>0</v>
      </c>
      <c r="P58" s="3">
        <v>0</v>
      </c>
      <c r="Q58" s="3">
        <v>0</v>
      </c>
      <c r="R58" s="3">
        <v>0</v>
      </c>
      <c r="S58" s="3">
        <v>0</v>
      </c>
      <c r="T58" s="3">
        <v>1</v>
      </c>
      <c r="U58" s="3">
        <v>0</v>
      </c>
      <c r="V58" s="3">
        <v>0</v>
      </c>
      <c r="W58" s="3">
        <v>0</v>
      </c>
      <c r="X58" s="3">
        <v>0</v>
      </c>
      <c r="Y58" s="3">
        <v>0</v>
      </c>
      <c r="Z58" s="3">
        <v>0</v>
      </c>
      <c r="AA58" s="3">
        <v>0</v>
      </c>
      <c r="AB58" s="3">
        <v>0</v>
      </c>
      <c r="AC58" s="3">
        <v>0</v>
      </c>
      <c r="AD58" s="3">
        <v>1</v>
      </c>
      <c r="AE58" s="3" t="s">
        <v>6</v>
      </c>
      <c r="AF58" s="3" t="s">
        <v>1433</v>
      </c>
      <c r="AS58" s="3" t="s">
        <v>17</v>
      </c>
      <c r="AT58" s="3" t="s">
        <v>776</v>
      </c>
      <c r="AU58" s="3" t="s">
        <v>186</v>
      </c>
    </row>
    <row r="59" spans="1:48" x14ac:dyDescent="0.25">
      <c r="A59" t="s">
        <v>1404</v>
      </c>
      <c r="B59" s="8">
        <v>43325</v>
      </c>
      <c r="C59" s="8" t="s">
        <v>844</v>
      </c>
      <c r="D59" s="3" t="s">
        <v>6</v>
      </c>
      <c r="E59" s="3" t="s">
        <v>116</v>
      </c>
      <c r="F59" s="3" t="s">
        <v>59</v>
      </c>
      <c r="G59" s="3" t="s">
        <v>20</v>
      </c>
      <c r="H59" s="9">
        <v>41.675133140984101</v>
      </c>
      <c r="I59" s="9">
        <v>2.8047218201159798</v>
      </c>
      <c r="J59" s="3">
        <v>1</v>
      </c>
      <c r="K59" s="3">
        <v>1</v>
      </c>
      <c r="L59" s="3">
        <v>0</v>
      </c>
      <c r="M59" s="3">
        <v>0</v>
      </c>
      <c r="N59" s="3" t="s">
        <v>66</v>
      </c>
      <c r="O59" s="3">
        <v>0</v>
      </c>
      <c r="P59" s="3">
        <v>1</v>
      </c>
      <c r="Q59" s="3">
        <v>0</v>
      </c>
      <c r="R59" s="3">
        <v>0</v>
      </c>
      <c r="S59" s="3">
        <v>0</v>
      </c>
      <c r="T59" s="3">
        <v>0</v>
      </c>
      <c r="U59" s="3">
        <v>1</v>
      </c>
      <c r="V59" s="3">
        <v>0</v>
      </c>
      <c r="W59" s="3">
        <v>0</v>
      </c>
      <c r="X59" s="3">
        <v>0</v>
      </c>
      <c r="Y59" s="3">
        <v>0</v>
      </c>
      <c r="Z59" s="3">
        <v>0</v>
      </c>
      <c r="AA59" s="3">
        <v>0</v>
      </c>
      <c r="AB59" s="3">
        <v>0</v>
      </c>
      <c r="AC59" s="3">
        <v>0</v>
      </c>
      <c r="AD59" s="3">
        <v>0</v>
      </c>
      <c r="AE59" s="3" t="s">
        <v>6</v>
      </c>
      <c r="AF59" s="3">
        <f>SUM(AH59:AL59)</f>
        <v>0</v>
      </c>
      <c r="AS59" s="3" t="s">
        <v>17</v>
      </c>
      <c r="AT59" s="3" t="s">
        <v>777</v>
      </c>
      <c r="AU59" s="3" t="s">
        <v>190</v>
      </c>
      <c r="AV59" s="3" t="s">
        <v>252</v>
      </c>
    </row>
    <row r="60" spans="1:48" x14ac:dyDescent="0.25">
      <c r="A60" t="s">
        <v>1405</v>
      </c>
      <c r="B60" s="8">
        <v>43326</v>
      </c>
      <c r="C60" s="8" t="s">
        <v>844</v>
      </c>
      <c r="D60" s="3" t="s">
        <v>6</v>
      </c>
      <c r="E60" s="3" t="s">
        <v>117</v>
      </c>
      <c r="F60" s="3" t="s">
        <v>69</v>
      </c>
      <c r="G60" s="3" t="s">
        <v>20</v>
      </c>
      <c r="H60" s="9">
        <v>40.877212784910299</v>
      </c>
      <c r="I60" s="9">
        <v>0.79915285185260498</v>
      </c>
      <c r="J60" s="3">
        <v>1</v>
      </c>
      <c r="K60" s="3">
        <v>1</v>
      </c>
      <c r="L60" s="3">
        <v>0</v>
      </c>
      <c r="M60" s="3">
        <v>0</v>
      </c>
      <c r="N60" s="3" t="s">
        <v>66</v>
      </c>
      <c r="O60" s="3">
        <v>0</v>
      </c>
      <c r="P60" s="3">
        <v>0</v>
      </c>
      <c r="Q60" s="3">
        <v>1</v>
      </c>
      <c r="R60" s="3">
        <v>0</v>
      </c>
      <c r="S60" s="3">
        <v>0</v>
      </c>
      <c r="T60" s="3">
        <v>0</v>
      </c>
      <c r="U60" s="3">
        <v>0</v>
      </c>
      <c r="V60" s="3">
        <v>0</v>
      </c>
      <c r="W60" s="3">
        <v>0</v>
      </c>
      <c r="X60" s="3">
        <v>0</v>
      </c>
      <c r="Y60" s="3">
        <v>1</v>
      </c>
      <c r="Z60" s="3">
        <v>0</v>
      </c>
      <c r="AA60" s="3">
        <v>0</v>
      </c>
      <c r="AB60" s="3">
        <v>0</v>
      </c>
      <c r="AC60" s="3">
        <v>0</v>
      </c>
      <c r="AD60" s="3">
        <v>0</v>
      </c>
      <c r="AE60" s="3" t="s">
        <v>6</v>
      </c>
      <c r="AF60" s="3">
        <f>SUM(AH60:AL60)</f>
        <v>0</v>
      </c>
      <c r="AS60" s="3" t="s">
        <v>17</v>
      </c>
      <c r="AT60" s="3" t="s">
        <v>780</v>
      </c>
      <c r="AU60" s="3" t="s">
        <v>191</v>
      </c>
      <c r="AV60" s="3" t="s">
        <v>253</v>
      </c>
    </row>
    <row r="61" spans="1:48" x14ac:dyDescent="0.25">
      <c r="A61" t="s">
        <v>1406</v>
      </c>
      <c r="B61" s="8">
        <v>43327</v>
      </c>
      <c r="C61" s="8" t="s">
        <v>844</v>
      </c>
      <c r="D61" s="3" t="s">
        <v>6</v>
      </c>
      <c r="E61" s="3" t="s">
        <v>118</v>
      </c>
      <c r="F61" s="3" t="s">
        <v>59</v>
      </c>
      <c r="G61" s="3" t="s">
        <v>20</v>
      </c>
      <c r="H61" s="9">
        <v>42.066712176560998</v>
      </c>
      <c r="I61" s="9">
        <v>3.21236740605169</v>
      </c>
      <c r="J61" s="3">
        <v>1</v>
      </c>
      <c r="K61" s="3">
        <v>1</v>
      </c>
      <c r="L61" s="3">
        <v>0</v>
      </c>
      <c r="M61" s="3">
        <v>0</v>
      </c>
      <c r="N61" s="3" t="s">
        <v>16</v>
      </c>
      <c r="O61" s="3">
        <v>0</v>
      </c>
      <c r="P61" s="3">
        <v>0</v>
      </c>
      <c r="Q61" s="3">
        <v>0</v>
      </c>
      <c r="R61" s="3">
        <v>0</v>
      </c>
      <c r="S61" s="3">
        <v>1</v>
      </c>
      <c r="T61" s="3">
        <v>0</v>
      </c>
      <c r="U61" s="3">
        <v>0</v>
      </c>
      <c r="V61" s="3">
        <v>0</v>
      </c>
      <c r="W61" s="3">
        <v>0</v>
      </c>
      <c r="X61" s="3">
        <v>0</v>
      </c>
      <c r="Y61" s="3">
        <v>0</v>
      </c>
      <c r="Z61" s="3">
        <v>0</v>
      </c>
      <c r="AA61" s="3">
        <v>0</v>
      </c>
      <c r="AB61" s="3">
        <v>0</v>
      </c>
      <c r="AC61" s="3">
        <v>0</v>
      </c>
      <c r="AD61" s="3">
        <v>1</v>
      </c>
      <c r="AE61" s="3" t="s">
        <v>6</v>
      </c>
      <c r="AF61" s="3" t="s">
        <v>1433</v>
      </c>
      <c r="AS61" s="3" t="s">
        <v>17</v>
      </c>
      <c r="AT61" s="3" t="s">
        <v>777</v>
      </c>
      <c r="AU61" s="3" t="s">
        <v>192</v>
      </c>
    </row>
    <row r="62" spans="1:48" x14ac:dyDescent="0.25">
      <c r="A62" t="s">
        <v>1407</v>
      </c>
      <c r="B62" s="8">
        <v>43329</v>
      </c>
      <c r="C62" s="8" t="s">
        <v>844</v>
      </c>
      <c r="D62" s="3" t="s">
        <v>6</v>
      </c>
      <c r="E62" s="3" t="s">
        <v>67</v>
      </c>
      <c r="F62" s="3" t="s">
        <v>69</v>
      </c>
      <c r="G62" s="3" t="s">
        <v>20</v>
      </c>
      <c r="H62" s="9">
        <v>41.132139701411802</v>
      </c>
      <c r="I62" s="9">
        <v>1.38968173711117</v>
      </c>
      <c r="J62" s="3">
        <v>1</v>
      </c>
      <c r="K62" s="3">
        <v>1</v>
      </c>
      <c r="L62" s="3">
        <v>0</v>
      </c>
      <c r="M62" s="3">
        <v>0</v>
      </c>
      <c r="N62" s="3" t="s">
        <v>16</v>
      </c>
      <c r="O62" s="3">
        <v>0</v>
      </c>
      <c r="P62" s="3">
        <v>0</v>
      </c>
      <c r="Q62" s="3">
        <v>0</v>
      </c>
      <c r="R62" s="3">
        <v>0</v>
      </c>
      <c r="S62" s="3">
        <v>0</v>
      </c>
      <c r="T62" s="3">
        <v>1</v>
      </c>
      <c r="U62" s="3">
        <v>0</v>
      </c>
      <c r="V62" s="3">
        <v>0</v>
      </c>
      <c r="W62" s="3">
        <v>0</v>
      </c>
      <c r="X62" s="3">
        <v>0</v>
      </c>
      <c r="Y62" s="3">
        <v>0</v>
      </c>
      <c r="Z62" s="3">
        <v>0</v>
      </c>
      <c r="AA62" s="3">
        <v>0</v>
      </c>
      <c r="AB62" s="3">
        <v>0</v>
      </c>
      <c r="AC62" s="3">
        <v>0</v>
      </c>
      <c r="AD62" s="3">
        <v>1</v>
      </c>
      <c r="AE62" s="3" t="s">
        <v>6</v>
      </c>
      <c r="AF62" s="3" t="s">
        <v>1433</v>
      </c>
      <c r="AS62" s="3" t="s">
        <v>17</v>
      </c>
      <c r="AT62" s="3" t="s">
        <v>778</v>
      </c>
      <c r="AU62" s="3" t="s">
        <v>193</v>
      </c>
    </row>
    <row r="63" spans="1:48" x14ac:dyDescent="0.25">
      <c r="A63" t="s">
        <v>1408</v>
      </c>
      <c r="B63" s="8">
        <v>43329</v>
      </c>
      <c r="C63" s="8" t="s">
        <v>844</v>
      </c>
      <c r="D63" s="3" t="s">
        <v>6</v>
      </c>
      <c r="E63" s="3" t="s">
        <v>119</v>
      </c>
      <c r="F63" s="3" t="s">
        <v>69</v>
      </c>
      <c r="G63" s="3" t="s">
        <v>20</v>
      </c>
      <c r="H63" s="9">
        <v>41.127953717568097</v>
      </c>
      <c r="I63" s="9">
        <v>1.3357569236095801</v>
      </c>
      <c r="J63" s="3">
        <v>1</v>
      </c>
      <c r="K63" s="3">
        <v>1</v>
      </c>
      <c r="L63" s="3">
        <v>0</v>
      </c>
      <c r="M63" s="3">
        <v>0</v>
      </c>
      <c r="N63" s="3" t="s">
        <v>16</v>
      </c>
      <c r="O63" s="3">
        <v>0</v>
      </c>
      <c r="P63" s="3">
        <v>0</v>
      </c>
      <c r="Q63" s="3">
        <v>0</v>
      </c>
      <c r="R63" s="3">
        <v>0</v>
      </c>
      <c r="S63" s="3">
        <v>0</v>
      </c>
      <c r="T63" s="3">
        <v>1</v>
      </c>
      <c r="U63" s="3">
        <v>0</v>
      </c>
      <c r="V63" s="3">
        <v>0</v>
      </c>
      <c r="W63" s="3">
        <v>0</v>
      </c>
      <c r="X63" s="3">
        <v>0</v>
      </c>
      <c r="Y63" s="3">
        <v>0</v>
      </c>
      <c r="Z63" s="3">
        <v>0</v>
      </c>
      <c r="AA63" s="3">
        <v>0</v>
      </c>
      <c r="AB63" s="3">
        <v>0</v>
      </c>
      <c r="AC63" s="3">
        <v>0</v>
      </c>
      <c r="AD63" s="3">
        <v>1</v>
      </c>
      <c r="AE63" s="3" t="s">
        <v>6</v>
      </c>
      <c r="AF63" s="3" t="s">
        <v>1433</v>
      </c>
      <c r="AS63" s="3" t="s">
        <v>17</v>
      </c>
      <c r="AT63" s="3" t="s">
        <v>778</v>
      </c>
      <c r="AU63" s="3" t="s">
        <v>194</v>
      </c>
    </row>
    <row r="64" spans="1:48" x14ac:dyDescent="0.25">
      <c r="A64" t="s">
        <v>1410</v>
      </c>
      <c r="B64" s="8">
        <v>43337</v>
      </c>
      <c r="C64" s="8" t="s">
        <v>844</v>
      </c>
      <c r="D64" s="3" t="s">
        <v>6</v>
      </c>
      <c r="E64" s="3" t="s">
        <v>120</v>
      </c>
      <c r="F64" s="3" t="s">
        <v>24</v>
      </c>
      <c r="G64" s="3" t="s">
        <v>20</v>
      </c>
      <c r="H64" s="9">
        <v>41.566685095404701</v>
      </c>
      <c r="I64" s="9">
        <v>2.52544230649724</v>
      </c>
      <c r="J64" s="3">
        <v>1</v>
      </c>
      <c r="K64" s="3">
        <v>1</v>
      </c>
      <c r="L64" s="3">
        <v>0</v>
      </c>
      <c r="M64" s="3">
        <v>0</v>
      </c>
      <c r="N64" s="3" t="s">
        <v>16</v>
      </c>
      <c r="O64" s="3">
        <v>0</v>
      </c>
      <c r="P64" s="3">
        <v>0</v>
      </c>
      <c r="Q64" s="3">
        <v>0</v>
      </c>
      <c r="R64" s="3">
        <v>0</v>
      </c>
      <c r="S64" s="3">
        <v>0</v>
      </c>
      <c r="T64" s="3">
        <v>1</v>
      </c>
      <c r="U64" s="3">
        <v>0</v>
      </c>
      <c r="V64" s="3">
        <v>0</v>
      </c>
      <c r="W64" s="3">
        <v>0</v>
      </c>
      <c r="X64" s="3">
        <v>0</v>
      </c>
      <c r="Y64" s="3">
        <v>0</v>
      </c>
      <c r="Z64" s="3">
        <v>0</v>
      </c>
      <c r="AA64" s="3">
        <v>0</v>
      </c>
      <c r="AB64" s="3">
        <v>0</v>
      </c>
      <c r="AC64" s="3">
        <v>0</v>
      </c>
      <c r="AD64" s="3">
        <v>1</v>
      </c>
      <c r="AE64" s="3" t="s">
        <v>6</v>
      </c>
      <c r="AF64" s="3" t="s">
        <v>1433</v>
      </c>
      <c r="AS64" s="3" t="s">
        <v>17</v>
      </c>
      <c r="AT64" s="3" t="s">
        <v>778</v>
      </c>
      <c r="AU64" s="3" t="s">
        <v>196</v>
      </c>
    </row>
    <row r="65" spans="1:48" x14ac:dyDescent="0.25">
      <c r="A65" t="s">
        <v>1411</v>
      </c>
      <c r="B65" s="8">
        <v>43345</v>
      </c>
      <c r="C65" s="8" t="s">
        <v>844</v>
      </c>
      <c r="D65" s="3" t="s">
        <v>6</v>
      </c>
      <c r="E65" s="3" t="s">
        <v>121</v>
      </c>
      <c r="F65" s="3" t="s">
        <v>59</v>
      </c>
      <c r="G65" s="3" t="s">
        <v>20</v>
      </c>
      <c r="H65" s="9">
        <v>41.6984667252881</v>
      </c>
      <c r="I65" s="9">
        <v>2.85111550131086</v>
      </c>
      <c r="J65" s="3">
        <v>1</v>
      </c>
      <c r="K65" s="3">
        <v>1</v>
      </c>
      <c r="L65" s="3">
        <v>0</v>
      </c>
      <c r="M65" s="3">
        <v>0</v>
      </c>
      <c r="N65" s="3" t="s">
        <v>66</v>
      </c>
      <c r="O65" s="3">
        <v>0</v>
      </c>
      <c r="P65" s="3">
        <v>0</v>
      </c>
      <c r="Q65" s="3">
        <v>1</v>
      </c>
      <c r="R65" s="3">
        <v>0</v>
      </c>
      <c r="S65" s="3">
        <v>0</v>
      </c>
      <c r="T65" s="3">
        <v>0</v>
      </c>
      <c r="U65" s="3">
        <v>0</v>
      </c>
      <c r="V65" s="3">
        <v>0</v>
      </c>
      <c r="W65" s="3">
        <v>0</v>
      </c>
      <c r="X65" s="3">
        <v>0</v>
      </c>
      <c r="Y65" s="3">
        <v>1</v>
      </c>
      <c r="Z65" s="3">
        <v>0</v>
      </c>
      <c r="AA65" s="3">
        <v>0</v>
      </c>
      <c r="AB65" s="3">
        <v>0</v>
      </c>
      <c r="AC65" s="3">
        <v>0</v>
      </c>
      <c r="AD65" s="3">
        <v>0</v>
      </c>
      <c r="AE65" s="3" t="s">
        <v>6</v>
      </c>
      <c r="AF65" s="3">
        <f>SUM(AH65:AL65)</f>
        <v>0</v>
      </c>
      <c r="AS65" s="3" t="s">
        <v>17</v>
      </c>
      <c r="AT65" s="3" t="s">
        <v>776</v>
      </c>
      <c r="AU65" s="3" t="s">
        <v>197</v>
      </c>
      <c r="AV65" s="3" t="s">
        <v>254</v>
      </c>
    </row>
    <row r="66" spans="1:48" x14ac:dyDescent="0.25">
      <c r="A66" t="s">
        <v>956</v>
      </c>
      <c r="B66" s="8">
        <v>43354</v>
      </c>
      <c r="C66" s="8" t="s">
        <v>844</v>
      </c>
      <c r="D66" s="3" t="s">
        <v>6</v>
      </c>
      <c r="E66" s="3" t="s">
        <v>122</v>
      </c>
      <c r="F66" s="3" t="s">
        <v>59</v>
      </c>
      <c r="G66" s="3" t="s">
        <v>20</v>
      </c>
      <c r="H66" s="9">
        <v>42.141203746387497</v>
      </c>
      <c r="I66" s="9">
        <v>3.1191321541039301</v>
      </c>
      <c r="J66" s="3">
        <v>1</v>
      </c>
      <c r="K66" s="3">
        <v>1</v>
      </c>
      <c r="L66" s="3">
        <v>0</v>
      </c>
      <c r="M66" s="3">
        <v>0</v>
      </c>
      <c r="N66" s="3" t="s">
        <v>16</v>
      </c>
      <c r="O66" s="3">
        <v>0</v>
      </c>
      <c r="P66" s="3">
        <v>0</v>
      </c>
      <c r="Q66" s="3">
        <v>0</v>
      </c>
      <c r="R66" s="3">
        <v>0</v>
      </c>
      <c r="S66" s="3">
        <v>0</v>
      </c>
      <c r="T66" s="3">
        <v>1</v>
      </c>
      <c r="U66" s="3">
        <v>0</v>
      </c>
      <c r="V66" s="3">
        <v>0</v>
      </c>
      <c r="W66" s="3">
        <v>0</v>
      </c>
      <c r="X66" s="3">
        <v>0</v>
      </c>
      <c r="Y66" s="3">
        <v>0</v>
      </c>
      <c r="Z66" s="3">
        <v>0</v>
      </c>
      <c r="AA66" s="3">
        <v>0</v>
      </c>
      <c r="AB66" s="3">
        <v>0</v>
      </c>
      <c r="AC66" s="3">
        <v>0</v>
      </c>
      <c r="AD66" s="3">
        <v>1</v>
      </c>
      <c r="AE66" s="3" t="s">
        <v>6</v>
      </c>
      <c r="AF66" s="3" t="s">
        <v>1433</v>
      </c>
      <c r="AS66" s="3" t="s">
        <v>17</v>
      </c>
      <c r="AT66" s="3" t="s">
        <v>778</v>
      </c>
      <c r="AU66" s="3" t="s">
        <v>199</v>
      </c>
    </row>
    <row r="67" spans="1:48" x14ac:dyDescent="0.25">
      <c r="A67" t="s">
        <v>957</v>
      </c>
      <c r="B67" s="8">
        <v>43408</v>
      </c>
      <c r="C67" s="8" t="s">
        <v>844</v>
      </c>
      <c r="D67" s="3" t="s">
        <v>6</v>
      </c>
      <c r="E67" s="3" t="s">
        <v>67</v>
      </c>
      <c r="F67" s="3" t="s">
        <v>69</v>
      </c>
      <c r="G67" s="3" t="s">
        <v>20</v>
      </c>
      <c r="H67" s="9">
        <v>41.140504471331901</v>
      </c>
      <c r="I67" s="9">
        <v>1.40892143222323</v>
      </c>
      <c r="J67" s="3">
        <v>1</v>
      </c>
      <c r="K67" s="3">
        <v>1</v>
      </c>
      <c r="L67" s="3">
        <v>0</v>
      </c>
      <c r="M67" s="3">
        <v>0</v>
      </c>
      <c r="N67" s="3" t="s">
        <v>66</v>
      </c>
      <c r="O67" s="3">
        <v>0</v>
      </c>
      <c r="P67" s="3">
        <v>0</v>
      </c>
      <c r="Q67" s="3">
        <v>1</v>
      </c>
      <c r="R67" s="3">
        <v>0</v>
      </c>
      <c r="S67" s="3">
        <v>0</v>
      </c>
      <c r="T67" s="3">
        <v>0</v>
      </c>
      <c r="U67" s="3">
        <v>0</v>
      </c>
      <c r="V67" s="3">
        <v>0</v>
      </c>
      <c r="W67" s="3">
        <v>0</v>
      </c>
      <c r="X67" s="3">
        <v>0</v>
      </c>
      <c r="Y67" s="3">
        <v>1</v>
      </c>
      <c r="Z67" s="3">
        <v>0</v>
      </c>
      <c r="AA67" s="3">
        <v>0</v>
      </c>
      <c r="AB67" s="3">
        <v>0</v>
      </c>
      <c r="AC67" s="3">
        <v>0</v>
      </c>
      <c r="AD67" s="3">
        <v>0</v>
      </c>
      <c r="AE67" s="3" t="s">
        <v>6</v>
      </c>
      <c r="AF67" s="3">
        <f>SUM(AH67:AL67)</f>
        <v>0</v>
      </c>
      <c r="AS67" s="3" t="s">
        <v>17</v>
      </c>
      <c r="AT67" s="3" t="s">
        <v>777</v>
      </c>
      <c r="AU67" s="3" t="s">
        <v>200</v>
      </c>
    </row>
    <row r="68" spans="1:48" x14ac:dyDescent="0.25">
      <c r="A68" t="s">
        <v>958</v>
      </c>
      <c r="B68" s="8">
        <v>43411</v>
      </c>
      <c r="C68" s="8" t="s">
        <v>843</v>
      </c>
      <c r="D68" s="3" t="s">
        <v>6</v>
      </c>
      <c r="E68" s="3" t="s">
        <v>123</v>
      </c>
      <c r="F68" s="3" t="s">
        <v>23</v>
      </c>
      <c r="G68" s="3" t="s">
        <v>23</v>
      </c>
      <c r="H68" s="9">
        <v>37.537703269641199</v>
      </c>
      <c r="I68" s="9">
        <v>-1.1415961744989001</v>
      </c>
      <c r="J68" s="3">
        <v>1</v>
      </c>
      <c r="K68" s="3">
        <v>1</v>
      </c>
      <c r="L68" s="3">
        <v>0</v>
      </c>
      <c r="M68" s="3">
        <v>0</v>
      </c>
      <c r="N68" s="3" t="s">
        <v>66</v>
      </c>
      <c r="O68" s="3">
        <v>0</v>
      </c>
      <c r="P68" s="3">
        <v>1</v>
      </c>
      <c r="Q68" s="3">
        <v>0</v>
      </c>
      <c r="R68" s="3">
        <v>0</v>
      </c>
      <c r="S68" s="3">
        <v>0</v>
      </c>
      <c r="T68" s="3">
        <v>0</v>
      </c>
      <c r="U68" s="3">
        <v>1</v>
      </c>
      <c r="V68" s="3">
        <v>0</v>
      </c>
      <c r="W68" s="3">
        <v>0</v>
      </c>
      <c r="X68" s="3">
        <v>0</v>
      </c>
      <c r="Y68" s="3">
        <v>0</v>
      </c>
      <c r="Z68" s="3">
        <v>0</v>
      </c>
      <c r="AA68" s="3">
        <v>0</v>
      </c>
      <c r="AB68" s="3">
        <v>0</v>
      </c>
      <c r="AC68" s="3">
        <v>0</v>
      </c>
      <c r="AD68" s="3">
        <v>0</v>
      </c>
      <c r="AE68" s="3" t="s">
        <v>6</v>
      </c>
      <c r="AF68" s="3">
        <f>SUM(AH68:AL68)</f>
        <v>0</v>
      </c>
      <c r="AS68" s="3" t="s">
        <v>17</v>
      </c>
      <c r="AT68" s="3" t="s">
        <v>777</v>
      </c>
      <c r="AU68" s="3" t="s">
        <v>201</v>
      </c>
      <c r="AV68" s="3" t="s">
        <v>566</v>
      </c>
    </row>
    <row r="69" spans="1:48" x14ac:dyDescent="0.25">
      <c r="A69" t="s">
        <v>959</v>
      </c>
      <c r="B69" s="8">
        <v>43673</v>
      </c>
      <c r="C69" s="8" t="s">
        <v>844</v>
      </c>
      <c r="D69" s="3" t="s">
        <v>6</v>
      </c>
      <c r="E69" s="3" t="s">
        <v>71</v>
      </c>
      <c r="F69" s="3" t="s">
        <v>23</v>
      </c>
      <c r="G69" s="3" t="s">
        <v>23</v>
      </c>
      <c r="H69" s="9">
        <v>37.5528263439951</v>
      </c>
      <c r="I69" s="9">
        <v>-1.1719252357326</v>
      </c>
      <c r="J69" s="3">
        <v>1</v>
      </c>
      <c r="K69" s="3">
        <v>1</v>
      </c>
      <c r="L69" s="3">
        <v>0</v>
      </c>
      <c r="M69" s="3">
        <v>0</v>
      </c>
      <c r="N69" s="3" t="s">
        <v>66</v>
      </c>
      <c r="O69" s="3">
        <v>0</v>
      </c>
      <c r="P69" s="3">
        <v>0</v>
      </c>
      <c r="Q69" s="3">
        <v>1</v>
      </c>
      <c r="R69" s="3">
        <v>0</v>
      </c>
      <c r="S69" s="3">
        <v>0</v>
      </c>
      <c r="T69" s="3">
        <v>0</v>
      </c>
      <c r="U69" s="3">
        <v>0</v>
      </c>
      <c r="V69" s="3">
        <v>0</v>
      </c>
      <c r="W69" s="3">
        <v>0</v>
      </c>
      <c r="X69" s="3">
        <v>0</v>
      </c>
      <c r="Y69" s="3">
        <v>1</v>
      </c>
      <c r="Z69" s="3">
        <v>0</v>
      </c>
      <c r="AA69" s="3">
        <v>0</v>
      </c>
      <c r="AB69" s="3">
        <v>0</v>
      </c>
      <c r="AC69" s="3">
        <v>0</v>
      </c>
      <c r="AD69" s="3">
        <v>0</v>
      </c>
      <c r="AE69" s="3" t="s">
        <v>6</v>
      </c>
      <c r="AF69" s="3">
        <f>SUM(AH69:AL69)</f>
        <v>0</v>
      </c>
      <c r="AS69" s="3" t="s">
        <v>17</v>
      </c>
      <c r="AT69" s="3" t="s">
        <v>777</v>
      </c>
      <c r="AU69" s="3" t="s">
        <v>202</v>
      </c>
    </row>
    <row r="70" spans="1:48" x14ac:dyDescent="0.25">
      <c r="A70" t="s">
        <v>960</v>
      </c>
      <c r="B70" s="8">
        <v>43677</v>
      </c>
      <c r="C70" s="8" t="s">
        <v>844</v>
      </c>
      <c r="D70" s="3" t="s">
        <v>6</v>
      </c>
      <c r="E70" s="3" t="s">
        <v>123</v>
      </c>
      <c r="F70" s="3" t="s">
        <v>23</v>
      </c>
      <c r="G70" s="3" t="s">
        <v>23</v>
      </c>
      <c r="H70" s="9">
        <v>37.537703269641199</v>
      </c>
      <c r="I70" s="9">
        <v>-1.1415961744989001</v>
      </c>
      <c r="J70" s="3">
        <v>1</v>
      </c>
      <c r="K70" s="3">
        <v>1</v>
      </c>
      <c r="L70" s="3">
        <v>0</v>
      </c>
      <c r="M70" s="3">
        <v>0</v>
      </c>
      <c r="N70" s="3" t="s">
        <v>16</v>
      </c>
      <c r="O70" s="3">
        <v>0</v>
      </c>
      <c r="P70" s="3">
        <v>0</v>
      </c>
      <c r="Q70" s="3">
        <v>0</v>
      </c>
      <c r="R70" s="3">
        <v>0</v>
      </c>
      <c r="S70" s="3">
        <v>1</v>
      </c>
      <c r="T70" s="3">
        <v>0</v>
      </c>
      <c r="U70" s="3">
        <v>0</v>
      </c>
      <c r="V70" s="3">
        <v>0</v>
      </c>
      <c r="W70" s="3">
        <v>0</v>
      </c>
      <c r="X70" s="3">
        <v>0</v>
      </c>
      <c r="Y70" s="3">
        <v>0</v>
      </c>
      <c r="Z70" s="3">
        <v>1</v>
      </c>
      <c r="AA70" s="3">
        <v>0</v>
      </c>
      <c r="AB70" s="3">
        <v>0</v>
      </c>
      <c r="AC70" s="3">
        <v>0</v>
      </c>
      <c r="AD70" s="3">
        <v>0</v>
      </c>
      <c r="AE70" s="3" t="s">
        <v>6</v>
      </c>
      <c r="AF70" s="3" t="s">
        <v>1433</v>
      </c>
      <c r="AS70" s="3" t="s">
        <v>17</v>
      </c>
      <c r="AT70" s="3" t="s">
        <v>777</v>
      </c>
      <c r="AU70" s="3" t="s">
        <v>203</v>
      </c>
    </row>
    <row r="71" spans="1:48" x14ac:dyDescent="0.25">
      <c r="A71" t="s">
        <v>961</v>
      </c>
      <c r="B71" s="8">
        <v>43682</v>
      </c>
      <c r="C71" s="8" t="s">
        <v>844</v>
      </c>
      <c r="D71" s="3" t="s">
        <v>6</v>
      </c>
      <c r="E71" s="3" t="s">
        <v>71</v>
      </c>
      <c r="F71" s="3" t="s">
        <v>23</v>
      </c>
      <c r="G71" s="3" t="s">
        <v>23</v>
      </c>
      <c r="H71" s="9">
        <v>37.539057932006202</v>
      </c>
      <c r="I71" s="9">
        <v>-1.1364350479298599</v>
      </c>
      <c r="J71" s="3">
        <v>1</v>
      </c>
      <c r="K71" s="3">
        <v>1</v>
      </c>
      <c r="L71" s="3">
        <v>0</v>
      </c>
      <c r="M71" s="3">
        <v>0</v>
      </c>
      <c r="N71" s="3" t="s">
        <v>66</v>
      </c>
      <c r="O71" s="3">
        <v>0</v>
      </c>
      <c r="P71" s="3">
        <v>0</v>
      </c>
      <c r="Q71" s="3">
        <v>1</v>
      </c>
      <c r="R71" s="3">
        <v>0</v>
      </c>
      <c r="S71" s="3">
        <v>0</v>
      </c>
      <c r="T71" s="3">
        <v>0</v>
      </c>
      <c r="U71" s="3">
        <v>0</v>
      </c>
      <c r="V71" s="3">
        <v>0</v>
      </c>
      <c r="W71" s="3">
        <v>0</v>
      </c>
      <c r="X71" s="3">
        <v>0</v>
      </c>
      <c r="Y71" s="3">
        <v>1</v>
      </c>
      <c r="Z71" s="3">
        <v>0</v>
      </c>
      <c r="AA71" s="3">
        <v>0</v>
      </c>
      <c r="AB71" s="3">
        <v>0</v>
      </c>
      <c r="AC71" s="3">
        <v>0</v>
      </c>
      <c r="AD71" s="3">
        <v>0</v>
      </c>
      <c r="AE71" s="3" t="s">
        <v>6</v>
      </c>
      <c r="AF71" s="3">
        <f t="shared" ref="AF71:AF76" si="1">SUM(AH71:AL71)</f>
        <v>0</v>
      </c>
      <c r="AS71" s="3" t="s">
        <v>17</v>
      </c>
      <c r="AT71" s="3" t="s">
        <v>776</v>
      </c>
      <c r="AU71" s="3" t="s">
        <v>204</v>
      </c>
    </row>
    <row r="72" spans="1:48" x14ac:dyDescent="0.25">
      <c r="A72" t="s">
        <v>965</v>
      </c>
      <c r="B72" s="8">
        <v>44018</v>
      </c>
      <c r="C72" s="8" t="s">
        <v>844</v>
      </c>
      <c r="D72" s="3" t="s">
        <v>6</v>
      </c>
      <c r="E72" s="3" t="s">
        <v>127</v>
      </c>
      <c r="F72" s="3" t="s">
        <v>25</v>
      </c>
      <c r="G72" s="3" t="s">
        <v>19</v>
      </c>
      <c r="H72" s="9">
        <v>38.350190159423498</v>
      </c>
      <c r="I72" s="9">
        <v>-0.40503347697195302</v>
      </c>
      <c r="J72" s="3">
        <v>1</v>
      </c>
      <c r="K72" s="3">
        <v>1</v>
      </c>
      <c r="L72" s="3">
        <v>0</v>
      </c>
      <c r="M72" s="3">
        <v>0</v>
      </c>
      <c r="N72" s="3" t="s">
        <v>66</v>
      </c>
      <c r="O72" s="3">
        <v>0</v>
      </c>
      <c r="P72" s="3">
        <v>0</v>
      </c>
      <c r="Q72" s="3">
        <v>1</v>
      </c>
      <c r="R72" s="3">
        <v>0</v>
      </c>
      <c r="S72" s="3">
        <v>0</v>
      </c>
      <c r="T72" s="3">
        <v>0</v>
      </c>
      <c r="U72" s="3">
        <v>0</v>
      </c>
      <c r="V72" s="3">
        <v>0</v>
      </c>
      <c r="W72" s="3">
        <v>0</v>
      </c>
      <c r="X72" s="3">
        <v>0</v>
      </c>
      <c r="Y72" s="3">
        <v>1</v>
      </c>
      <c r="Z72" s="3">
        <v>0</v>
      </c>
      <c r="AA72" s="3">
        <v>0</v>
      </c>
      <c r="AB72" s="3">
        <v>0</v>
      </c>
      <c r="AC72" s="3">
        <v>0</v>
      </c>
      <c r="AD72" s="3">
        <v>0</v>
      </c>
      <c r="AE72" s="3" t="s">
        <v>6</v>
      </c>
      <c r="AF72" s="3">
        <f t="shared" si="1"/>
        <v>0</v>
      </c>
      <c r="AS72" s="3" t="s">
        <v>17</v>
      </c>
      <c r="AT72" s="3" t="s">
        <v>779</v>
      </c>
      <c r="AU72" s="3" t="s">
        <v>208</v>
      </c>
      <c r="AV72" s="3" t="s">
        <v>256</v>
      </c>
    </row>
    <row r="73" spans="1:48" x14ac:dyDescent="0.25">
      <c r="A73" t="s">
        <v>966</v>
      </c>
      <c r="B73" s="8">
        <v>44039</v>
      </c>
      <c r="C73" s="8" t="s">
        <v>844</v>
      </c>
      <c r="D73" s="3" t="s">
        <v>6</v>
      </c>
      <c r="E73" s="3" t="s">
        <v>128</v>
      </c>
      <c r="F73" s="3" t="s">
        <v>23</v>
      </c>
      <c r="G73" s="3" t="s">
        <v>23</v>
      </c>
      <c r="H73" s="9">
        <v>37.5803063725306</v>
      </c>
      <c r="I73" s="9">
        <v>-0.97635390721666204</v>
      </c>
      <c r="J73" s="3">
        <v>1</v>
      </c>
      <c r="K73" s="3">
        <v>1</v>
      </c>
      <c r="L73" s="3">
        <v>0</v>
      </c>
      <c r="M73" s="3">
        <v>0</v>
      </c>
      <c r="N73" s="3" t="s">
        <v>66</v>
      </c>
      <c r="O73" s="3">
        <v>0</v>
      </c>
      <c r="P73" s="3">
        <v>1</v>
      </c>
      <c r="Q73" s="3">
        <v>0</v>
      </c>
      <c r="R73" s="3">
        <v>0</v>
      </c>
      <c r="S73" s="3">
        <v>0</v>
      </c>
      <c r="T73" s="3">
        <v>0</v>
      </c>
      <c r="U73" s="3">
        <v>0</v>
      </c>
      <c r="V73" s="3">
        <v>0</v>
      </c>
      <c r="W73" s="3">
        <v>0</v>
      </c>
      <c r="X73" s="3">
        <v>0</v>
      </c>
      <c r="Y73" s="3">
        <v>1</v>
      </c>
      <c r="Z73" s="3">
        <v>0</v>
      </c>
      <c r="AA73" s="3">
        <v>0</v>
      </c>
      <c r="AB73" s="3">
        <v>0</v>
      </c>
      <c r="AC73" s="3">
        <v>0</v>
      </c>
      <c r="AD73" s="3">
        <v>0</v>
      </c>
      <c r="AE73" s="3" t="s">
        <v>6</v>
      </c>
      <c r="AF73" s="3">
        <f t="shared" si="1"/>
        <v>0</v>
      </c>
      <c r="AS73" s="3" t="s">
        <v>17</v>
      </c>
      <c r="AT73" s="3" t="s">
        <v>776</v>
      </c>
      <c r="AU73" s="3" t="s">
        <v>209</v>
      </c>
    </row>
    <row r="74" spans="1:48" x14ac:dyDescent="0.25">
      <c r="A74" t="s">
        <v>967</v>
      </c>
      <c r="B74" s="8">
        <v>44039</v>
      </c>
      <c r="C74" s="8" t="s">
        <v>844</v>
      </c>
      <c r="D74" s="3" t="s">
        <v>6</v>
      </c>
      <c r="E74" s="3" t="s">
        <v>89</v>
      </c>
      <c r="F74" s="3" t="s">
        <v>47</v>
      </c>
      <c r="G74" s="3" t="s">
        <v>21</v>
      </c>
      <c r="H74" s="9">
        <v>36.737528315166401</v>
      </c>
      <c r="I74" s="9">
        <v>-2.2079333280212801</v>
      </c>
      <c r="J74" s="3">
        <v>1</v>
      </c>
      <c r="K74" s="3">
        <v>1</v>
      </c>
      <c r="L74" s="3">
        <v>0</v>
      </c>
      <c r="M74" s="3">
        <v>0</v>
      </c>
      <c r="N74" s="3" t="s">
        <v>66</v>
      </c>
      <c r="O74" s="3">
        <v>0</v>
      </c>
      <c r="P74" s="3">
        <v>1</v>
      </c>
      <c r="Q74" s="3">
        <v>0</v>
      </c>
      <c r="R74" s="3">
        <v>0</v>
      </c>
      <c r="S74" s="3">
        <v>0</v>
      </c>
      <c r="T74" s="3">
        <v>0</v>
      </c>
      <c r="U74" s="3">
        <v>1</v>
      </c>
      <c r="V74" s="3">
        <v>0</v>
      </c>
      <c r="W74" s="3">
        <v>0</v>
      </c>
      <c r="X74" s="3">
        <v>0</v>
      </c>
      <c r="Y74" s="3">
        <v>0</v>
      </c>
      <c r="Z74" s="3">
        <v>0</v>
      </c>
      <c r="AA74" s="3">
        <v>0</v>
      </c>
      <c r="AB74" s="3">
        <v>0</v>
      </c>
      <c r="AC74" s="3">
        <v>0</v>
      </c>
      <c r="AD74" s="3">
        <v>0</v>
      </c>
      <c r="AE74" s="3" t="s">
        <v>6</v>
      </c>
      <c r="AF74" s="3">
        <f t="shared" si="1"/>
        <v>0</v>
      </c>
      <c r="AS74" s="3" t="s">
        <v>17</v>
      </c>
      <c r="AT74" s="3" t="s">
        <v>776</v>
      </c>
      <c r="AU74" s="3" t="s">
        <v>210</v>
      </c>
      <c r="AV74" s="3" t="s">
        <v>257</v>
      </c>
    </row>
    <row r="75" spans="1:48" x14ac:dyDescent="0.25">
      <c r="A75" t="s">
        <v>968</v>
      </c>
      <c r="B75" s="8">
        <v>44044</v>
      </c>
      <c r="C75" s="8" t="s">
        <v>844</v>
      </c>
      <c r="D75" s="3" t="s">
        <v>6</v>
      </c>
      <c r="F75" s="3" t="s">
        <v>54</v>
      </c>
      <c r="G75" s="3" t="s">
        <v>21</v>
      </c>
      <c r="H75" s="9">
        <v>36.502453964117201</v>
      </c>
      <c r="I75" s="9">
        <v>-4.8686367774801997</v>
      </c>
      <c r="J75" s="3">
        <v>1</v>
      </c>
      <c r="K75" s="3">
        <v>1</v>
      </c>
      <c r="L75" s="3">
        <v>0</v>
      </c>
      <c r="M75" s="3">
        <v>0</v>
      </c>
      <c r="N75" s="3" t="s">
        <v>66</v>
      </c>
      <c r="O75" s="3">
        <v>0</v>
      </c>
      <c r="P75" s="3">
        <v>1</v>
      </c>
      <c r="Q75" s="3">
        <v>0</v>
      </c>
      <c r="R75" s="3">
        <v>0</v>
      </c>
      <c r="S75" s="3">
        <v>0</v>
      </c>
      <c r="T75" s="3">
        <v>0</v>
      </c>
      <c r="U75" s="3">
        <v>1</v>
      </c>
      <c r="V75" s="3">
        <v>0</v>
      </c>
      <c r="W75" s="3">
        <v>0</v>
      </c>
      <c r="X75" s="3">
        <v>0</v>
      </c>
      <c r="Y75" s="3">
        <v>0</v>
      </c>
      <c r="Z75" s="3">
        <v>0</v>
      </c>
      <c r="AA75" s="3">
        <v>0</v>
      </c>
      <c r="AB75" s="3">
        <v>0</v>
      </c>
      <c r="AC75" s="3">
        <v>0</v>
      </c>
      <c r="AD75" s="3">
        <v>0</v>
      </c>
      <c r="AE75" s="3" t="s">
        <v>6</v>
      </c>
      <c r="AF75" s="3">
        <f t="shared" si="1"/>
        <v>0</v>
      </c>
      <c r="AS75" s="3" t="s">
        <v>17</v>
      </c>
      <c r="AT75" s="3" t="s">
        <v>777</v>
      </c>
      <c r="AU75" s="3" t="s">
        <v>211</v>
      </c>
      <c r="AV75" s="3" t="s">
        <v>595</v>
      </c>
    </row>
    <row r="76" spans="1:48" x14ac:dyDescent="0.25">
      <c r="A76" t="s">
        <v>971</v>
      </c>
      <c r="B76" s="8">
        <v>44191</v>
      </c>
      <c r="C76" s="8" t="s">
        <v>841</v>
      </c>
      <c r="D76" s="3" t="s">
        <v>6</v>
      </c>
      <c r="E76" s="3" t="s">
        <v>130</v>
      </c>
      <c r="F76" s="3" t="s">
        <v>59</v>
      </c>
      <c r="G76" s="3" t="s">
        <v>20</v>
      </c>
      <c r="H76" s="9">
        <v>42.299071058637303</v>
      </c>
      <c r="I76" s="9">
        <v>3.2957466752976501</v>
      </c>
      <c r="J76" s="3">
        <v>1</v>
      </c>
      <c r="K76" s="6">
        <v>1</v>
      </c>
      <c r="L76" s="3">
        <v>0</v>
      </c>
      <c r="M76" s="3">
        <v>0</v>
      </c>
      <c r="N76" s="3" t="s">
        <v>66</v>
      </c>
      <c r="O76" s="3">
        <v>0</v>
      </c>
      <c r="P76" s="3">
        <v>0</v>
      </c>
      <c r="Q76" s="3">
        <v>1</v>
      </c>
      <c r="R76" s="3">
        <v>0</v>
      </c>
      <c r="S76" s="3">
        <v>0</v>
      </c>
      <c r="T76" s="3">
        <v>0</v>
      </c>
      <c r="U76" s="3">
        <v>0</v>
      </c>
      <c r="V76" s="3">
        <v>0</v>
      </c>
      <c r="W76" s="3">
        <v>0</v>
      </c>
      <c r="X76" s="3">
        <v>0</v>
      </c>
      <c r="Y76" s="3">
        <v>1</v>
      </c>
      <c r="Z76" s="3">
        <v>0</v>
      </c>
      <c r="AA76" s="3">
        <v>0</v>
      </c>
      <c r="AB76" s="3">
        <v>0</v>
      </c>
      <c r="AC76" s="3">
        <v>0</v>
      </c>
      <c r="AD76" s="3">
        <v>0</v>
      </c>
      <c r="AE76" s="3" t="s">
        <v>6</v>
      </c>
      <c r="AF76" s="3">
        <f t="shared" si="1"/>
        <v>0</v>
      </c>
      <c r="AS76" s="3" t="s">
        <v>17</v>
      </c>
      <c r="AT76" s="3" t="s">
        <v>776</v>
      </c>
      <c r="AU76" s="3" t="s">
        <v>214</v>
      </c>
    </row>
    <row r="77" spans="1:48" x14ac:dyDescent="0.25">
      <c r="A77" t="s">
        <v>972</v>
      </c>
      <c r="B77" s="8">
        <v>44390</v>
      </c>
      <c r="C77" s="8" t="s">
        <v>844</v>
      </c>
      <c r="D77" s="3" t="s">
        <v>6</v>
      </c>
      <c r="E77" s="3" t="s">
        <v>131</v>
      </c>
      <c r="F77" s="3" t="s">
        <v>8</v>
      </c>
      <c r="G77" s="3" t="s">
        <v>8</v>
      </c>
      <c r="J77" s="3">
        <v>1</v>
      </c>
      <c r="K77" s="6">
        <v>1</v>
      </c>
      <c r="L77" s="3">
        <v>0</v>
      </c>
      <c r="M77" s="3">
        <v>0</v>
      </c>
      <c r="N77" s="3" t="s">
        <v>16</v>
      </c>
      <c r="O77" s="3">
        <v>0</v>
      </c>
      <c r="P77" s="3">
        <v>0</v>
      </c>
      <c r="Q77" s="3">
        <v>0</v>
      </c>
      <c r="R77" s="3">
        <v>0</v>
      </c>
      <c r="S77" s="3">
        <v>1</v>
      </c>
      <c r="T77" s="3">
        <v>0</v>
      </c>
      <c r="U77" s="3">
        <v>0</v>
      </c>
      <c r="V77" s="3">
        <v>0</v>
      </c>
      <c r="W77" s="3">
        <v>0</v>
      </c>
      <c r="X77" s="3">
        <v>0</v>
      </c>
      <c r="Y77" s="3">
        <v>0</v>
      </c>
      <c r="Z77" s="3">
        <v>0</v>
      </c>
      <c r="AA77" s="3">
        <v>0</v>
      </c>
      <c r="AB77" s="3">
        <v>0</v>
      </c>
      <c r="AC77" s="3">
        <v>0</v>
      </c>
      <c r="AD77" s="3">
        <v>1</v>
      </c>
      <c r="AE77" s="3" t="s">
        <v>6</v>
      </c>
      <c r="AF77" s="3" t="s">
        <v>1433</v>
      </c>
      <c r="AS77" s="3" t="s">
        <v>17</v>
      </c>
      <c r="AT77" s="3" t="s">
        <v>777</v>
      </c>
      <c r="AU77" s="3" t="s">
        <v>215</v>
      </c>
      <c r="AV77" s="3" t="s">
        <v>596</v>
      </c>
    </row>
    <row r="78" spans="1:48" x14ac:dyDescent="0.25">
      <c r="A78" t="s">
        <v>975</v>
      </c>
      <c r="B78" s="8">
        <v>44762</v>
      </c>
      <c r="C78" s="8" t="s">
        <v>844</v>
      </c>
      <c r="D78" s="3" t="s">
        <v>6</v>
      </c>
      <c r="E78" s="3" t="s">
        <v>134</v>
      </c>
      <c r="F78" s="3" t="s">
        <v>8</v>
      </c>
      <c r="G78" s="3" t="s">
        <v>8</v>
      </c>
      <c r="H78" s="9">
        <v>39.933218315656603</v>
      </c>
      <c r="I78" s="9">
        <v>3.9718803512949701</v>
      </c>
      <c r="J78" s="3">
        <v>1</v>
      </c>
      <c r="K78" s="6">
        <v>1</v>
      </c>
      <c r="L78" s="3">
        <v>0</v>
      </c>
      <c r="M78" s="3">
        <v>0</v>
      </c>
      <c r="N78" s="3" t="s">
        <v>16</v>
      </c>
      <c r="O78" s="3">
        <v>0</v>
      </c>
      <c r="P78" s="3">
        <v>0</v>
      </c>
      <c r="Q78" s="3">
        <v>0</v>
      </c>
      <c r="R78" s="3">
        <v>1</v>
      </c>
      <c r="S78" s="3">
        <v>0</v>
      </c>
      <c r="T78" s="3">
        <v>0</v>
      </c>
      <c r="U78" s="3">
        <v>0</v>
      </c>
      <c r="V78" s="3">
        <v>0</v>
      </c>
      <c r="W78" s="3">
        <v>0</v>
      </c>
      <c r="X78" s="3">
        <v>0</v>
      </c>
      <c r="Y78" s="3">
        <v>0</v>
      </c>
      <c r="Z78" s="3">
        <v>0</v>
      </c>
      <c r="AA78" s="3">
        <v>0</v>
      </c>
      <c r="AB78" s="3">
        <v>0</v>
      </c>
      <c r="AC78" s="3">
        <v>0</v>
      </c>
      <c r="AD78" s="3">
        <v>1</v>
      </c>
      <c r="AE78" s="3" t="s">
        <v>6</v>
      </c>
      <c r="AF78" s="3" t="s">
        <v>1433</v>
      </c>
      <c r="AS78" s="3" t="s">
        <v>17</v>
      </c>
      <c r="AT78" s="3" t="s">
        <v>777</v>
      </c>
      <c r="AU78" s="3" t="s">
        <v>218</v>
      </c>
      <c r="AV78" s="3" t="s">
        <v>260</v>
      </c>
    </row>
    <row r="79" spans="1:48" x14ac:dyDescent="0.25">
      <c r="A79" t="s">
        <v>976</v>
      </c>
      <c r="B79" s="8">
        <v>44819</v>
      </c>
      <c r="C79" s="8" t="s">
        <v>844</v>
      </c>
      <c r="D79" s="3" t="s">
        <v>6</v>
      </c>
      <c r="E79" s="3" t="s">
        <v>135</v>
      </c>
      <c r="F79" s="3" t="s">
        <v>8</v>
      </c>
      <c r="G79" s="3" t="s">
        <v>8</v>
      </c>
      <c r="H79" s="9">
        <v>39.890379089494203</v>
      </c>
      <c r="I79" s="9">
        <v>3.1256834686985799</v>
      </c>
      <c r="J79" s="3">
        <v>1</v>
      </c>
      <c r="K79" s="6">
        <v>1</v>
      </c>
      <c r="L79" s="3">
        <v>0</v>
      </c>
      <c r="M79" s="3">
        <v>0</v>
      </c>
      <c r="N79" s="3" t="s">
        <v>16</v>
      </c>
      <c r="O79" s="3">
        <v>0</v>
      </c>
      <c r="P79" s="3">
        <v>0</v>
      </c>
      <c r="Q79" s="3">
        <v>0</v>
      </c>
      <c r="R79" s="3">
        <v>0</v>
      </c>
      <c r="S79" s="3">
        <v>0</v>
      </c>
      <c r="T79" s="3">
        <v>1</v>
      </c>
      <c r="U79" s="3">
        <v>0</v>
      </c>
      <c r="V79" s="3">
        <v>0</v>
      </c>
      <c r="W79" s="3">
        <v>0</v>
      </c>
      <c r="X79" s="3">
        <v>0</v>
      </c>
      <c r="Y79" s="3">
        <v>0</v>
      </c>
      <c r="Z79" s="3">
        <v>0</v>
      </c>
      <c r="AA79" s="3">
        <v>0</v>
      </c>
      <c r="AB79" s="3">
        <v>0</v>
      </c>
      <c r="AC79" s="3">
        <v>0</v>
      </c>
      <c r="AD79" s="3">
        <v>1</v>
      </c>
      <c r="AE79" s="3" t="s">
        <v>6</v>
      </c>
      <c r="AF79" s="3" t="s">
        <v>1433</v>
      </c>
      <c r="AS79" s="3" t="s">
        <v>17</v>
      </c>
      <c r="AT79" s="3" t="s">
        <v>777</v>
      </c>
      <c r="AU79" s="3" t="s">
        <v>219</v>
      </c>
    </row>
    <row r="80" spans="1:48" x14ac:dyDescent="0.25">
      <c r="A80" t="s">
        <v>977</v>
      </c>
      <c r="B80" s="8">
        <v>43641</v>
      </c>
      <c r="C80" s="8" t="s">
        <v>844</v>
      </c>
      <c r="D80" s="3" t="s">
        <v>6</v>
      </c>
      <c r="E80" s="3" t="s">
        <v>136</v>
      </c>
      <c r="F80" s="3" t="s">
        <v>25</v>
      </c>
      <c r="G80" s="3" t="s">
        <v>19</v>
      </c>
      <c r="H80" s="9">
        <v>38.799420065428798</v>
      </c>
      <c r="I80" s="9">
        <v>0.195238488444619</v>
      </c>
      <c r="J80" s="3">
        <v>1</v>
      </c>
      <c r="K80" s="6">
        <v>1</v>
      </c>
      <c r="L80" s="3">
        <v>0</v>
      </c>
      <c r="M80" s="3">
        <v>0</v>
      </c>
      <c r="N80" s="3" t="s">
        <v>66</v>
      </c>
      <c r="O80" s="3">
        <v>0</v>
      </c>
      <c r="P80" s="3">
        <v>1</v>
      </c>
      <c r="Q80" s="3">
        <v>0</v>
      </c>
      <c r="R80" s="3">
        <v>0</v>
      </c>
      <c r="S80" s="3">
        <v>0</v>
      </c>
      <c r="T80" s="3">
        <v>0</v>
      </c>
      <c r="U80" s="3">
        <v>1</v>
      </c>
      <c r="V80" s="3">
        <v>0</v>
      </c>
      <c r="W80" s="3">
        <v>0</v>
      </c>
      <c r="X80" s="3">
        <v>0</v>
      </c>
      <c r="Y80" s="3">
        <v>0</v>
      </c>
      <c r="Z80" s="3">
        <v>0</v>
      </c>
      <c r="AA80" s="3">
        <v>0</v>
      </c>
      <c r="AB80" s="3">
        <v>0</v>
      </c>
      <c r="AC80" s="3">
        <v>0</v>
      </c>
      <c r="AD80" s="3">
        <v>0</v>
      </c>
      <c r="AE80" s="3" t="s">
        <v>6</v>
      </c>
      <c r="AF80" s="3">
        <f>SUM(AH80:AL80)</f>
        <v>0</v>
      </c>
      <c r="AS80" s="3" t="s">
        <v>17</v>
      </c>
      <c r="AT80" s="3" t="s">
        <v>777</v>
      </c>
      <c r="AU80" s="3" t="s">
        <v>220</v>
      </c>
    </row>
    <row r="81" spans="1:48" x14ac:dyDescent="0.25">
      <c r="A81" t="s">
        <v>978</v>
      </c>
      <c r="B81" s="8">
        <v>44907</v>
      </c>
      <c r="C81" s="8" t="s">
        <v>841</v>
      </c>
      <c r="D81" s="3" t="s">
        <v>6</v>
      </c>
      <c r="E81" s="3" t="s">
        <v>136</v>
      </c>
      <c r="F81" s="3" t="s">
        <v>25</v>
      </c>
      <c r="G81" s="3" t="s">
        <v>19</v>
      </c>
      <c r="H81" s="9">
        <v>38.799420065428798</v>
      </c>
      <c r="I81" s="9">
        <v>0.195238488444619</v>
      </c>
      <c r="J81" s="3">
        <v>1</v>
      </c>
      <c r="K81" s="6">
        <v>1</v>
      </c>
      <c r="L81" s="3">
        <v>0</v>
      </c>
      <c r="M81" s="3">
        <v>0</v>
      </c>
      <c r="N81" s="3" t="s">
        <v>66</v>
      </c>
      <c r="O81" s="3">
        <v>0</v>
      </c>
      <c r="P81" s="3">
        <v>1</v>
      </c>
      <c r="Q81" s="3">
        <v>0</v>
      </c>
      <c r="R81" s="3">
        <v>0</v>
      </c>
      <c r="S81" s="3">
        <v>0</v>
      </c>
      <c r="T81" s="3">
        <v>0</v>
      </c>
      <c r="U81" s="3">
        <v>1</v>
      </c>
      <c r="V81" s="3">
        <v>0</v>
      </c>
      <c r="W81" s="3">
        <v>0</v>
      </c>
      <c r="X81" s="3">
        <v>0</v>
      </c>
      <c r="Y81" s="3">
        <v>0</v>
      </c>
      <c r="Z81" s="3">
        <v>0</v>
      </c>
      <c r="AA81" s="3">
        <v>0</v>
      </c>
      <c r="AB81" s="3">
        <v>0</v>
      </c>
      <c r="AC81" s="3">
        <v>0</v>
      </c>
      <c r="AD81" s="3">
        <v>0</v>
      </c>
      <c r="AE81" s="3" t="s">
        <v>6</v>
      </c>
      <c r="AF81" s="3">
        <f>SUM(AH81:AL81)</f>
        <v>0</v>
      </c>
      <c r="AS81" s="3" t="s">
        <v>17</v>
      </c>
      <c r="AT81" s="3" t="s">
        <v>777</v>
      </c>
      <c r="AU81" s="3" t="s">
        <v>221</v>
      </c>
      <c r="AV81" s="3" t="s">
        <v>240</v>
      </c>
    </row>
    <row r="82" spans="1:48" x14ac:dyDescent="0.25">
      <c r="A82" t="s">
        <v>979</v>
      </c>
      <c r="B82" s="8">
        <v>45170</v>
      </c>
      <c r="C82" s="8" t="s">
        <v>844</v>
      </c>
      <c r="D82" s="3" t="s">
        <v>6</v>
      </c>
      <c r="E82" s="3" t="s">
        <v>92</v>
      </c>
      <c r="F82" s="3" t="s">
        <v>24</v>
      </c>
      <c r="G82" s="3" t="s">
        <v>20</v>
      </c>
      <c r="H82" s="9">
        <v>41.440147077501003</v>
      </c>
      <c r="I82" s="9">
        <v>2.24728485917099</v>
      </c>
      <c r="J82" s="3">
        <v>1</v>
      </c>
      <c r="K82" s="6">
        <v>1</v>
      </c>
      <c r="L82" s="3">
        <v>0</v>
      </c>
      <c r="M82" s="3">
        <v>0</v>
      </c>
      <c r="N82" s="3" t="s">
        <v>16</v>
      </c>
      <c r="O82" s="3">
        <v>0</v>
      </c>
      <c r="P82" s="3">
        <v>0</v>
      </c>
      <c r="Q82" s="3">
        <v>0</v>
      </c>
      <c r="R82" s="3">
        <v>0</v>
      </c>
      <c r="S82" s="3">
        <v>0</v>
      </c>
      <c r="T82" s="3">
        <v>1</v>
      </c>
      <c r="U82" s="3">
        <v>0</v>
      </c>
      <c r="V82" s="3">
        <v>0</v>
      </c>
      <c r="W82" s="3">
        <v>0</v>
      </c>
      <c r="X82" s="3">
        <v>0</v>
      </c>
      <c r="Y82" s="3">
        <v>0</v>
      </c>
      <c r="Z82" s="3">
        <v>0</v>
      </c>
      <c r="AA82" s="3">
        <v>0</v>
      </c>
      <c r="AB82" s="3">
        <v>0</v>
      </c>
      <c r="AC82" s="3">
        <v>0</v>
      </c>
      <c r="AD82" s="3">
        <v>1</v>
      </c>
      <c r="AE82" s="3" t="s">
        <v>6</v>
      </c>
      <c r="AF82" s="3" t="s">
        <v>1433</v>
      </c>
      <c r="AS82" s="3" t="s">
        <v>17</v>
      </c>
      <c r="AT82" s="3" t="s">
        <v>776</v>
      </c>
      <c r="AU82" s="3" t="s">
        <v>222</v>
      </c>
      <c r="AV82" s="3" t="s">
        <v>140</v>
      </c>
    </row>
    <row r="83" spans="1:48" x14ac:dyDescent="0.25">
      <c r="A83" t="s">
        <v>981</v>
      </c>
      <c r="B83" s="8">
        <v>44067</v>
      </c>
      <c r="C83" s="8" t="s">
        <v>844</v>
      </c>
      <c r="D83" s="3" t="s">
        <v>6</v>
      </c>
      <c r="E83" s="3" t="s">
        <v>135</v>
      </c>
      <c r="F83" s="3" t="s">
        <v>8</v>
      </c>
      <c r="G83" s="3" t="s">
        <v>8</v>
      </c>
      <c r="J83" s="3">
        <v>1</v>
      </c>
      <c r="K83" s="6">
        <v>1</v>
      </c>
      <c r="L83" s="3">
        <v>0</v>
      </c>
      <c r="M83" s="3">
        <v>0</v>
      </c>
      <c r="N83" s="3" t="s">
        <v>66</v>
      </c>
      <c r="O83" s="3">
        <v>1</v>
      </c>
      <c r="P83" s="3">
        <v>0</v>
      </c>
      <c r="Q83" s="3">
        <v>0</v>
      </c>
      <c r="R83" s="3">
        <v>0</v>
      </c>
      <c r="S83" s="3">
        <v>0</v>
      </c>
      <c r="T83" s="3">
        <v>0</v>
      </c>
      <c r="U83" s="3">
        <v>0</v>
      </c>
      <c r="V83" s="3">
        <v>1</v>
      </c>
      <c r="W83" s="3">
        <v>0</v>
      </c>
      <c r="X83" s="3">
        <v>0</v>
      </c>
      <c r="Y83" s="3">
        <v>0</v>
      </c>
      <c r="Z83" s="3">
        <v>0</v>
      </c>
      <c r="AA83" s="3">
        <v>0</v>
      </c>
      <c r="AB83" s="3">
        <v>0</v>
      </c>
      <c r="AC83" s="3">
        <v>0</v>
      </c>
      <c r="AD83" s="3">
        <v>0</v>
      </c>
      <c r="AE83" s="3" t="s">
        <v>6</v>
      </c>
      <c r="AF83" s="3">
        <f>SUM(AH83:AL83)</f>
        <v>0</v>
      </c>
      <c r="AS83" s="3" t="s">
        <v>17</v>
      </c>
      <c r="AT83" s="3" t="s">
        <v>776</v>
      </c>
      <c r="AU83" s="3" t="s">
        <v>224</v>
      </c>
      <c r="AV83" s="3" t="s">
        <v>261</v>
      </c>
    </row>
    <row r="84" spans="1:48" x14ac:dyDescent="0.25">
      <c r="A84" t="s">
        <v>982</v>
      </c>
      <c r="B84" s="8">
        <v>42617</v>
      </c>
      <c r="C84" s="8" t="s">
        <v>844</v>
      </c>
      <c r="D84" s="3" t="s">
        <v>6</v>
      </c>
      <c r="E84" s="3" t="s">
        <v>92</v>
      </c>
      <c r="F84" s="3" t="s">
        <v>24</v>
      </c>
      <c r="G84" s="3" t="s">
        <v>20</v>
      </c>
      <c r="H84" s="9">
        <v>41.440147077501003</v>
      </c>
      <c r="I84" s="9">
        <v>2.24728485917099</v>
      </c>
      <c r="J84" s="3">
        <v>1</v>
      </c>
      <c r="K84" s="6">
        <v>1</v>
      </c>
      <c r="L84" s="3">
        <v>0</v>
      </c>
      <c r="M84" s="3">
        <v>0</v>
      </c>
      <c r="N84" s="3" t="s">
        <v>66</v>
      </c>
      <c r="O84" s="3">
        <v>0</v>
      </c>
      <c r="P84" s="3">
        <v>1</v>
      </c>
      <c r="Q84" s="3">
        <v>0</v>
      </c>
      <c r="R84" s="3">
        <v>0</v>
      </c>
      <c r="S84" s="3">
        <v>0</v>
      </c>
      <c r="T84" s="3">
        <v>0</v>
      </c>
      <c r="U84" s="3">
        <v>0</v>
      </c>
      <c r="V84" s="3">
        <v>0</v>
      </c>
      <c r="W84" s="3">
        <v>0</v>
      </c>
      <c r="X84" s="3">
        <v>0</v>
      </c>
      <c r="Y84" s="3">
        <v>1</v>
      </c>
      <c r="Z84" s="3">
        <v>0</v>
      </c>
      <c r="AA84" s="3">
        <v>0</v>
      </c>
      <c r="AB84" s="3">
        <v>0</v>
      </c>
      <c r="AC84" s="3">
        <v>0</v>
      </c>
      <c r="AD84" s="3">
        <v>0</v>
      </c>
      <c r="AE84" s="3" t="s">
        <v>6</v>
      </c>
      <c r="AF84" s="3">
        <f>SUM(AH84:AL84)</f>
        <v>0</v>
      </c>
      <c r="AS84" s="3" t="s">
        <v>17</v>
      </c>
      <c r="AT84" s="3" t="s">
        <v>776</v>
      </c>
      <c r="AU84" s="3" t="s">
        <v>225</v>
      </c>
      <c r="AV84" s="3" t="s">
        <v>848</v>
      </c>
    </row>
    <row r="85" spans="1:48" x14ac:dyDescent="0.25">
      <c r="A85" t="s">
        <v>983</v>
      </c>
      <c r="B85" s="8">
        <v>43342</v>
      </c>
      <c r="C85" s="8" t="s">
        <v>844</v>
      </c>
      <c r="D85" s="3" t="s">
        <v>6</v>
      </c>
      <c r="E85" s="3" t="s">
        <v>116</v>
      </c>
      <c r="F85" s="3" t="s">
        <v>59</v>
      </c>
      <c r="G85" s="3" t="s">
        <v>20</v>
      </c>
      <c r="H85" s="9">
        <v>41.681280586909601</v>
      </c>
      <c r="I85" s="9">
        <v>2.8148396981514301</v>
      </c>
      <c r="J85" s="3">
        <v>1</v>
      </c>
      <c r="K85" s="6">
        <v>1</v>
      </c>
      <c r="L85" s="3">
        <v>0</v>
      </c>
      <c r="M85" s="3">
        <v>0</v>
      </c>
      <c r="N85" s="3" t="s">
        <v>66</v>
      </c>
      <c r="O85" s="3">
        <v>0</v>
      </c>
      <c r="P85" s="3">
        <v>0</v>
      </c>
      <c r="Q85" s="3">
        <v>1</v>
      </c>
      <c r="R85" s="3">
        <v>0</v>
      </c>
      <c r="S85" s="3">
        <v>0</v>
      </c>
      <c r="T85" s="3">
        <v>0</v>
      </c>
      <c r="U85" s="3">
        <v>0</v>
      </c>
      <c r="V85" s="3">
        <v>0</v>
      </c>
      <c r="W85" s="3">
        <v>0</v>
      </c>
      <c r="X85" s="3">
        <v>0</v>
      </c>
      <c r="Y85" s="3">
        <v>1</v>
      </c>
      <c r="Z85" s="3">
        <v>0</v>
      </c>
      <c r="AA85" s="3">
        <v>0</v>
      </c>
      <c r="AB85" s="3">
        <v>0</v>
      </c>
      <c r="AC85" s="3">
        <v>0</v>
      </c>
      <c r="AD85" s="3">
        <v>0</v>
      </c>
      <c r="AE85" s="3" t="s">
        <v>6</v>
      </c>
      <c r="AF85" s="3">
        <f>SUM(AH85:AL85)</f>
        <v>0</v>
      </c>
      <c r="AS85" s="3" t="s">
        <v>17</v>
      </c>
      <c r="AT85" s="3" t="s">
        <v>776</v>
      </c>
      <c r="AU85" s="3" t="s">
        <v>226</v>
      </c>
    </row>
    <row r="86" spans="1:48" x14ac:dyDescent="0.25">
      <c r="A86" t="s">
        <v>984</v>
      </c>
      <c r="B86" s="8">
        <v>44040</v>
      </c>
      <c r="C86" s="8" t="s">
        <v>844</v>
      </c>
      <c r="D86" s="3" t="s">
        <v>6</v>
      </c>
      <c r="E86" s="3" t="s">
        <v>137</v>
      </c>
      <c r="F86" s="3" t="s">
        <v>78</v>
      </c>
      <c r="G86" s="3" t="s">
        <v>19</v>
      </c>
      <c r="H86" s="9">
        <v>40.083810688412697</v>
      </c>
      <c r="I86" s="9">
        <v>0.14938995447205899</v>
      </c>
      <c r="J86" s="3">
        <v>1</v>
      </c>
      <c r="K86" s="6">
        <v>1</v>
      </c>
      <c r="L86" s="3">
        <v>0</v>
      </c>
      <c r="M86" s="3">
        <v>0</v>
      </c>
      <c r="N86" s="3" t="s">
        <v>66</v>
      </c>
      <c r="O86" s="3">
        <v>0</v>
      </c>
      <c r="P86" s="3">
        <v>0</v>
      </c>
      <c r="Q86" s="3">
        <v>1</v>
      </c>
      <c r="R86" s="3">
        <v>0</v>
      </c>
      <c r="S86" s="3">
        <v>0</v>
      </c>
      <c r="T86" s="3">
        <v>0</v>
      </c>
      <c r="U86" s="3">
        <v>0</v>
      </c>
      <c r="V86" s="3">
        <v>0</v>
      </c>
      <c r="W86" s="3">
        <v>0</v>
      </c>
      <c r="X86" s="3">
        <v>0</v>
      </c>
      <c r="Y86" s="3">
        <v>1</v>
      </c>
      <c r="Z86" s="3">
        <v>0</v>
      </c>
      <c r="AA86" s="3">
        <v>0</v>
      </c>
      <c r="AB86" s="3">
        <v>0</v>
      </c>
      <c r="AC86" s="3">
        <v>0</v>
      </c>
      <c r="AD86" s="3">
        <v>0</v>
      </c>
      <c r="AE86" s="3" t="s">
        <v>6</v>
      </c>
      <c r="AF86" s="3">
        <f>SUM(AH86:AL86)</f>
        <v>0</v>
      </c>
      <c r="AS86" s="3" t="s">
        <v>17</v>
      </c>
      <c r="AT86" s="3" t="s">
        <v>776</v>
      </c>
      <c r="AU86" s="3" t="s">
        <v>227</v>
      </c>
    </row>
    <row r="87" spans="1:48" x14ac:dyDescent="0.25">
      <c r="A87" t="s">
        <v>986</v>
      </c>
      <c r="B87" s="8">
        <v>45206</v>
      </c>
      <c r="C87" s="8" t="s">
        <v>844</v>
      </c>
      <c r="D87" s="3" t="s">
        <v>6</v>
      </c>
      <c r="E87" s="3" t="s">
        <v>138</v>
      </c>
      <c r="F87" s="3" t="s">
        <v>23</v>
      </c>
      <c r="G87" s="3" t="s">
        <v>23</v>
      </c>
      <c r="H87" s="9">
        <v>37.635274078202599</v>
      </c>
      <c r="I87" s="9">
        <v>-0.68694669515902596</v>
      </c>
      <c r="J87" s="3">
        <v>1</v>
      </c>
      <c r="K87" s="6">
        <v>1</v>
      </c>
      <c r="L87" s="3">
        <v>0</v>
      </c>
      <c r="M87" s="3">
        <v>0</v>
      </c>
      <c r="N87" s="3" t="s">
        <v>16</v>
      </c>
      <c r="O87" s="3">
        <v>0</v>
      </c>
      <c r="P87" s="3">
        <v>0</v>
      </c>
      <c r="Q87" s="3">
        <v>0</v>
      </c>
      <c r="R87" s="3">
        <v>0</v>
      </c>
      <c r="S87" s="3">
        <v>1</v>
      </c>
      <c r="T87" s="3">
        <v>0</v>
      </c>
      <c r="U87" s="3">
        <v>0</v>
      </c>
      <c r="V87" s="3">
        <v>0</v>
      </c>
      <c r="W87" s="3">
        <v>0</v>
      </c>
      <c r="X87" s="3">
        <v>0</v>
      </c>
      <c r="Y87" s="3">
        <v>0</v>
      </c>
      <c r="Z87" s="3">
        <v>0</v>
      </c>
      <c r="AA87" s="3">
        <v>0</v>
      </c>
      <c r="AB87" s="3">
        <v>0</v>
      </c>
      <c r="AC87" s="3">
        <v>0</v>
      </c>
      <c r="AD87" s="3">
        <v>1</v>
      </c>
      <c r="AE87" s="3" t="s">
        <v>6</v>
      </c>
      <c r="AF87" s="3" t="s">
        <v>1433</v>
      </c>
      <c r="AS87" s="3" t="s">
        <v>17</v>
      </c>
      <c r="AT87" s="3" t="s">
        <v>776</v>
      </c>
      <c r="AU87" s="3" t="s">
        <v>229</v>
      </c>
      <c r="AV87" s="3" t="s">
        <v>140</v>
      </c>
    </row>
    <row r="88" spans="1:48" x14ac:dyDescent="0.25">
      <c r="A88" t="s">
        <v>991</v>
      </c>
      <c r="B88" s="8">
        <v>43328</v>
      </c>
      <c r="C88" s="8" t="s">
        <v>844</v>
      </c>
      <c r="D88" s="3" t="s">
        <v>6</v>
      </c>
      <c r="E88" s="6" t="s">
        <v>232</v>
      </c>
      <c r="F88" s="6" t="s">
        <v>69</v>
      </c>
      <c r="G88" s="3" t="s">
        <v>20</v>
      </c>
      <c r="H88" s="9">
        <v>41.174009219279498</v>
      </c>
      <c r="I88" s="9">
        <v>1.5018385169164701</v>
      </c>
      <c r="J88" s="6">
        <v>1</v>
      </c>
      <c r="K88" s="3">
        <v>1</v>
      </c>
      <c r="L88" s="3">
        <v>0</v>
      </c>
      <c r="M88" s="3">
        <v>0</v>
      </c>
      <c r="N88" s="3" t="s">
        <v>66</v>
      </c>
      <c r="O88" s="3">
        <v>0</v>
      </c>
      <c r="P88" s="3">
        <v>1</v>
      </c>
      <c r="Q88" s="3">
        <v>0</v>
      </c>
      <c r="R88" s="3">
        <v>0</v>
      </c>
      <c r="S88" s="3">
        <v>0</v>
      </c>
      <c r="T88" s="3">
        <v>0</v>
      </c>
      <c r="U88" s="3">
        <v>0</v>
      </c>
      <c r="V88" s="3">
        <v>0</v>
      </c>
      <c r="W88" s="3">
        <v>0</v>
      </c>
      <c r="X88" s="3">
        <v>0</v>
      </c>
      <c r="Y88" s="3">
        <v>1</v>
      </c>
      <c r="Z88" s="3">
        <v>0</v>
      </c>
      <c r="AA88" s="3">
        <v>0</v>
      </c>
      <c r="AB88" s="3">
        <v>0</v>
      </c>
      <c r="AC88" s="3">
        <v>0</v>
      </c>
      <c r="AD88" s="3">
        <v>0</v>
      </c>
      <c r="AE88" s="3" t="s">
        <v>6</v>
      </c>
      <c r="AF88" s="3">
        <f>SUM(AH88:AL88)</f>
        <v>0</v>
      </c>
      <c r="AS88" s="3" t="s">
        <v>233</v>
      </c>
      <c r="AT88" s="3" t="s">
        <v>787</v>
      </c>
      <c r="AU88" s="3" t="s">
        <v>238</v>
      </c>
    </row>
    <row r="89" spans="1:48" x14ac:dyDescent="0.25">
      <c r="A89" t="s">
        <v>992</v>
      </c>
      <c r="B89" s="8">
        <v>43341</v>
      </c>
      <c r="C89" s="8" t="s">
        <v>844</v>
      </c>
      <c r="D89" s="3" t="s">
        <v>6</v>
      </c>
      <c r="E89" s="6" t="s">
        <v>130</v>
      </c>
      <c r="F89" s="6" t="s">
        <v>59</v>
      </c>
      <c r="G89" s="3" t="s">
        <v>20</v>
      </c>
      <c r="H89" s="9">
        <v>42.339481971596598</v>
      </c>
      <c r="I89" s="9">
        <v>3.2496963483839898</v>
      </c>
      <c r="J89" s="6">
        <v>2</v>
      </c>
      <c r="K89" s="3">
        <v>2</v>
      </c>
      <c r="L89" s="3">
        <v>0</v>
      </c>
      <c r="M89" s="3">
        <v>0</v>
      </c>
      <c r="N89" s="3" t="s">
        <v>66</v>
      </c>
      <c r="O89" s="3">
        <v>1</v>
      </c>
      <c r="P89" s="3">
        <v>1</v>
      </c>
      <c r="Q89" s="3">
        <v>0</v>
      </c>
      <c r="R89" s="3">
        <v>0</v>
      </c>
      <c r="S89" s="3">
        <v>0</v>
      </c>
      <c r="T89" s="3">
        <v>0</v>
      </c>
      <c r="U89" s="3">
        <v>2</v>
      </c>
      <c r="V89" s="3">
        <v>0</v>
      </c>
      <c r="W89" s="3">
        <v>0</v>
      </c>
      <c r="X89" s="3">
        <v>0</v>
      </c>
      <c r="Y89" s="3">
        <v>0</v>
      </c>
      <c r="Z89" s="3">
        <v>0</v>
      </c>
      <c r="AA89" s="3">
        <v>0</v>
      </c>
      <c r="AB89" s="3">
        <v>0</v>
      </c>
      <c r="AC89" s="3">
        <v>0</v>
      </c>
      <c r="AD89" s="3">
        <v>0</v>
      </c>
      <c r="AE89" s="3" t="s">
        <v>6</v>
      </c>
      <c r="AF89" s="3">
        <f>SUM(AH89:AL89)</f>
        <v>0</v>
      </c>
      <c r="AS89" s="3" t="s">
        <v>233</v>
      </c>
      <c r="AT89" s="3" t="s">
        <v>788</v>
      </c>
      <c r="AU89" s="3" t="s">
        <v>239</v>
      </c>
      <c r="AV89" s="3" t="s">
        <v>234</v>
      </c>
    </row>
    <row r="90" spans="1:48" x14ac:dyDescent="0.25">
      <c r="A90" t="s">
        <v>993</v>
      </c>
      <c r="B90" s="7">
        <v>43696</v>
      </c>
      <c r="C90" s="8" t="s">
        <v>844</v>
      </c>
      <c r="D90" s="3" t="s">
        <v>6</v>
      </c>
      <c r="E90" s="3" t="s">
        <v>289</v>
      </c>
      <c r="F90" s="3" t="s">
        <v>54</v>
      </c>
      <c r="G90" s="3" t="s">
        <v>21</v>
      </c>
      <c r="H90" s="9">
        <v>36.750545285336798</v>
      </c>
      <c r="I90" s="9">
        <v>-3.8182325415740901</v>
      </c>
      <c r="J90" s="3">
        <v>1</v>
      </c>
      <c r="K90" s="3">
        <v>1</v>
      </c>
      <c r="L90" s="3">
        <v>0</v>
      </c>
      <c r="M90" s="3">
        <v>0</v>
      </c>
      <c r="N90" s="3" t="s">
        <v>16</v>
      </c>
      <c r="O90" s="3">
        <v>0</v>
      </c>
      <c r="P90" s="3">
        <v>0</v>
      </c>
      <c r="Q90" s="3">
        <v>0</v>
      </c>
      <c r="R90" s="3">
        <v>0</v>
      </c>
      <c r="S90" s="3">
        <v>1</v>
      </c>
      <c r="T90" s="3">
        <v>0</v>
      </c>
      <c r="U90" s="3">
        <v>0</v>
      </c>
      <c r="V90" s="3">
        <v>0</v>
      </c>
      <c r="W90" s="3">
        <v>0</v>
      </c>
      <c r="X90" s="3">
        <v>0</v>
      </c>
      <c r="Y90" s="3">
        <v>0</v>
      </c>
      <c r="Z90" s="3">
        <v>1</v>
      </c>
      <c r="AA90" s="3">
        <v>0</v>
      </c>
      <c r="AB90" s="3">
        <v>0</v>
      </c>
      <c r="AC90" s="3">
        <v>0</v>
      </c>
      <c r="AD90" s="3">
        <v>0</v>
      </c>
      <c r="AE90" s="3" t="s">
        <v>6</v>
      </c>
      <c r="AF90" s="3" t="s">
        <v>1433</v>
      </c>
      <c r="AS90" s="3" t="s">
        <v>775</v>
      </c>
      <c r="AT90" s="3" t="s">
        <v>81</v>
      </c>
      <c r="AU90" s="3" t="s">
        <v>290</v>
      </c>
      <c r="AV90" s="3" t="s">
        <v>240</v>
      </c>
    </row>
    <row r="91" spans="1:48" x14ac:dyDescent="0.25">
      <c r="A91" t="s">
        <v>994</v>
      </c>
      <c r="B91" s="7">
        <v>45437</v>
      </c>
      <c r="C91" s="7" t="s">
        <v>842</v>
      </c>
      <c r="D91" s="3" t="s">
        <v>6</v>
      </c>
      <c r="E91" s="3" t="s">
        <v>299</v>
      </c>
      <c r="F91" s="3" t="s">
        <v>8</v>
      </c>
      <c r="G91" s="3" t="s">
        <v>8</v>
      </c>
      <c r="H91" s="9">
        <v>39.101475631648803</v>
      </c>
      <c r="I91" s="9">
        <v>1.5014522297998201</v>
      </c>
      <c r="J91" s="3">
        <v>1</v>
      </c>
      <c r="K91" s="3">
        <v>1</v>
      </c>
      <c r="L91" s="3">
        <v>0</v>
      </c>
      <c r="M91" s="3">
        <v>0</v>
      </c>
      <c r="N91" s="3" t="s">
        <v>66</v>
      </c>
      <c r="O91" s="3">
        <v>0</v>
      </c>
      <c r="P91" s="3">
        <v>0</v>
      </c>
      <c r="Q91" s="3">
        <v>1</v>
      </c>
      <c r="R91" s="3">
        <v>0</v>
      </c>
      <c r="S91" s="3">
        <v>0</v>
      </c>
      <c r="T91" s="3">
        <v>0</v>
      </c>
      <c r="U91" s="3">
        <v>0</v>
      </c>
      <c r="V91" s="3">
        <v>0</v>
      </c>
      <c r="W91" s="3">
        <v>0</v>
      </c>
      <c r="X91" s="3">
        <v>0</v>
      </c>
      <c r="Y91" s="3">
        <v>1</v>
      </c>
      <c r="Z91" s="3">
        <v>0</v>
      </c>
      <c r="AA91" s="3">
        <v>0</v>
      </c>
      <c r="AB91" s="3">
        <v>0</v>
      </c>
      <c r="AC91" s="3">
        <v>0</v>
      </c>
      <c r="AD91" s="3">
        <v>0</v>
      </c>
      <c r="AE91" s="3" t="s">
        <v>6</v>
      </c>
      <c r="AF91" s="3">
        <f>SUM(AH91:AL91)</f>
        <v>0</v>
      </c>
      <c r="AS91" s="3" t="s">
        <v>775</v>
      </c>
      <c r="AT91" s="3" t="s">
        <v>81</v>
      </c>
      <c r="AU91" s="3" t="s">
        <v>300</v>
      </c>
    </row>
    <row r="92" spans="1:48" x14ac:dyDescent="0.25">
      <c r="A92" t="s">
        <v>995</v>
      </c>
      <c r="B92" s="7">
        <v>44781</v>
      </c>
      <c r="C92" s="7" t="s">
        <v>844</v>
      </c>
      <c r="D92" s="3" t="s">
        <v>6</v>
      </c>
      <c r="E92" s="3" t="s">
        <v>307</v>
      </c>
      <c r="F92" s="3" t="s">
        <v>8</v>
      </c>
      <c r="G92" s="3" t="s">
        <v>8</v>
      </c>
      <c r="H92" s="9">
        <v>39.869666859454199</v>
      </c>
      <c r="I92" s="9">
        <v>3.1253617597585599</v>
      </c>
      <c r="J92" s="3">
        <v>1</v>
      </c>
      <c r="K92" s="3">
        <v>1</v>
      </c>
      <c r="L92" s="3">
        <v>0</v>
      </c>
      <c r="M92" s="3">
        <v>0</v>
      </c>
      <c r="N92" s="3" t="s">
        <v>16</v>
      </c>
      <c r="O92" s="3">
        <v>0</v>
      </c>
      <c r="P92" s="3">
        <v>0</v>
      </c>
      <c r="Q92" s="3">
        <v>0</v>
      </c>
      <c r="R92" s="3">
        <v>0</v>
      </c>
      <c r="S92" s="3">
        <v>0</v>
      </c>
      <c r="T92" s="3">
        <v>1</v>
      </c>
      <c r="U92" s="3">
        <v>0</v>
      </c>
      <c r="V92" s="3">
        <v>0</v>
      </c>
      <c r="W92" s="3">
        <v>0</v>
      </c>
      <c r="X92" s="3">
        <v>0</v>
      </c>
      <c r="Y92" s="3">
        <v>0</v>
      </c>
      <c r="Z92" s="3">
        <v>0</v>
      </c>
      <c r="AA92" s="3">
        <v>0</v>
      </c>
      <c r="AB92" s="3">
        <v>0</v>
      </c>
      <c r="AC92" s="3">
        <v>0</v>
      </c>
      <c r="AD92" s="3">
        <v>1</v>
      </c>
      <c r="AE92" s="3" t="s">
        <v>6</v>
      </c>
      <c r="AF92" s="3" t="s">
        <v>1433</v>
      </c>
      <c r="AS92" s="3" t="s">
        <v>775</v>
      </c>
      <c r="AT92" s="3" t="s">
        <v>81</v>
      </c>
      <c r="AU92" s="3" t="s">
        <v>306</v>
      </c>
      <c r="AV92" s="3" t="s">
        <v>308</v>
      </c>
    </row>
    <row r="93" spans="1:48" x14ac:dyDescent="0.25">
      <c r="A93" t="s">
        <v>996</v>
      </c>
      <c r="B93" s="7">
        <v>45169</v>
      </c>
      <c r="C93" s="7" t="s">
        <v>844</v>
      </c>
      <c r="D93" s="3" t="s">
        <v>6</v>
      </c>
      <c r="E93" s="3" t="s">
        <v>314</v>
      </c>
      <c r="F93" s="3" t="s">
        <v>54</v>
      </c>
      <c r="G93" s="3" t="s">
        <v>21</v>
      </c>
      <c r="H93" s="9">
        <v>36.726233280363402</v>
      </c>
      <c r="I93" s="9">
        <v>-4.0773922507176099</v>
      </c>
      <c r="J93" s="3">
        <v>1</v>
      </c>
      <c r="K93" s="3">
        <v>1</v>
      </c>
      <c r="L93" s="3">
        <v>0</v>
      </c>
      <c r="M93" s="3">
        <v>0</v>
      </c>
      <c r="N93" s="3" t="s">
        <v>16</v>
      </c>
      <c r="O93" s="3">
        <v>0</v>
      </c>
      <c r="P93" s="3">
        <v>0</v>
      </c>
      <c r="Q93" s="3">
        <v>0</v>
      </c>
      <c r="R93" s="3">
        <v>0</v>
      </c>
      <c r="S93" s="3">
        <v>0</v>
      </c>
      <c r="T93" s="3">
        <v>1</v>
      </c>
      <c r="U93" s="3">
        <v>0</v>
      </c>
      <c r="V93" s="3">
        <v>0</v>
      </c>
      <c r="W93" s="3">
        <v>0</v>
      </c>
      <c r="X93" s="3">
        <v>0</v>
      </c>
      <c r="Y93" s="3">
        <v>0</v>
      </c>
      <c r="Z93" s="3">
        <v>0</v>
      </c>
      <c r="AA93" s="3">
        <v>0</v>
      </c>
      <c r="AB93" s="3">
        <v>0</v>
      </c>
      <c r="AC93" s="3">
        <v>0</v>
      </c>
      <c r="AD93" s="3">
        <v>1</v>
      </c>
      <c r="AE93" s="3" t="s">
        <v>6</v>
      </c>
      <c r="AF93" s="3" t="s">
        <v>1433</v>
      </c>
      <c r="AS93" s="3" t="s">
        <v>775</v>
      </c>
      <c r="AT93" s="3" t="s">
        <v>81</v>
      </c>
      <c r="AU93" s="3" t="s">
        <v>315</v>
      </c>
      <c r="AV93" s="3" t="s">
        <v>316</v>
      </c>
    </row>
    <row r="94" spans="1:48" x14ac:dyDescent="0.25">
      <c r="A94" t="s">
        <v>997</v>
      </c>
      <c r="B94" s="7">
        <v>45508</v>
      </c>
      <c r="C94" s="7" t="s">
        <v>844</v>
      </c>
      <c r="D94" s="3" t="s">
        <v>6</v>
      </c>
      <c r="E94" s="3" t="s">
        <v>86</v>
      </c>
      <c r="F94" s="3" t="s">
        <v>57</v>
      </c>
      <c r="G94" s="3" t="s">
        <v>21</v>
      </c>
      <c r="H94" s="9">
        <v>36.692729973986197</v>
      </c>
      <c r="I94" s="9">
        <v>-3.5531748468880102</v>
      </c>
      <c r="J94" s="3">
        <v>1</v>
      </c>
      <c r="K94" s="3">
        <v>1</v>
      </c>
      <c r="L94" s="3">
        <v>0</v>
      </c>
      <c r="M94" s="3">
        <v>0</v>
      </c>
      <c r="N94" s="3" t="s">
        <v>16</v>
      </c>
      <c r="O94" s="3">
        <v>0</v>
      </c>
      <c r="P94" s="3">
        <v>0</v>
      </c>
      <c r="Q94" s="3">
        <v>0</v>
      </c>
      <c r="R94" s="3">
        <v>0</v>
      </c>
      <c r="S94" s="3">
        <v>0</v>
      </c>
      <c r="T94" s="3">
        <v>1</v>
      </c>
      <c r="U94" s="3">
        <v>0</v>
      </c>
      <c r="V94" s="3">
        <v>0</v>
      </c>
      <c r="W94" s="3">
        <v>0</v>
      </c>
      <c r="X94" s="3">
        <v>0</v>
      </c>
      <c r="Y94" s="3">
        <v>0</v>
      </c>
      <c r="Z94" s="3">
        <v>0</v>
      </c>
      <c r="AA94" s="3">
        <v>0</v>
      </c>
      <c r="AB94" s="3">
        <v>0</v>
      </c>
      <c r="AC94" s="3">
        <v>0</v>
      </c>
      <c r="AD94" s="3">
        <v>1</v>
      </c>
      <c r="AE94" s="3" t="s">
        <v>6</v>
      </c>
      <c r="AF94" s="3" t="s">
        <v>1433</v>
      </c>
      <c r="AS94" s="3" t="s">
        <v>775</v>
      </c>
      <c r="AT94" s="3" t="s">
        <v>81</v>
      </c>
      <c r="AU94" s="3" t="s">
        <v>317</v>
      </c>
      <c r="AV94" s="3" t="s">
        <v>316</v>
      </c>
    </row>
    <row r="95" spans="1:48" x14ac:dyDescent="0.25">
      <c r="A95" t="s">
        <v>1000</v>
      </c>
      <c r="B95" s="7">
        <v>42140</v>
      </c>
      <c r="C95" s="7" t="s">
        <v>842</v>
      </c>
      <c r="D95" s="3" t="s">
        <v>6</v>
      </c>
      <c r="E95" s="3" t="s">
        <v>319</v>
      </c>
      <c r="F95" s="3" t="s">
        <v>47</v>
      </c>
      <c r="G95" s="3" t="s">
        <v>21</v>
      </c>
      <c r="H95" s="9">
        <v>36.6720667677303</v>
      </c>
      <c r="I95" s="9">
        <v>-2.6606359281096199</v>
      </c>
      <c r="J95" s="3">
        <v>1</v>
      </c>
      <c r="K95" s="3">
        <v>1</v>
      </c>
      <c r="L95" s="3">
        <v>0</v>
      </c>
      <c r="M95" s="3">
        <v>0</v>
      </c>
      <c r="N95" s="3" t="s">
        <v>66</v>
      </c>
      <c r="O95" s="3">
        <v>0</v>
      </c>
      <c r="P95" s="3">
        <v>1</v>
      </c>
      <c r="Q95" s="3">
        <v>0</v>
      </c>
      <c r="R95" s="3">
        <v>0</v>
      </c>
      <c r="S95" s="3">
        <v>0</v>
      </c>
      <c r="T95" s="3">
        <v>0</v>
      </c>
      <c r="U95" s="3">
        <v>1</v>
      </c>
      <c r="V95" s="3">
        <v>0</v>
      </c>
      <c r="W95" s="3">
        <v>0</v>
      </c>
      <c r="X95" s="3">
        <v>0</v>
      </c>
      <c r="Y95" s="3">
        <v>0</v>
      </c>
      <c r="Z95" s="3">
        <v>0</v>
      </c>
      <c r="AA95" s="3">
        <v>0</v>
      </c>
      <c r="AB95" s="3">
        <v>0</v>
      </c>
      <c r="AC95" s="3">
        <v>0</v>
      </c>
      <c r="AD95" s="3">
        <v>0</v>
      </c>
      <c r="AE95" s="3" t="s">
        <v>6</v>
      </c>
      <c r="AF95" s="3">
        <f>SUM(AH95:AL95)</f>
        <v>0</v>
      </c>
      <c r="AS95" s="3" t="s">
        <v>775</v>
      </c>
      <c r="AT95" s="3" t="s">
        <v>81</v>
      </c>
      <c r="AU95" s="3" t="s">
        <v>320</v>
      </c>
      <c r="AV95" s="3" t="s">
        <v>240</v>
      </c>
    </row>
    <row r="96" spans="1:48" x14ac:dyDescent="0.25">
      <c r="A96" t="s">
        <v>1001</v>
      </c>
      <c r="B96" s="7">
        <v>45515</v>
      </c>
      <c r="C96" s="7" t="s">
        <v>844</v>
      </c>
      <c r="D96" s="3" t="s">
        <v>6</v>
      </c>
      <c r="E96" s="3" t="s">
        <v>323</v>
      </c>
      <c r="F96" s="3" t="s">
        <v>47</v>
      </c>
      <c r="G96" s="3" t="s">
        <v>21</v>
      </c>
      <c r="H96" s="9">
        <v>36.816375668792297</v>
      </c>
      <c r="I96" s="9">
        <v>-2.3067283493124302</v>
      </c>
      <c r="J96" s="3">
        <v>1</v>
      </c>
      <c r="K96" s="3">
        <v>1</v>
      </c>
      <c r="L96" s="3">
        <v>0</v>
      </c>
      <c r="M96" s="3">
        <v>0</v>
      </c>
      <c r="N96" s="3" t="s">
        <v>16</v>
      </c>
      <c r="O96" s="3">
        <v>0</v>
      </c>
      <c r="P96" s="3">
        <v>0</v>
      </c>
      <c r="Q96" s="3">
        <v>0</v>
      </c>
      <c r="R96" s="3">
        <v>0</v>
      </c>
      <c r="S96" s="3">
        <v>0</v>
      </c>
      <c r="T96" s="3">
        <v>1</v>
      </c>
      <c r="U96" s="3">
        <v>0</v>
      </c>
      <c r="V96" s="3">
        <v>0</v>
      </c>
      <c r="W96" s="3">
        <v>0</v>
      </c>
      <c r="X96" s="3">
        <v>0</v>
      </c>
      <c r="Y96" s="3">
        <v>0</v>
      </c>
      <c r="Z96" s="3">
        <v>1</v>
      </c>
      <c r="AA96" s="3">
        <v>0</v>
      </c>
      <c r="AB96" s="3">
        <v>0</v>
      </c>
      <c r="AC96" s="3">
        <v>0</v>
      </c>
      <c r="AD96" s="3">
        <v>0</v>
      </c>
      <c r="AE96" s="3" t="s">
        <v>6</v>
      </c>
      <c r="AF96" s="3" t="s">
        <v>1433</v>
      </c>
      <c r="AS96" s="3" t="s">
        <v>775</v>
      </c>
      <c r="AT96" s="3" t="s">
        <v>81</v>
      </c>
      <c r="AU96" s="3" t="s">
        <v>322</v>
      </c>
      <c r="AV96" s="3" t="s">
        <v>303</v>
      </c>
    </row>
    <row r="97" spans="1:48" x14ac:dyDescent="0.25">
      <c r="A97" t="s">
        <v>1003</v>
      </c>
      <c r="B97" s="7">
        <v>45505</v>
      </c>
      <c r="C97" s="7" t="s">
        <v>844</v>
      </c>
      <c r="D97" s="3" t="s">
        <v>6</v>
      </c>
      <c r="E97" s="3" t="s">
        <v>327</v>
      </c>
      <c r="F97" s="3" t="s">
        <v>23</v>
      </c>
      <c r="G97" s="3" t="s">
        <v>23</v>
      </c>
      <c r="H97" s="9">
        <v>37.428475132263998</v>
      </c>
      <c r="I97" s="9">
        <v>-1.43685518744964</v>
      </c>
      <c r="J97" s="3">
        <v>1</v>
      </c>
      <c r="K97" s="3">
        <v>1</v>
      </c>
      <c r="L97" s="3">
        <v>0</v>
      </c>
      <c r="M97" s="3">
        <v>0</v>
      </c>
      <c r="N97" s="3" t="s">
        <v>16</v>
      </c>
      <c r="O97" s="3">
        <v>0</v>
      </c>
      <c r="P97" s="3">
        <v>0</v>
      </c>
      <c r="Q97" s="3">
        <v>0</v>
      </c>
      <c r="R97" s="3">
        <v>0</v>
      </c>
      <c r="S97" s="3">
        <v>1</v>
      </c>
      <c r="T97" s="3">
        <v>0</v>
      </c>
      <c r="U97" s="3">
        <v>0</v>
      </c>
      <c r="V97" s="3">
        <v>0</v>
      </c>
      <c r="W97" s="3">
        <v>0</v>
      </c>
      <c r="X97" s="3">
        <v>0</v>
      </c>
      <c r="Y97" s="3">
        <v>0</v>
      </c>
      <c r="Z97" s="3">
        <v>1</v>
      </c>
      <c r="AA97" s="3">
        <v>0</v>
      </c>
      <c r="AB97" s="3">
        <v>0</v>
      </c>
      <c r="AC97" s="3">
        <v>0</v>
      </c>
      <c r="AD97" s="3">
        <v>0</v>
      </c>
      <c r="AE97" s="3" t="s">
        <v>6</v>
      </c>
      <c r="AF97" s="3" t="s">
        <v>1433</v>
      </c>
      <c r="AS97" s="3" t="s">
        <v>775</v>
      </c>
      <c r="AT97" s="3" t="s">
        <v>81</v>
      </c>
      <c r="AU97" s="3" t="s">
        <v>326</v>
      </c>
    </row>
    <row r="98" spans="1:48" x14ac:dyDescent="0.25">
      <c r="A98" t="s">
        <v>1004</v>
      </c>
      <c r="B98" s="7">
        <v>45492</v>
      </c>
      <c r="C98" s="7" t="s">
        <v>844</v>
      </c>
      <c r="D98" s="3" t="s">
        <v>6</v>
      </c>
      <c r="E98" s="3" t="s">
        <v>328</v>
      </c>
      <c r="F98" s="3" t="s">
        <v>23</v>
      </c>
      <c r="G98" s="3" t="s">
        <v>23</v>
      </c>
      <c r="H98" s="9">
        <v>37.503229723043098</v>
      </c>
      <c r="I98" s="9">
        <v>-1.4127848183234699</v>
      </c>
      <c r="J98" s="3">
        <v>1</v>
      </c>
      <c r="K98" s="3">
        <v>1</v>
      </c>
      <c r="L98" s="3">
        <v>0</v>
      </c>
      <c r="M98" s="3">
        <v>0</v>
      </c>
      <c r="N98" s="3" t="s">
        <v>66</v>
      </c>
      <c r="O98" s="3">
        <v>0</v>
      </c>
      <c r="P98" s="3">
        <v>0</v>
      </c>
      <c r="Q98" s="3">
        <v>1</v>
      </c>
      <c r="R98" s="3">
        <v>0</v>
      </c>
      <c r="S98" s="3">
        <v>0</v>
      </c>
      <c r="T98" s="3">
        <v>0</v>
      </c>
      <c r="U98" s="3">
        <v>0</v>
      </c>
      <c r="V98" s="3">
        <v>0</v>
      </c>
      <c r="W98" s="3">
        <v>0</v>
      </c>
      <c r="X98" s="3">
        <v>0</v>
      </c>
      <c r="Y98" s="3">
        <v>1</v>
      </c>
      <c r="Z98" s="3">
        <v>0</v>
      </c>
      <c r="AA98" s="3">
        <v>0</v>
      </c>
      <c r="AB98" s="3">
        <v>0</v>
      </c>
      <c r="AC98" s="3">
        <v>0</v>
      </c>
      <c r="AD98" s="3">
        <v>0</v>
      </c>
      <c r="AE98" s="3" t="s">
        <v>6</v>
      </c>
      <c r="AF98" s="3">
        <f>SUM(AH98:AL98)</f>
        <v>0</v>
      </c>
      <c r="AS98" s="3" t="s">
        <v>775</v>
      </c>
      <c r="AT98" s="3" t="s">
        <v>81</v>
      </c>
      <c r="AU98" s="3" t="s">
        <v>329</v>
      </c>
      <c r="AV98" s="3" t="s">
        <v>704</v>
      </c>
    </row>
    <row r="99" spans="1:48" x14ac:dyDescent="0.25">
      <c r="A99" t="s">
        <v>1006</v>
      </c>
      <c r="B99" s="7">
        <v>44787</v>
      </c>
      <c r="C99" s="7" t="s">
        <v>844</v>
      </c>
      <c r="D99" s="3" t="s">
        <v>6</v>
      </c>
      <c r="E99" s="3" t="s">
        <v>124</v>
      </c>
      <c r="F99" s="3" t="s">
        <v>23</v>
      </c>
      <c r="G99" s="3" t="s">
        <v>23</v>
      </c>
      <c r="H99" s="9">
        <v>37.554167289137801</v>
      </c>
      <c r="I99" s="9">
        <v>-1.23874398048171</v>
      </c>
      <c r="J99" s="3">
        <v>1</v>
      </c>
      <c r="K99" s="3">
        <v>1</v>
      </c>
      <c r="L99" s="3">
        <v>0</v>
      </c>
      <c r="M99" s="3">
        <v>0</v>
      </c>
      <c r="N99" s="3" t="s">
        <v>66</v>
      </c>
      <c r="O99" s="3">
        <v>0</v>
      </c>
      <c r="P99" s="3">
        <v>1</v>
      </c>
      <c r="Q99" s="3">
        <v>0</v>
      </c>
      <c r="R99" s="3">
        <v>0</v>
      </c>
      <c r="S99" s="3">
        <v>0</v>
      </c>
      <c r="T99" s="3">
        <v>0</v>
      </c>
      <c r="U99" s="3">
        <v>1</v>
      </c>
      <c r="V99" s="3">
        <v>0</v>
      </c>
      <c r="W99" s="3">
        <v>0</v>
      </c>
      <c r="X99" s="3">
        <v>0</v>
      </c>
      <c r="Y99" s="3">
        <v>0</v>
      </c>
      <c r="Z99" s="3">
        <v>0</v>
      </c>
      <c r="AA99" s="3">
        <v>0</v>
      </c>
      <c r="AB99" s="3">
        <v>0</v>
      </c>
      <c r="AC99" s="3">
        <v>0</v>
      </c>
      <c r="AD99" s="3">
        <v>0</v>
      </c>
      <c r="AE99" s="3" t="s">
        <v>6</v>
      </c>
      <c r="AF99" s="3">
        <f>SUM(AH99:AL99)</f>
        <v>0</v>
      </c>
      <c r="AS99" s="3" t="s">
        <v>775</v>
      </c>
      <c r="AT99" s="3" t="s">
        <v>81</v>
      </c>
      <c r="AU99" s="3" t="s">
        <v>331</v>
      </c>
    </row>
    <row r="100" spans="1:48" x14ac:dyDescent="0.25">
      <c r="A100" t="s">
        <v>1007</v>
      </c>
      <c r="B100" s="7">
        <v>45470</v>
      </c>
      <c r="C100" s="7" t="s">
        <v>844</v>
      </c>
      <c r="D100" s="3" t="s">
        <v>6</v>
      </c>
      <c r="E100" s="3" t="s">
        <v>128</v>
      </c>
      <c r="F100" s="3" t="s">
        <v>23</v>
      </c>
      <c r="G100" s="3" t="s">
        <v>23</v>
      </c>
      <c r="H100" s="9">
        <v>37.5317477482795</v>
      </c>
      <c r="I100" s="9">
        <v>-0.99420425527443201</v>
      </c>
      <c r="J100" s="3">
        <v>1</v>
      </c>
      <c r="K100" s="3">
        <v>1</v>
      </c>
      <c r="L100" s="3">
        <v>0</v>
      </c>
      <c r="M100" s="3">
        <v>0</v>
      </c>
      <c r="N100" s="3" t="s">
        <v>66</v>
      </c>
      <c r="O100" s="3">
        <v>0</v>
      </c>
      <c r="P100" s="3">
        <v>1</v>
      </c>
      <c r="Q100" s="3">
        <v>0</v>
      </c>
      <c r="R100" s="3">
        <v>0</v>
      </c>
      <c r="S100" s="3">
        <v>0</v>
      </c>
      <c r="T100" s="3">
        <v>0</v>
      </c>
      <c r="U100" s="3">
        <v>1</v>
      </c>
      <c r="V100" s="3">
        <v>0</v>
      </c>
      <c r="W100" s="3">
        <v>0</v>
      </c>
      <c r="X100" s="3">
        <v>0</v>
      </c>
      <c r="Y100" s="3">
        <v>0</v>
      </c>
      <c r="Z100" s="3">
        <v>0</v>
      </c>
      <c r="AA100" s="3">
        <v>0</v>
      </c>
      <c r="AB100" s="3">
        <v>0</v>
      </c>
      <c r="AC100" s="3">
        <v>0</v>
      </c>
      <c r="AD100" s="3">
        <v>0</v>
      </c>
      <c r="AE100" s="3" t="s">
        <v>6</v>
      </c>
      <c r="AF100" s="3">
        <f>SUM(AH100:AL100)</f>
        <v>0</v>
      </c>
      <c r="AS100" s="3" t="s">
        <v>775</v>
      </c>
      <c r="AT100" s="3" t="s">
        <v>81</v>
      </c>
      <c r="AU100" s="3" t="s">
        <v>332</v>
      </c>
      <c r="AV100" s="3" t="s">
        <v>333</v>
      </c>
    </row>
    <row r="101" spans="1:48" x14ac:dyDescent="0.25">
      <c r="A101" t="s">
        <v>1008</v>
      </c>
      <c r="B101" s="7">
        <v>44781</v>
      </c>
      <c r="C101" s="7" t="s">
        <v>844</v>
      </c>
      <c r="D101" s="3" t="s">
        <v>6</v>
      </c>
      <c r="E101" s="3" t="s">
        <v>25</v>
      </c>
      <c r="F101" s="3" t="s">
        <v>25</v>
      </c>
      <c r="G101" s="3" t="s">
        <v>19</v>
      </c>
      <c r="H101" s="9">
        <v>38.273150539517196</v>
      </c>
      <c r="I101" s="9">
        <v>-0.48769055932637101</v>
      </c>
      <c r="J101" s="3">
        <v>1</v>
      </c>
      <c r="K101" s="3">
        <v>1</v>
      </c>
      <c r="L101" s="3">
        <v>0</v>
      </c>
      <c r="M101" s="3">
        <v>0</v>
      </c>
      <c r="N101" s="3" t="s">
        <v>16</v>
      </c>
      <c r="O101" s="3">
        <v>0</v>
      </c>
      <c r="P101" s="3">
        <v>0</v>
      </c>
      <c r="Q101" s="3">
        <v>0</v>
      </c>
      <c r="R101" s="3">
        <v>0</v>
      </c>
      <c r="S101" s="3">
        <v>0</v>
      </c>
      <c r="T101" s="3">
        <v>1</v>
      </c>
      <c r="U101" s="3">
        <v>0</v>
      </c>
      <c r="V101" s="3">
        <v>0</v>
      </c>
      <c r="W101" s="3">
        <v>0</v>
      </c>
      <c r="X101" s="3">
        <v>0</v>
      </c>
      <c r="Y101" s="3">
        <v>0</v>
      </c>
      <c r="Z101" s="3">
        <v>1</v>
      </c>
      <c r="AA101" s="3">
        <v>0</v>
      </c>
      <c r="AB101" s="3">
        <v>0</v>
      </c>
      <c r="AC101" s="3">
        <v>0</v>
      </c>
      <c r="AD101" s="3">
        <v>0</v>
      </c>
      <c r="AE101" s="3" t="s">
        <v>6</v>
      </c>
      <c r="AF101" s="3" t="s">
        <v>1433</v>
      </c>
      <c r="AS101" s="3" t="s">
        <v>775</v>
      </c>
      <c r="AT101" s="3" t="s">
        <v>81</v>
      </c>
      <c r="AU101" s="3" t="s">
        <v>334</v>
      </c>
      <c r="AV101" s="3" t="s">
        <v>316</v>
      </c>
    </row>
    <row r="102" spans="1:48" x14ac:dyDescent="0.25">
      <c r="A102" t="s">
        <v>1009</v>
      </c>
      <c r="B102" s="7">
        <v>44770</v>
      </c>
      <c r="C102" s="7" t="s">
        <v>844</v>
      </c>
      <c r="D102" s="3" t="s">
        <v>6</v>
      </c>
      <c r="E102" s="3" t="s">
        <v>284</v>
      </c>
      <c r="F102" s="3" t="s">
        <v>25</v>
      </c>
      <c r="G102" s="3" t="s">
        <v>19</v>
      </c>
      <c r="H102" s="9">
        <v>38.5989131696873</v>
      </c>
      <c r="I102" s="9">
        <v>1.6041432809215199E-3</v>
      </c>
      <c r="J102" s="3">
        <v>2</v>
      </c>
      <c r="K102" s="3">
        <v>2</v>
      </c>
      <c r="L102" s="3">
        <v>0</v>
      </c>
      <c r="M102" s="3">
        <v>0</v>
      </c>
      <c r="N102" s="3" t="s">
        <v>16</v>
      </c>
      <c r="O102" s="3">
        <v>0</v>
      </c>
      <c r="P102" s="3">
        <v>0</v>
      </c>
      <c r="Q102" s="3">
        <v>0</v>
      </c>
      <c r="R102" s="3">
        <v>1</v>
      </c>
      <c r="S102" s="3">
        <v>1</v>
      </c>
      <c r="T102" s="3">
        <v>0</v>
      </c>
      <c r="U102" s="3">
        <v>0</v>
      </c>
      <c r="V102" s="3">
        <v>0</v>
      </c>
      <c r="W102" s="3">
        <v>0</v>
      </c>
      <c r="X102" s="3">
        <v>0</v>
      </c>
      <c r="Y102" s="3">
        <v>0</v>
      </c>
      <c r="Z102" s="3">
        <v>2</v>
      </c>
      <c r="AA102" s="3">
        <v>0</v>
      </c>
      <c r="AB102" s="3">
        <v>0</v>
      </c>
      <c r="AC102" s="3">
        <v>0</v>
      </c>
      <c r="AD102" s="3">
        <v>0</v>
      </c>
      <c r="AE102" s="3" t="s">
        <v>6</v>
      </c>
      <c r="AF102" s="3" t="s">
        <v>1433</v>
      </c>
      <c r="AS102" s="3" t="s">
        <v>775</v>
      </c>
      <c r="AT102" s="3" t="s">
        <v>81</v>
      </c>
      <c r="AU102" s="3" t="s">
        <v>335</v>
      </c>
      <c r="AV102" s="3" t="s">
        <v>240</v>
      </c>
    </row>
    <row r="103" spans="1:48" x14ac:dyDescent="0.25">
      <c r="A103" t="s">
        <v>1012</v>
      </c>
      <c r="B103" s="7">
        <v>44787</v>
      </c>
      <c r="C103" s="7" t="s">
        <v>844</v>
      </c>
      <c r="D103" s="3" t="s">
        <v>6</v>
      </c>
      <c r="E103" s="3" t="s">
        <v>135</v>
      </c>
      <c r="F103" s="3" t="s">
        <v>8</v>
      </c>
      <c r="G103" s="3" t="s">
        <v>8</v>
      </c>
      <c r="H103" s="9">
        <v>39.903763755694101</v>
      </c>
      <c r="I103" s="9">
        <v>2.55365258076541</v>
      </c>
      <c r="J103" s="3">
        <v>1</v>
      </c>
      <c r="K103" s="3">
        <v>1</v>
      </c>
      <c r="L103" s="3">
        <v>0</v>
      </c>
      <c r="M103" s="3">
        <v>0</v>
      </c>
      <c r="N103" s="3" t="s">
        <v>66</v>
      </c>
      <c r="O103" s="3">
        <v>0</v>
      </c>
      <c r="P103" s="3">
        <v>1</v>
      </c>
      <c r="Q103" s="3">
        <v>0</v>
      </c>
      <c r="R103" s="3">
        <v>0</v>
      </c>
      <c r="S103" s="3">
        <v>0</v>
      </c>
      <c r="T103" s="3">
        <v>0</v>
      </c>
      <c r="U103" s="3">
        <v>1</v>
      </c>
      <c r="V103" s="3">
        <v>0</v>
      </c>
      <c r="W103" s="3">
        <v>0</v>
      </c>
      <c r="X103" s="3">
        <v>0</v>
      </c>
      <c r="Y103" s="3">
        <v>0</v>
      </c>
      <c r="Z103" s="3">
        <v>0</v>
      </c>
      <c r="AA103" s="3">
        <v>0</v>
      </c>
      <c r="AB103" s="3">
        <v>0</v>
      </c>
      <c r="AC103" s="3">
        <v>0</v>
      </c>
      <c r="AD103" s="3">
        <v>0</v>
      </c>
      <c r="AE103" s="3" t="s">
        <v>6</v>
      </c>
      <c r="AF103" s="3">
        <f>SUM(AH103:AL103)</f>
        <v>0</v>
      </c>
      <c r="AS103" s="3" t="s">
        <v>775</v>
      </c>
      <c r="AT103" s="3" t="s">
        <v>81</v>
      </c>
      <c r="AU103" s="3" t="s">
        <v>340</v>
      </c>
      <c r="AV103" s="3" t="s">
        <v>240</v>
      </c>
    </row>
    <row r="104" spans="1:48" x14ac:dyDescent="0.25">
      <c r="A104" t="s">
        <v>1014</v>
      </c>
      <c r="B104" s="7">
        <v>42976</v>
      </c>
      <c r="C104" s="7" t="s">
        <v>844</v>
      </c>
      <c r="D104" s="3" t="s">
        <v>6</v>
      </c>
      <c r="F104" s="3" t="s">
        <v>8</v>
      </c>
      <c r="G104" s="3" t="s">
        <v>8</v>
      </c>
      <c r="H104" s="9">
        <v>40.038297884544903</v>
      </c>
      <c r="I104" s="9">
        <v>3.3939457609621302</v>
      </c>
      <c r="J104" s="3">
        <v>1</v>
      </c>
      <c r="K104" s="3">
        <v>0</v>
      </c>
      <c r="L104" s="3">
        <v>1</v>
      </c>
      <c r="M104" s="3">
        <v>0</v>
      </c>
      <c r="N104" s="3" t="s">
        <v>16</v>
      </c>
      <c r="O104" s="3">
        <v>0</v>
      </c>
      <c r="P104" s="3">
        <v>0</v>
      </c>
      <c r="Q104" s="3">
        <v>0</v>
      </c>
      <c r="R104" s="3">
        <v>1</v>
      </c>
      <c r="S104" s="3">
        <v>0</v>
      </c>
      <c r="T104" s="3">
        <v>0</v>
      </c>
      <c r="U104" s="3">
        <v>0</v>
      </c>
      <c r="V104" s="3">
        <v>0</v>
      </c>
      <c r="W104" s="3">
        <v>0</v>
      </c>
      <c r="X104" s="3">
        <v>0</v>
      </c>
      <c r="Y104" s="3">
        <v>0</v>
      </c>
      <c r="Z104" s="3">
        <v>0</v>
      </c>
      <c r="AA104" s="3">
        <v>1</v>
      </c>
      <c r="AB104" s="3">
        <v>0</v>
      </c>
      <c r="AC104" s="3">
        <v>0</v>
      </c>
      <c r="AD104" s="3">
        <v>0</v>
      </c>
      <c r="AE104" s="3" t="s">
        <v>6</v>
      </c>
      <c r="AF104" s="3" t="s">
        <v>1433</v>
      </c>
      <c r="AS104" s="3" t="s">
        <v>775</v>
      </c>
      <c r="AT104" s="3" t="s">
        <v>81</v>
      </c>
      <c r="AU104" s="3" t="s">
        <v>342</v>
      </c>
      <c r="AV104" s="3" t="s">
        <v>354</v>
      </c>
    </row>
    <row r="105" spans="1:48" x14ac:dyDescent="0.25">
      <c r="A105" t="s">
        <v>1017</v>
      </c>
      <c r="B105" s="7">
        <v>44482</v>
      </c>
      <c r="C105" s="7" t="s">
        <v>844</v>
      </c>
      <c r="D105" s="3" t="s">
        <v>6</v>
      </c>
      <c r="E105" s="3" t="s">
        <v>134</v>
      </c>
      <c r="F105" s="3" t="s">
        <v>8</v>
      </c>
      <c r="G105" s="3" t="s">
        <v>8</v>
      </c>
      <c r="H105" s="9">
        <v>40.039515855427801</v>
      </c>
      <c r="I105" s="9">
        <v>4.1830371454740396</v>
      </c>
      <c r="J105" s="3">
        <v>1</v>
      </c>
      <c r="K105" s="3">
        <v>1</v>
      </c>
      <c r="L105" s="3">
        <v>0</v>
      </c>
      <c r="M105" s="3">
        <v>0</v>
      </c>
      <c r="N105" s="3" t="s">
        <v>66</v>
      </c>
      <c r="O105" s="3">
        <v>0</v>
      </c>
      <c r="P105" s="3">
        <v>1</v>
      </c>
      <c r="Q105" s="3">
        <v>0</v>
      </c>
      <c r="R105" s="3">
        <v>0</v>
      </c>
      <c r="S105" s="3">
        <v>0</v>
      </c>
      <c r="T105" s="3">
        <v>0</v>
      </c>
      <c r="U105" s="3">
        <v>1</v>
      </c>
      <c r="V105" s="3">
        <v>0</v>
      </c>
      <c r="W105" s="3">
        <v>0</v>
      </c>
      <c r="X105" s="3">
        <v>0</v>
      </c>
      <c r="Y105" s="3">
        <v>0</v>
      </c>
      <c r="Z105" s="3">
        <v>0</v>
      </c>
      <c r="AA105" s="3">
        <v>0</v>
      </c>
      <c r="AB105" s="3">
        <v>0</v>
      </c>
      <c r="AC105" s="3">
        <v>0</v>
      </c>
      <c r="AD105" s="3">
        <v>0</v>
      </c>
      <c r="AE105" s="3" t="s">
        <v>6</v>
      </c>
      <c r="AF105" s="3">
        <f>SUM(AH105:AL105)</f>
        <v>0</v>
      </c>
      <c r="AS105" s="3" t="s">
        <v>775</v>
      </c>
      <c r="AT105" s="3" t="s">
        <v>81</v>
      </c>
      <c r="AU105" s="3" t="s">
        <v>346</v>
      </c>
      <c r="AV105" s="3" t="s">
        <v>316</v>
      </c>
    </row>
    <row r="106" spans="1:48" x14ac:dyDescent="0.25">
      <c r="A106" t="s">
        <v>1020</v>
      </c>
      <c r="B106" s="7">
        <v>44780</v>
      </c>
      <c r="C106" s="7" t="s">
        <v>844</v>
      </c>
      <c r="D106" s="3" t="s">
        <v>6</v>
      </c>
      <c r="E106" s="3" t="s">
        <v>349</v>
      </c>
      <c r="F106" s="3" t="s">
        <v>59</v>
      </c>
      <c r="G106" s="3" t="s">
        <v>20</v>
      </c>
      <c r="H106" s="9">
        <v>42.183610000908402</v>
      </c>
      <c r="I106" s="9">
        <v>3.1705214138231401</v>
      </c>
      <c r="J106" s="3">
        <v>1</v>
      </c>
      <c r="K106" s="3">
        <v>1</v>
      </c>
      <c r="L106" s="3">
        <v>0</v>
      </c>
      <c r="M106" s="3">
        <v>0</v>
      </c>
      <c r="N106" s="3" t="s">
        <v>16</v>
      </c>
      <c r="O106" s="3">
        <v>0</v>
      </c>
      <c r="P106" s="3">
        <v>0</v>
      </c>
      <c r="Q106" s="3">
        <v>0</v>
      </c>
      <c r="R106" s="3">
        <v>0</v>
      </c>
      <c r="S106" s="3">
        <v>1</v>
      </c>
      <c r="T106" s="3">
        <v>0</v>
      </c>
      <c r="U106" s="3">
        <v>0</v>
      </c>
      <c r="V106" s="3">
        <v>0</v>
      </c>
      <c r="W106" s="3">
        <v>0</v>
      </c>
      <c r="X106" s="3">
        <v>0</v>
      </c>
      <c r="Y106" s="3">
        <v>0</v>
      </c>
      <c r="Z106" s="3">
        <v>1</v>
      </c>
      <c r="AA106" s="3">
        <v>0</v>
      </c>
      <c r="AB106" s="3">
        <v>0</v>
      </c>
      <c r="AC106" s="3">
        <v>0</v>
      </c>
      <c r="AD106" s="3">
        <v>0</v>
      </c>
      <c r="AE106" s="3" t="s">
        <v>6</v>
      </c>
      <c r="AF106" s="3" t="s">
        <v>1433</v>
      </c>
      <c r="AS106" s="3" t="s">
        <v>775</v>
      </c>
      <c r="AT106" s="3" t="s">
        <v>81</v>
      </c>
      <c r="AU106" s="3" t="s">
        <v>351</v>
      </c>
      <c r="AV106" s="3" t="s">
        <v>316</v>
      </c>
    </row>
    <row r="107" spans="1:48" x14ac:dyDescent="0.25">
      <c r="A107" t="s">
        <v>1021</v>
      </c>
      <c r="B107" s="7">
        <v>44088</v>
      </c>
      <c r="C107" s="7" t="s">
        <v>844</v>
      </c>
      <c r="D107" s="3" t="s">
        <v>6</v>
      </c>
      <c r="E107" s="3" t="s">
        <v>130</v>
      </c>
      <c r="F107" s="3" t="s">
        <v>59</v>
      </c>
      <c r="G107" s="3" t="s">
        <v>20</v>
      </c>
      <c r="H107" s="9">
        <v>42.323035005014098</v>
      </c>
      <c r="I107" s="9">
        <v>3.4857954399548898</v>
      </c>
      <c r="J107" s="3">
        <v>1</v>
      </c>
      <c r="K107" s="3">
        <v>0</v>
      </c>
      <c r="L107" s="3">
        <v>1</v>
      </c>
      <c r="M107" s="3">
        <v>0</v>
      </c>
      <c r="N107" s="3" t="s">
        <v>66</v>
      </c>
      <c r="O107" s="3">
        <v>0</v>
      </c>
      <c r="P107" s="3">
        <v>0</v>
      </c>
      <c r="Q107" s="3">
        <v>1</v>
      </c>
      <c r="R107" s="3">
        <v>0</v>
      </c>
      <c r="S107" s="3">
        <v>0</v>
      </c>
      <c r="T107" s="3">
        <v>0</v>
      </c>
      <c r="U107" s="3">
        <v>1</v>
      </c>
      <c r="V107" s="3">
        <v>0</v>
      </c>
      <c r="W107" s="3">
        <v>0</v>
      </c>
      <c r="X107" s="3">
        <v>0</v>
      </c>
      <c r="Y107" s="3">
        <v>0</v>
      </c>
      <c r="Z107" s="3">
        <v>0</v>
      </c>
      <c r="AA107" s="3">
        <v>0</v>
      </c>
      <c r="AB107" s="3">
        <v>0</v>
      </c>
      <c r="AC107" s="3">
        <v>0</v>
      </c>
      <c r="AD107" s="3">
        <v>0</v>
      </c>
      <c r="AE107" s="3" t="s">
        <v>6</v>
      </c>
      <c r="AF107" s="3">
        <f>SUM(AH107:AL107)</f>
        <v>0</v>
      </c>
      <c r="AS107" s="3" t="s">
        <v>775</v>
      </c>
      <c r="AT107" s="3" t="s">
        <v>81</v>
      </c>
      <c r="AU107" s="3" t="s">
        <v>352</v>
      </c>
      <c r="AV107" s="3" t="s">
        <v>343</v>
      </c>
    </row>
    <row r="108" spans="1:48" x14ac:dyDescent="0.25">
      <c r="A108" t="s">
        <v>1022</v>
      </c>
      <c r="B108" s="7">
        <v>43338</v>
      </c>
      <c r="C108" s="7" t="s">
        <v>844</v>
      </c>
      <c r="D108" s="4">
        <v>0.43541666666666662</v>
      </c>
      <c r="E108" s="3" t="s">
        <v>355</v>
      </c>
      <c r="F108" s="3" t="s">
        <v>24</v>
      </c>
      <c r="G108" s="3" t="s">
        <v>20</v>
      </c>
      <c r="H108" s="9">
        <v>41.502216284088398</v>
      </c>
      <c r="I108" s="9">
        <v>2.3953131868315301</v>
      </c>
      <c r="J108" s="3">
        <v>1</v>
      </c>
      <c r="K108" s="3">
        <v>1</v>
      </c>
      <c r="L108" s="3">
        <v>0</v>
      </c>
      <c r="M108" s="3">
        <v>0</v>
      </c>
      <c r="N108" s="3" t="s">
        <v>16</v>
      </c>
      <c r="O108" s="3">
        <v>0</v>
      </c>
      <c r="P108" s="3">
        <v>0</v>
      </c>
      <c r="Q108" s="3">
        <v>0</v>
      </c>
      <c r="R108" s="3">
        <v>0</v>
      </c>
      <c r="S108" s="3">
        <v>0</v>
      </c>
      <c r="T108" s="3">
        <v>1</v>
      </c>
      <c r="U108" s="3">
        <v>0</v>
      </c>
      <c r="V108" s="3">
        <v>0</v>
      </c>
      <c r="W108" s="3">
        <v>0</v>
      </c>
      <c r="X108" s="3">
        <v>0</v>
      </c>
      <c r="Y108" s="3">
        <v>0</v>
      </c>
      <c r="Z108" s="3">
        <v>1</v>
      </c>
      <c r="AA108" s="3">
        <v>0</v>
      </c>
      <c r="AB108" s="3">
        <v>0</v>
      </c>
      <c r="AC108" s="3">
        <v>0</v>
      </c>
      <c r="AD108" s="3">
        <v>0</v>
      </c>
      <c r="AE108" s="3" t="s">
        <v>6</v>
      </c>
      <c r="AF108" s="3" t="s">
        <v>1433</v>
      </c>
      <c r="AS108" s="3" t="s">
        <v>17</v>
      </c>
      <c r="AT108" s="3" t="s">
        <v>780</v>
      </c>
      <c r="AU108" s="3" t="s">
        <v>356</v>
      </c>
      <c r="AV108" s="3" t="s">
        <v>249</v>
      </c>
    </row>
    <row r="109" spans="1:48" x14ac:dyDescent="0.25">
      <c r="A109" t="s">
        <v>1024</v>
      </c>
      <c r="B109" s="7">
        <v>45137</v>
      </c>
      <c r="C109" s="7" t="s">
        <v>844</v>
      </c>
      <c r="D109" s="3" t="s">
        <v>6</v>
      </c>
      <c r="E109" s="3" t="s">
        <v>359</v>
      </c>
      <c r="F109" s="3" t="s">
        <v>25</v>
      </c>
      <c r="G109" s="3" t="s">
        <v>19</v>
      </c>
      <c r="H109" s="9">
        <v>37.976692680319502</v>
      </c>
      <c r="I109" s="9">
        <v>-0.66900059539321799</v>
      </c>
      <c r="J109" s="3">
        <v>1</v>
      </c>
      <c r="K109" s="3">
        <v>1</v>
      </c>
      <c r="L109" s="3">
        <v>0</v>
      </c>
      <c r="M109" s="3">
        <v>0</v>
      </c>
      <c r="N109" s="3" t="s">
        <v>16</v>
      </c>
      <c r="O109" s="3">
        <v>0</v>
      </c>
      <c r="P109" s="3">
        <v>0</v>
      </c>
      <c r="Q109" s="3">
        <v>0</v>
      </c>
      <c r="R109" s="3">
        <v>0</v>
      </c>
      <c r="S109" s="3">
        <v>0</v>
      </c>
      <c r="T109" s="3">
        <v>1</v>
      </c>
      <c r="U109" s="3">
        <v>0</v>
      </c>
      <c r="V109" s="3">
        <v>0</v>
      </c>
      <c r="W109" s="3">
        <v>0</v>
      </c>
      <c r="X109" s="3">
        <v>0</v>
      </c>
      <c r="Y109" s="3">
        <v>0</v>
      </c>
      <c r="Z109" s="3">
        <v>1</v>
      </c>
      <c r="AA109" s="3">
        <v>0</v>
      </c>
      <c r="AB109" s="3">
        <v>0</v>
      </c>
      <c r="AC109" s="3">
        <v>0</v>
      </c>
      <c r="AD109" s="3">
        <v>0</v>
      </c>
      <c r="AE109" s="3" t="s">
        <v>6</v>
      </c>
      <c r="AF109" s="3" t="s">
        <v>1433</v>
      </c>
      <c r="AS109" s="3" t="s">
        <v>17</v>
      </c>
      <c r="AT109" s="3" t="s">
        <v>780</v>
      </c>
      <c r="AU109" s="3" t="s">
        <v>360</v>
      </c>
    </row>
    <row r="110" spans="1:48" x14ac:dyDescent="0.25">
      <c r="A110" t="s">
        <v>1026</v>
      </c>
      <c r="B110" s="7">
        <v>44028</v>
      </c>
      <c r="C110" s="7" t="s">
        <v>844</v>
      </c>
      <c r="D110" s="4">
        <v>0.31180555555555556</v>
      </c>
      <c r="E110" s="3" t="s">
        <v>109</v>
      </c>
      <c r="F110" s="3" t="s">
        <v>57</v>
      </c>
      <c r="G110" s="3" t="s">
        <v>21</v>
      </c>
      <c r="H110" s="9">
        <v>36.711880269369203</v>
      </c>
      <c r="I110" s="9">
        <v>-3.7417882708528998</v>
      </c>
      <c r="J110" s="3">
        <v>1</v>
      </c>
      <c r="K110" s="3">
        <v>1</v>
      </c>
      <c r="L110" s="3">
        <v>0</v>
      </c>
      <c r="M110" s="3">
        <v>0</v>
      </c>
      <c r="N110" s="3" t="s">
        <v>16</v>
      </c>
      <c r="O110" s="3">
        <v>0</v>
      </c>
      <c r="P110" s="3">
        <v>0</v>
      </c>
      <c r="Q110" s="3">
        <v>0</v>
      </c>
      <c r="R110" s="3">
        <v>0</v>
      </c>
      <c r="S110" s="3">
        <v>1</v>
      </c>
      <c r="T110" s="3">
        <v>0</v>
      </c>
      <c r="U110" s="3">
        <v>0</v>
      </c>
      <c r="V110" s="3">
        <v>0</v>
      </c>
      <c r="W110" s="3">
        <v>0</v>
      </c>
      <c r="X110" s="3">
        <v>0</v>
      </c>
      <c r="Y110" s="3">
        <v>0</v>
      </c>
      <c r="Z110" s="3">
        <v>1</v>
      </c>
      <c r="AA110" s="3">
        <v>0</v>
      </c>
      <c r="AB110" s="3">
        <v>0</v>
      </c>
      <c r="AC110" s="3">
        <v>0</v>
      </c>
      <c r="AD110" s="3">
        <v>0</v>
      </c>
      <c r="AE110" s="3" t="s">
        <v>6</v>
      </c>
      <c r="AF110" s="3" t="s">
        <v>1433</v>
      </c>
      <c r="AS110" s="3" t="s">
        <v>17</v>
      </c>
      <c r="AT110" s="3" t="s">
        <v>780</v>
      </c>
      <c r="AU110" s="3" t="s">
        <v>362</v>
      </c>
    </row>
    <row r="111" spans="1:48" x14ac:dyDescent="0.25">
      <c r="A111" t="s">
        <v>1027</v>
      </c>
      <c r="B111" s="7">
        <v>43705</v>
      </c>
      <c r="C111" s="7" t="s">
        <v>844</v>
      </c>
      <c r="D111" s="3" t="s">
        <v>6</v>
      </c>
      <c r="E111" s="3" t="s">
        <v>109</v>
      </c>
      <c r="F111" s="3" t="s">
        <v>57</v>
      </c>
      <c r="G111" s="3" t="s">
        <v>21</v>
      </c>
      <c r="H111" s="9">
        <v>36.711880269369203</v>
      </c>
      <c r="I111" s="9">
        <v>-3.7417882708528998</v>
      </c>
      <c r="J111" s="3">
        <v>1</v>
      </c>
      <c r="K111" s="3">
        <v>1</v>
      </c>
      <c r="L111" s="3">
        <v>0</v>
      </c>
      <c r="M111" s="3">
        <v>0</v>
      </c>
      <c r="N111" s="3" t="s">
        <v>16</v>
      </c>
      <c r="O111" s="3">
        <v>0</v>
      </c>
      <c r="P111" s="3">
        <v>0</v>
      </c>
      <c r="Q111" s="3">
        <v>0</v>
      </c>
      <c r="R111" s="3">
        <v>0</v>
      </c>
      <c r="S111" s="3">
        <v>1</v>
      </c>
      <c r="T111" s="3">
        <v>0</v>
      </c>
      <c r="U111" s="3">
        <v>0</v>
      </c>
      <c r="V111" s="3">
        <v>0</v>
      </c>
      <c r="W111" s="3">
        <v>0</v>
      </c>
      <c r="X111" s="3">
        <v>0</v>
      </c>
      <c r="Y111" s="3">
        <v>0</v>
      </c>
      <c r="Z111" s="3">
        <v>1</v>
      </c>
      <c r="AA111" s="3">
        <v>0</v>
      </c>
      <c r="AB111" s="3">
        <v>0</v>
      </c>
      <c r="AC111" s="3">
        <v>0</v>
      </c>
      <c r="AD111" s="3">
        <v>0</v>
      </c>
      <c r="AE111" s="3" t="s">
        <v>6</v>
      </c>
      <c r="AF111" s="3" t="s">
        <v>1433</v>
      </c>
      <c r="AS111" s="3" t="s">
        <v>17</v>
      </c>
      <c r="AT111" s="3" t="s">
        <v>780</v>
      </c>
      <c r="AU111" s="3" t="s">
        <v>363</v>
      </c>
      <c r="AV111" s="3" t="s">
        <v>364</v>
      </c>
    </row>
    <row r="112" spans="1:48" x14ac:dyDescent="0.25">
      <c r="A112" t="s">
        <v>1028</v>
      </c>
      <c r="B112" s="7">
        <v>42592</v>
      </c>
      <c r="C112" s="7" t="s">
        <v>844</v>
      </c>
      <c r="D112" s="3" t="s">
        <v>6</v>
      </c>
      <c r="E112" s="3" t="s">
        <v>366</v>
      </c>
      <c r="F112" s="3" t="s">
        <v>25</v>
      </c>
      <c r="G112" s="3" t="s">
        <v>19</v>
      </c>
      <c r="H112" s="9">
        <v>38.818371590718598</v>
      </c>
      <c r="I112" s="9">
        <v>0.176234115054162</v>
      </c>
      <c r="J112" s="3">
        <v>1</v>
      </c>
      <c r="K112" s="3">
        <v>1</v>
      </c>
      <c r="L112" s="3">
        <v>0</v>
      </c>
      <c r="M112" s="3">
        <v>0</v>
      </c>
      <c r="N112" s="3" t="s">
        <v>66</v>
      </c>
      <c r="O112" s="3">
        <v>0</v>
      </c>
      <c r="P112" s="3">
        <v>0</v>
      </c>
      <c r="Q112" s="3">
        <v>1</v>
      </c>
      <c r="R112" s="3">
        <v>0</v>
      </c>
      <c r="S112" s="3">
        <v>0</v>
      </c>
      <c r="T112" s="3">
        <v>0</v>
      </c>
      <c r="U112" s="3">
        <v>0</v>
      </c>
      <c r="V112" s="3">
        <v>0</v>
      </c>
      <c r="W112" s="3">
        <v>0</v>
      </c>
      <c r="X112" s="3">
        <v>0</v>
      </c>
      <c r="Y112" s="3">
        <v>1</v>
      </c>
      <c r="Z112" s="3">
        <v>0</v>
      </c>
      <c r="AA112" s="3">
        <v>0</v>
      </c>
      <c r="AB112" s="3">
        <v>0</v>
      </c>
      <c r="AC112" s="3">
        <v>0</v>
      </c>
      <c r="AD112" s="3">
        <v>0</v>
      </c>
      <c r="AE112" s="3" t="s">
        <v>6</v>
      </c>
      <c r="AF112" s="3">
        <f>SUM(AH112:AL112)</f>
        <v>0</v>
      </c>
      <c r="AS112" s="3" t="s">
        <v>17</v>
      </c>
      <c r="AT112" s="3" t="s">
        <v>780</v>
      </c>
      <c r="AU112" s="3" t="s">
        <v>365</v>
      </c>
    </row>
    <row r="113" spans="1:48" x14ac:dyDescent="0.25">
      <c r="A113" t="s">
        <v>1029</v>
      </c>
      <c r="B113" s="7">
        <v>43492</v>
      </c>
      <c r="C113" s="7" t="s">
        <v>841</v>
      </c>
      <c r="D113" s="3" t="s">
        <v>6</v>
      </c>
      <c r="E113" s="3" t="s">
        <v>368</v>
      </c>
      <c r="F113" s="3" t="s">
        <v>87</v>
      </c>
      <c r="G113" s="3" t="s">
        <v>19</v>
      </c>
      <c r="H113" s="9">
        <v>39.677764284059798</v>
      </c>
      <c r="I113" s="9">
        <v>-0.201786165347179</v>
      </c>
      <c r="J113" s="3">
        <v>1</v>
      </c>
      <c r="K113" s="3">
        <v>1</v>
      </c>
      <c r="L113" s="3">
        <v>0</v>
      </c>
      <c r="M113" s="3">
        <v>0</v>
      </c>
      <c r="N113" s="3" t="s">
        <v>66</v>
      </c>
      <c r="O113" s="3">
        <v>0</v>
      </c>
      <c r="P113" s="3">
        <v>0</v>
      </c>
      <c r="Q113" s="3">
        <v>1</v>
      </c>
      <c r="R113" s="3">
        <v>0</v>
      </c>
      <c r="S113" s="3">
        <v>0</v>
      </c>
      <c r="T113" s="3">
        <v>0</v>
      </c>
      <c r="U113" s="3">
        <v>0</v>
      </c>
      <c r="V113" s="3">
        <v>0</v>
      </c>
      <c r="W113" s="3">
        <v>0</v>
      </c>
      <c r="X113" s="3">
        <v>0</v>
      </c>
      <c r="Y113" s="3">
        <v>1</v>
      </c>
      <c r="Z113" s="3">
        <v>0</v>
      </c>
      <c r="AA113" s="3">
        <v>0</v>
      </c>
      <c r="AB113" s="3">
        <v>0</v>
      </c>
      <c r="AC113" s="3">
        <v>0</v>
      </c>
      <c r="AD113" s="3">
        <v>0</v>
      </c>
      <c r="AE113" s="3" t="s">
        <v>6</v>
      </c>
      <c r="AF113" s="3">
        <f>SUM(AH113:AL113)</f>
        <v>0</v>
      </c>
      <c r="AS113" s="3" t="s">
        <v>17</v>
      </c>
      <c r="AT113" s="3" t="s">
        <v>780</v>
      </c>
      <c r="AU113" s="3" t="s">
        <v>367</v>
      </c>
      <c r="AV113" s="3" t="s">
        <v>369</v>
      </c>
    </row>
    <row r="114" spans="1:48" x14ac:dyDescent="0.25">
      <c r="A114" t="s">
        <v>1030</v>
      </c>
      <c r="B114" s="7">
        <v>45814</v>
      </c>
      <c r="C114" s="7" t="s">
        <v>844</v>
      </c>
      <c r="D114" s="3" t="s">
        <v>6</v>
      </c>
      <c r="E114" s="3" t="s">
        <v>370</v>
      </c>
      <c r="F114" s="3" t="s">
        <v>8</v>
      </c>
      <c r="G114" s="3" t="s">
        <v>8</v>
      </c>
      <c r="H114" s="9">
        <v>39.036527617121301</v>
      </c>
      <c r="I114" s="9">
        <v>1.6093427470683399</v>
      </c>
      <c r="J114" s="3">
        <v>1</v>
      </c>
      <c r="K114" s="3">
        <v>1</v>
      </c>
      <c r="L114" s="3">
        <v>0</v>
      </c>
      <c r="M114" s="3">
        <v>0</v>
      </c>
      <c r="N114" s="3" t="s">
        <v>66</v>
      </c>
      <c r="O114" s="3">
        <v>0</v>
      </c>
      <c r="P114" s="3">
        <v>0</v>
      </c>
      <c r="Q114" s="3">
        <v>1</v>
      </c>
      <c r="R114" s="3">
        <v>0</v>
      </c>
      <c r="S114" s="3">
        <v>0</v>
      </c>
      <c r="T114" s="3">
        <v>0</v>
      </c>
      <c r="U114" s="3">
        <v>0</v>
      </c>
      <c r="V114" s="3">
        <v>0</v>
      </c>
      <c r="W114" s="3">
        <v>0</v>
      </c>
      <c r="X114" s="3">
        <v>0</v>
      </c>
      <c r="Y114" s="3">
        <v>1</v>
      </c>
      <c r="Z114" s="3">
        <v>0</v>
      </c>
      <c r="AA114" s="3">
        <v>0</v>
      </c>
      <c r="AB114" s="3">
        <v>0</v>
      </c>
      <c r="AC114" s="3">
        <v>0</v>
      </c>
      <c r="AD114" s="3">
        <v>0</v>
      </c>
      <c r="AE114" s="3" t="s">
        <v>6</v>
      </c>
      <c r="AF114" s="3">
        <f>SUM(AH114:AL114)</f>
        <v>0</v>
      </c>
      <c r="AS114" s="3" t="s">
        <v>17</v>
      </c>
      <c r="AT114" s="3" t="s">
        <v>780</v>
      </c>
      <c r="AU114" s="3" t="s">
        <v>371</v>
      </c>
      <c r="AV114" s="3" t="s">
        <v>372</v>
      </c>
    </row>
    <row r="115" spans="1:48" x14ac:dyDescent="0.25">
      <c r="A115" t="s">
        <v>1031</v>
      </c>
      <c r="B115" s="7">
        <v>45802</v>
      </c>
      <c r="C115" s="7" t="s">
        <v>842</v>
      </c>
      <c r="D115" s="3" t="s">
        <v>6</v>
      </c>
      <c r="E115" s="3" t="s">
        <v>373</v>
      </c>
      <c r="F115" s="3" t="s">
        <v>24</v>
      </c>
      <c r="G115" s="3" t="s">
        <v>20</v>
      </c>
      <c r="H115" s="9">
        <v>41.268562496314502</v>
      </c>
      <c r="I115" s="9">
        <v>2.0372889509815302</v>
      </c>
      <c r="J115" s="3">
        <v>1</v>
      </c>
      <c r="K115" s="3">
        <v>1</v>
      </c>
      <c r="L115" s="3">
        <v>0</v>
      </c>
      <c r="M115" s="3">
        <v>0</v>
      </c>
      <c r="N115" s="3" t="s">
        <v>66</v>
      </c>
      <c r="O115" s="3">
        <v>0</v>
      </c>
      <c r="P115" s="3">
        <v>0</v>
      </c>
      <c r="Q115" s="3">
        <v>1</v>
      </c>
      <c r="R115" s="3">
        <v>0</v>
      </c>
      <c r="S115" s="3">
        <v>0</v>
      </c>
      <c r="T115" s="3">
        <v>0</v>
      </c>
      <c r="U115" s="3">
        <v>0</v>
      </c>
      <c r="V115" s="3">
        <v>0</v>
      </c>
      <c r="W115" s="3">
        <v>0</v>
      </c>
      <c r="X115" s="3">
        <v>0</v>
      </c>
      <c r="Y115" s="3">
        <v>1</v>
      </c>
      <c r="Z115" s="3">
        <v>0</v>
      </c>
      <c r="AA115" s="3">
        <v>0</v>
      </c>
      <c r="AB115" s="3">
        <v>0</v>
      </c>
      <c r="AC115" s="3">
        <v>0</v>
      </c>
      <c r="AD115" s="3">
        <v>0</v>
      </c>
      <c r="AE115" s="3" t="s">
        <v>6</v>
      </c>
      <c r="AF115" s="3">
        <f>SUM(AH115:AL115)</f>
        <v>0</v>
      </c>
      <c r="AS115" s="3" t="s">
        <v>17</v>
      </c>
      <c r="AT115" s="3" t="s">
        <v>781</v>
      </c>
      <c r="AU115" s="3" t="s">
        <v>374</v>
      </c>
    </row>
    <row r="116" spans="1:48" x14ac:dyDescent="0.25">
      <c r="A116" t="s">
        <v>1032</v>
      </c>
      <c r="B116" s="7">
        <v>45491</v>
      </c>
      <c r="C116" s="7" t="s">
        <v>844</v>
      </c>
      <c r="D116" s="3" t="s">
        <v>6</v>
      </c>
      <c r="E116" s="3" t="s">
        <v>376</v>
      </c>
      <c r="F116" s="3" t="s">
        <v>54</v>
      </c>
      <c r="G116" s="3" t="s">
        <v>21</v>
      </c>
      <c r="H116" s="9">
        <v>36.702413935553601</v>
      </c>
      <c r="I116" s="9">
        <v>-4.4327580946906</v>
      </c>
      <c r="J116" s="3">
        <v>2</v>
      </c>
      <c r="K116" s="3">
        <v>2</v>
      </c>
      <c r="L116" s="3">
        <v>0</v>
      </c>
      <c r="M116" s="3">
        <v>0</v>
      </c>
      <c r="N116" s="3" t="s">
        <v>66</v>
      </c>
      <c r="O116" s="3">
        <v>0</v>
      </c>
      <c r="P116" s="3">
        <v>1</v>
      </c>
      <c r="Q116" s="3">
        <v>1</v>
      </c>
      <c r="R116" s="3">
        <v>0</v>
      </c>
      <c r="S116" s="3">
        <v>0</v>
      </c>
      <c r="T116" s="3">
        <v>0</v>
      </c>
      <c r="U116" s="3">
        <v>0</v>
      </c>
      <c r="V116" s="3">
        <v>0</v>
      </c>
      <c r="W116" s="3">
        <v>0</v>
      </c>
      <c r="X116" s="3">
        <v>0</v>
      </c>
      <c r="Y116" s="3">
        <v>2</v>
      </c>
      <c r="Z116" s="3">
        <v>0</v>
      </c>
      <c r="AA116" s="3">
        <v>0</v>
      </c>
      <c r="AB116" s="3">
        <v>0</v>
      </c>
      <c r="AC116" s="3">
        <v>0</v>
      </c>
      <c r="AD116" s="3">
        <v>0</v>
      </c>
      <c r="AE116" s="3" t="s">
        <v>6</v>
      </c>
      <c r="AF116" s="3">
        <f>SUM(AH116:AL116)</f>
        <v>0</v>
      </c>
      <c r="AS116" s="3" t="s">
        <v>17</v>
      </c>
      <c r="AT116" s="3" t="s">
        <v>781</v>
      </c>
      <c r="AU116" s="3" t="s">
        <v>375</v>
      </c>
    </row>
    <row r="117" spans="1:48" x14ac:dyDescent="0.25">
      <c r="A117" t="s">
        <v>1034</v>
      </c>
      <c r="B117" s="7">
        <v>45514</v>
      </c>
      <c r="C117" s="7" t="s">
        <v>844</v>
      </c>
      <c r="D117" s="3" t="s">
        <v>6</v>
      </c>
      <c r="E117" s="3" t="s">
        <v>379</v>
      </c>
      <c r="F117" s="3" t="s">
        <v>23</v>
      </c>
      <c r="G117" s="3" t="s">
        <v>23</v>
      </c>
      <c r="H117" s="9">
        <v>37.642918410037602</v>
      </c>
      <c r="I117" s="9">
        <v>-0.72334560888483901</v>
      </c>
      <c r="J117" s="3">
        <v>1</v>
      </c>
      <c r="K117" s="3">
        <v>1</v>
      </c>
      <c r="L117" s="3">
        <v>0</v>
      </c>
      <c r="M117" s="3">
        <v>0</v>
      </c>
      <c r="N117" s="3" t="s">
        <v>16</v>
      </c>
      <c r="O117" s="3">
        <v>0</v>
      </c>
      <c r="P117" s="3">
        <v>0</v>
      </c>
      <c r="Q117" s="3">
        <v>0</v>
      </c>
      <c r="R117" s="3">
        <v>0</v>
      </c>
      <c r="S117" s="3">
        <v>0</v>
      </c>
      <c r="T117" s="3">
        <v>1</v>
      </c>
      <c r="U117" s="3">
        <v>0</v>
      </c>
      <c r="V117" s="3">
        <v>0</v>
      </c>
      <c r="W117" s="3">
        <v>0</v>
      </c>
      <c r="X117" s="3">
        <v>0</v>
      </c>
      <c r="Y117" s="3">
        <v>0</v>
      </c>
      <c r="Z117" s="3">
        <v>0</v>
      </c>
      <c r="AA117" s="3">
        <v>0</v>
      </c>
      <c r="AB117" s="3">
        <v>0</v>
      </c>
      <c r="AC117" s="3">
        <v>0</v>
      </c>
      <c r="AD117" s="3">
        <v>1</v>
      </c>
      <c r="AE117" s="3" t="s">
        <v>6</v>
      </c>
      <c r="AF117" s="3" t="s">
        <v>1433</v>
      </c>
      <c r="AS117" s="3" t="s">
        <v>17</v>
      </c>
      <c r="AT117" s="3" t="s">
        <v>781</v>
      </c>
      <c r="AU117" s="3" t="s">
        <v>380</v>
      </c>
      <c r="AV117" s="3" t="s">
        <v>249</v>
      </c>
    </row>
    <row r="118" spans="1:48" x14ac:dyDescent="0.25">
      <c r="A118" t="s">
        <v>1035</v>
      </c>
      <c r="B118" s="7">
        <v>45505</v>
      </c>
      <c r="C118" s="7" t="s">
        <v>844</v>
      </c>
      <c r="D118" s="3" t="s">
        <v>6</v>
      </c>
      <c r="E118" s="3" t="s">
        <v>381</v>
      </c>
      <c r="F118" s="3" t="s">
        <v>24</v>
      </c>
      <c r="G118" s="3" t="s">
        <v>20</v>
      </c>
      <c r="H118" s="9">
        <v>41.416555816168803</v>
      </c>
      <c r="I118" s="9">
        <v>2.2318697451304801</v>
      </c>
      <c r="J118" s="3">
        <v>1</v>
      </c>
      <c r="K118" s="3">
        <v>1</v>
      </c>
      <c r="L118" s="3">
        <v>0</v>
      </c>
      <c r="M118" s="3">
        <v>0</v>
      </c>
      <c r="N118" s="3" t="s">
        <v>66</v>
      </c>
      <c r="O118" s="3">
        <v>0</v>
      </c>
      <c r="P118" s="3">
        <v>1</v>
      </c>
      <c r="Q118" s="3">
        <v>0</v>
      </c>
      <c r="R118" s="3">
        <v>0</v>
      </c>
      <c r="S118" s="3">
        <v>0</v>
      </c>
      <c r="T118" s="3">
        <v>0</v>
      </c>
      <c r="U118" s="3">
        <v>1</v>
      </c>
      <c r="V118" s="3">
        <v>0</v>
      </c>
      <c r="W118" s="3">
        <v>0</v>
      </c>
      <c r="X118" s="3">
        <v>0</v>
      </c>
      <c r="Y118" s="3">
        <v>0</v>
      </c>
      <c r="Z118" s="3">
        <v>0</v>
      </c>
      <c r="AA118" s="3">
        <v>0</v>
      </c>
      <c r="AB118" s="3">
        <v>0</v>
      </c>
      <c r="AC118" s="3">
        <v>0</v>
      </c>
      <c r="AD118" s="3">
        <v>0</v>
      </c>
      <c r="AE118" s="3" t="s">
        <v>6</v>
      </c>
      <c r="AF118" s="3">
        <f>SUM(AH118:AL118)</f>
        <v>0</v>
      </c>
      <c r="AS118" s="3" t="s">
        <v>17</v>
      </c>
      <c r="AT118" s="3" t="s">
        <v>781</v>
      </c>
      <c r="AU118" s="3" t="s">
        <v>382</v>
      </c>
    </row>
    <row r="119" spans="1:48" x14ac:dyDescent="0.25">
      <c r="A119" t="s">
        <v>1037</v>
      </c>
      <c r="B119" s="7">
        <v>45594</v>
      </c>
      <c r="C119" s="7" t="s">
        <v>844</v>
      </c>
      <c r="D119" s="3" t="s">
        <v>6</v>
      </c>
      <c r="E119" s="3" t="s">
        <v>71</v>
      </c>
      <c r="F119" s="3" t="s">
        <v>23</v>
      </c>
      <c r="G119" s="3" t="s">
        <v>23</v>
      </c>
      <c r="H119" s="9">
        <v>37.548346968769799</v>
      </c>
      <c r="I119" s="9">
        <v>-1.1833120554604599</v>
      </c>
      <c r="J119" s="3">
        <v>1</v>
      </c>
      <c r="K119" s="3">
        <v>1</v>
      </c>
      <c r="L119" s="3">
        <v>0</v>
      </c>
      <c r="M119" s="3">
        <v>0</v>
      </c>
      <c r="N119" s="3" t="s">
        <v>66</v>
      </c>
      <c r="O119" s="3">
        <v>0</v>
      </c>
      <c r="P119" s="3">
        <v>1</v>
      </c>
      <c r="Q119" s="3">
        <v>0</v>
      </c>
      <c r="R119" s="3">
        <v>0</v>
      </c>
      <c r="S119" s="3">
        <v>0</v>
      </c>
      <c r="T119" s="3">
        <v>0</v>
      </c>
      <c r="U119" s="3">
        <v>1</v>
      </c>
      <c r="V119" s="3">
        <v>0</v>
      </c>
      <c r="W119" s="3">
        <v>0</v>
      </c>
      <c r="X119" s="3">
        <v>0</v>
      </c>
      <c r="Y119" s="3">
        <v>0</v>
      </c>
      <c r="Z119" s="3">
        <v>0</v>
      </c>
      <c r="AA119" s="3">
        <v>0</v>
      </c>
      <c r="AB119" s="3">
        <v>0</v>
      </c>
      <c r="AC119" s="3">
        <v>0</v>
      </c>
      <c r="AD119" s="3">
        <v>0</v>
      </c>
      <c r="AE119" s="3" t="s">
        <v>6</v>
      </c>
      <c r="AF119" s="3">
        <f>SUM(AH119:AL119)</f>
        <v>0</v>
      </c>
      <c r="AS119" s="3" t="s">
        <v>17</v>
      </c>
      <c r="AT119" s="3" t="s">
        <v>781</v>
      </c>
      <c r="AU119" s="3" t="s">
        <v>385</v>
      </c>
    </row>
    <row r="120" spans="1:48" x14ac:dyDescent="0.25">
      <c r="A120" t="s">
        <v>1038</v>
      </c>
      <c r="B120" s="7">
        <v>45517</v>
      </c>
      <c r="C120" s="7" t="s">
        <v>844</v>
      </c>
      <c r="D120" s="3" t="s">
        <v>6</v>
      </c>
      <c r="E120" s="3" t="s">
        <v>136</v>
      </c>
      <c r="F120" s="3" t="s">
        <v>25</v>
      </c>
      <c r="G120" s="3" t="s">
        <v>19</v>
      </c>
      <c r="H120" s="9">
        <v>38.797873085812199</v>
      </c>
      <c r="I120" s="9">
        <v>0.20350006270763299</v>
      </c>
      <c r="J120" s="3">
        <v>1</v>
      </c>
      <c r="K120" s="3">
        <v>1</v>
      </c>
      <c r="L120" s="3">
        <v>0</v>
      </c>
      <c r="M120" s="3">
        <v>0</v>
      </c>
      <c r="N120" s="3" t="s">
        <v>66</v>
      </c>
      <c r="O120" s="3">
        <v>0</v>
      </c>
      <c r="P120" s="3">
        <v>1</v>
      </c>
      <c r="Q120" s="3">
        <v>0</v>
      </c>
      <c r="R120" s="3">
        <v>0</v>
      </c>
      <c r="S120" s="3">
        <v>0</v>
      </c>
      <c r="T120" s="3">
        <v>0</v>
      </c>
      <c r="U120" s="3">
        <v>1</v>
      </c>
      <c r="V120" s="3">
        <v>0</v>
      </c>
      <c r="W120" s="3">
        <v>0</v>
      </c>
      <c r="X120" s="3">
        <v>0</v>
      </c>
      <c r="Y120" s="3">
        <v>0</v>
      </c>
      <c r="Z120" s="3">
        <v>0</v>
      </c>
      <c r="AA120" s="3">
        <v>0</v>
      </c>
      <c r="AB120" s="3">
        <v>0</v>
      </c>
      <c r="AC120" s="3">
        <v>0</v>
      </c>
      <c r="AD120" s="3">
        <v>0</v>
      </c>
      <c r="AE120" s="3" t="s">
        <v>6</v>
      </c>
      <c r="AF120" s="3">
        <f>SUM(AH120:AL120)</f>
        <v>0</v>
      </c>
      <c r="AS120" s="3" t="s">
        <v>17</v>
      </c>
      <c r="AT120" s="3" t="s">
        <v>781</v>
      </c>
      <c r="AU120" s="3" t="s">
        <v>386</v>
      </c>
    </row>
    <row r="121" spans="1:48" x14ac:dyDescent="0.25">
      <c r="A121" t="s">
        <v>1039</v>
      </c>
      <c r="B121" s="7">
        <v>45122</v>
      </c>
      <c r="C121" s="7" t="s">
        <v>844</v>
      </c>
      <c r="D121" s="3" t="s">
        <v>6</v>
      </c>
      <c r="E121" s="3" t="s">
        <v>387</v>
      </c>
      <c r="F121" s="3" t="s">
        <v>57</v>
      </c>
      <c r="G121" s="3" t="s">
        <v>21</v>
      </c>
      <c r="H121" s="9">
        <v>36.7266293578895</v>
      </c>
      <c r="I121" s="9">
        <v>-3.7198457012157502</v>
      </c>
      <c r="J121" s="3">
        <v>1</v>
      </c>
      <c r="K121" s="3">
        <v>1</v>
      </c>
      <c r="L121" s="3">
        <v>0</v>
      </c>
      <c r="M121" s="3">
        <v>0</v>
      </c>
      <c r="N121" s="3" t="s">
        <v>16</v>
      </c>
      <c r="O121" s="3">
        <v>0</v>
      </c>
      <c r="P121" s="3">
        <v>0</v>
      </c>
      <c r="Q121" s="3">
        <v>0</v>
      </c>
      <c r="R121" s="3">
        <v>0</v>
      </c>
      <c r="S121" s="3">
        <v>1</v>
      </c>
      <c r="T121" s="3">
        <v>0</v>
      </c>
      <c r="U121" s="3">
        <v>0</v>
      </c>
      <c r="V121" s="3">
        <v>0</v>
      </c>
      <c r="W121" s="3">
        <v>0</v>
      </c>
      <c r="X121" s="3">
        <v>0</v>
      </c>
      <c r="Y121" s="3">
        <v>0</v>
      </c>
      <c r="Z121" s="3">
        <v>1</v>
      </c>
      <c r="AA121" s="3">
        <v>0</v>
      </c>
      <c r="AB121" s="3">
        <v>0</v>
      </c>
      <c r="AC121" s="3">
        <v>0</v>
      </c>
      <c r="AD121" s="3">
        <v>0</v>
      </c>
      <c r="AE121" s="3" t="s">
        <v>6</v>
      </c>
      <c r="AF121" s="3" t="s">
        <v>1433</v>
      </c>
      <c r="AS121" s="3" t="s">
        <v>17</v>
      </c>
      <c r="AT121" s="3" t="s">
        <v>777</v>
      </c>
      <c r="AU121" s="3" t="s">
        <v>388</v>
      </c>
      <c r="AV121" s="3" t="s">
        <v>240</v>
      </c>
    </row>
    <row r="122" spans="1:48" x14ac:dyDescent="0.25">
      <c r="A122" t="s">
        <v>1040</v>
      </c>
      <c r="B122" s="7">
        <v>42506</v>
      </c>
      <c r="C122" s="7" t="s">
        <v>842</v>
      </c>
      <c r="D122" s="3" t="s">
        <v>6</v>
      </c>
      <c r="E122" s="3" t="s">
        <v>389</v>
      </c>
      <c r="F122" s="3" t="s">
        <v>8</v>
      </c>
      <c r="G122" s="3" t="s">
        <v>8</v>
      </c>
      <c r="H122" s="9">
        <v>39.500223671805301</v>
      </c>
      <c r="I122" s="9">
        <v>2.6608700129841001</v>
      </c>
      <c r="J122" s="3">
        <v>1</v>
      </c>
      <c r="K122" s="3">
        <v>1</v>
      </c>
      <c r="L122" s="3">
        <v>0</v>
      </c>
      <c r="M122" s="3">
        <v>0</v>
      </c>
      <c r="N122" s="3" t="s">
        <v>16</v>
      </c>
      <c r="O122" s="3">
        <v>0</v>
      </c>
      <c r="P122" s="3">
        <v>0</v>
      </c>
      <c r="Q122" s="3">
        <v>0</v>
      </c>
      <c r="R122" s="3">
        <v>1</v>
      </c>
      <c r="S122" s="3">
        <v>0</v>
      </c>
      <c r="T122" s="3">
        <v>0</v>
      </c>
      <c r="U122" s="3">
        <v>0</v>
      </c>
      <c r="V122" s="3">
        <v>0</v>
      </c>
      <c r="W122" s="3">
        <v>0</v>
      </c>
      <c r="X122" s="3">
        <v>0</v>
      </c>
      <c r="Y122" s="3">
        <v>0</v>
      </c>
      <c r="Z122" s="3">
        <v>1</v>
      </c>
      <c r="AA122" s="3">
        <v>0</v>
      </c>
      <c r="AB122" s="3">
        <v>0</v>
      </c>
      <c r="AC122" s="3">
        <v>0</v>
      </c>
      <c r="AD122" s="3">
        <v>0</v>
      </c>
      <c r="AE122" s="3" t="s">
        <v>6</v>
      </c>
      <c r="AF122" s="3" t="s">
        <v>1433</v>
      </c>
      <c r="AS122" s="3" t="s">
        <v>17</v>
      </c>
      <c r="AT122" s="3" t="s">
        <v>777</v>
      </c>
      <c r="AU122" s="3" t="s">
        <v>390</v>
      </c>
      <c r="AV122" s="3" t="s">
        <v>316</v>
      </c>
    </row>
    <row r="123" spans="1:48" x14ac:dyDescent="0.25">
      <c r="A123" t="s">
        <v>1041</v>
      </c>
      <c r="B123" s="7">
        <v>45631</v>
      </c>
      <c r="C123" s="7" t="s">
        <v>841</v>
      </c>
      <c r="D123" s="3" t="s">
        <v>6</v>
      </c>
      <c r="E123" s="3" t="s">
        <v>126</v>
      </c>
      <c r="F123" s="3" t="s">
        <v>23</v>
      </c>
      <c r="G123" s="3" t="s">
        <v>23</v>
      </c>
      <c r="H123" s="9">
        <v>37.720505781961997</v>
      </c>
      <c r="I123" s="9">
        <v>-0.71732854801165802</v>
      </c>
      <c r="J123" s="3">
        <v>1</v>
      </c>
      <c r="K123" s="3">
        <v>1</v>
      </c>
      <c r="L123" s="3">
        <v>0</v>
      </c>
      <c r="M123" s="3">
        <v>0</v>
      </c>
      <c r="N123" s="3" t="s">
        <v>66</v>
      </c>
      <c r="O123" s="3">
        <v>0</v>
      </c>
      <c r="P123" s="3">
        <v>1</v>
      </c>
      <c r="Q123" s="3">
        <v>0</v>
      </c>
      <c r="R123" s="3">
        <v>0</v>
      </c>
      <c r="S123" s="3">
        <v>0</v>
      </c>
      <c r="T123" s="3">
        <v>0</v>
      </c>
      <c r="U123" s="3">
        <v>1</v>
      </c>
      <c r="V123" s="3">
        <v>0</v>
      </c>
      <c r="W123" s="3">
        <v>0</v>
      </c>
      <c r="X123" s="3">
        <v>0</v>
      </c>
      <c r="Y123" s="3">
        <v>0</v>
      </c>
      <c r="Z123" s="3">
        <v>0</v>
      </c>
      <c r="AA123" s="3">
        <v>0</v>
      </c>
      <c r="AB123" s="3">
        <v>0</v>
      </c>
      <c r="AC123" s="3">
        <v>0</v>
      </c>
      <c r="AD123" s="3">
        <v>0</v>
      </c>
      <c r="AE123" s="3" t="s">
        <v>6</v>
      </c>
      <c r="AF123" s="3">
        <f>SUM(AH123:AL123)</f>
        <v>0</v>
      </c>
      <c r="AS123" s="3" t="s">
        <v>17</v>
      </c>
      <c r="AT123" s="3" t="s">
        <v>777</v>
      </c>
      <c r="AU123" s="3" t="s">
        <v>391</v>
      </c>
    </row>
    <row r="124" spans="1:48" x14ac:dyDescent="0.25">
      <c r="A124" t="s">
        <v>1042</v>
      </c>
      <c r="B124" s="7">
        <v>45526</v>
      </c>
      <c r="C124" s="7" t="s">
        <v>844</v>
      </c>
      <c r="D124" s="3" t="s">
        <v>6</v>
      </c>
      <c r="E124" s="3" t="s">
        <v>392</v>
      </c>
      <c r="F124" s="3" t="s">
        <v>23</v>
      </c>
      <c r="G124" s="3" t="s">
        <v>23</v>
      </c>
      <c r="H124" s="9">
        <v>37.662458438653402</v>
      </c>
      <c r="I124" s="9">
        <v>-0.71155329565101999</v>
      </c>
      <c r="J124" s="3">
        <v>1</v>
      </c>
      <c r="K124" s="3">
        <v>1</v>
      </c>
      <c r="L124" s="3">
        <v>0</v>
      </c>
      <c r="M124" s="3">
        <v>0</v>
      </c>
      <c r="N124" s="3" t="s">
        <v>16</v>
      </c>
      <c r="O124" s="3">
        <v>0</v>
      </c>
      <c r="P124" s="3">
        <v>0</v>
      </c>
      <c r="Q124" s="3">
        <v>0</v>
      </c>
      <c r="R124" s="3">
        <v>0</v>
      </c>
      <c r="S124" s="3">
        <v>0</v>
      </c>
      <c r="T124" s="3">
        <v>1</v>
      </c>
      <c r="U124" s="3">
        <v>0</v>
      </c>
      <c r="V124" s="3">
        <v>0</v>
      </c>
      <c r="W124" s="3">
        <v>0</v>
      </c>
      <c r="X124" s="3">
        <v>0</v>
      </c>
      <c r="Y124" s="3">
        <v>0</v>
      </c>
      <c r="Z124" s="3">
        <v>1</v>
      </c>
      <c r="AA124" s="3">
        <v>0</v>
      </c>
      <c r="AB124" s="3">
        <v>0</v>
      </c>
      <c r="AC124" s="3">
        <v>0</v>
      </c>
      <c r="AD124" s="3">
        <v>0</v>
      </c>
      <c r="AE124" s="3" t="s">
        <v>6</v>
      </c>
      <c r="AF124" s="3" t="s">
        <v>1433</v>
      </c>
      <c r="AS124" s="3" t="s">
        <v>17</v>
      </c>
      <c r="AT124" s="3" t="s">
        <v>777</v>
      </c>
      <c r="AU124" s="3" t="s">
        <v>393</v>
      </c>
    </row>
    <row r="125" spans="1:48" x14ac:dyDescent="0.25">
      <c r="A125" t="s">
        <v>1043</v>
      </c>
      <c r="B125" s="7">
        <v>44774</v>
      </c>
      <c r="C125" s="7" t="s">
        <v>844</v>
      </c>
      <c r="D125" s="3" t="s">
        <v>6</v>
      </c>
      <c r="E125" s="3" t="s">
        <v>395</v>
      </c>
      <c r="F125" s="3" t="s">
        <v>57</v>
      </c>
      <c r="G125" s="3" t="s">
        <v>21</v>
      </c>
      <c r="H125" s="9">
        <v>36.704725706077603</v>
      </c>
      <c r="I125" s="9">
        <v>-3.5831266844684801</v>
      </c>
      <c r="J125" s="3">
        <v>1</v>
      </c>
      <c r="K125" s="3">
        <v>1</v>
      </c>
      <c r="L125" s="3">
        <v>0</v>
      </c>
      <c r="M125" s="3">
        <v>0</v>
      </c>
      <c r="N125" s="3" t="s">
        <v>16</v>
      </c>
      <c r="O125" s="3">
        <v>0</v>
      </c>
      <c r="P125" s="3">
        <v>0</v>
      </c>
      <c r="Q125" s="3">
        <v>0</v>
      </c>
      <c r="R125" s="3">
        <v>0</v>
      </c>
      <c r="S125" s="3">
        <v>1</v>
      </c>
      <c r="T125" s="3">
        <v>0</v>
      </c>
      <c r="U125" s="3">
        <v>0</v>
      </c>
      <c r="V125" s="3">
        <v>0</v>
      </c>
      <c r="W125" s="3">
        <v>0</v>
      </c>
      <c r="X125" s="3">
        <v>0</v>
      </c>
      <c r="Y125" s="3">
        <v>0</v>
      </c>
      <c r="Z125" s="3">
        <v>1</v>
      </c>
      <c r="AA125" s="3">
        <v>0</v>
      </c>
      <c r="AB125" s="3">
        <v>0</v>
      </c>
      <c r="AC125" s="3">
        <v>0</v>
      </c>
      <c r="AD125" s="3">
        <v>0</v>
      </c>
      <c r="AE125" s="3" t="s">
        <v>6</v>
      </c>
      <c r="AF125" s="3" t="s">
        <v>1433</v>
      </c>
      <c r="AS125" s="3" t="s">
        <v>17</v>
      </c>
      <c r="AT125" s="3" t="s">
        <v>777</v>
      </c>
      <c r="AU125" s="3" t="s">
        <v>394</v>
      </c>
      <c r="AV125" s="3" t="s">
        <v>240</v>
      </c>
    </row>
    <row r="126" spans="1:48" x14ac:dyDescent="0.25">
      <c r="A126" t="s">
        <v>1044</v>
      </c>
      <c r="B126" s="7">
        <v>45147</v>
      </c>
      <c r="C126" s="7" t="s">
        <v>844</v>
      </c>
      <c r="D126" s="3" t="s">
        <v>6</v>
      </c>
      <c r="E126" s="3" t="s">
        <v>138</v>
      </c>
      <c r="F126" s="3" t="s">
        <v>23</v>
      </c>
      <c r="G126" s="3" t="s">
        <v>23</v>
      </c>
      <c r="H126" s="9">
        <v>37.635023936520597</v>
      </c>
      <c r="I126" s="9">
        <v>-0.68364829118596704</v>
      </c>
      <c r="J126" s="3">
        <v>1</v>
      </c>
      <c r="K126" s="3">
        <v>1</v>
      </c>
      <c r="L126" s="3">
        <v>0</v>
      </c>
      <c r="M126" s="3">
        <v>0</v>
      </c>
      <c r="N126" s="3" t="s">
        <v>16</v>
      </c>
      <c r="O126" s="3">
        <v>0</v>
      </c>
      <c r="P126" s="3">
        <v>0</v>
      </c>
      <c r="Q126" s="3">
        <v>0</v>
      </c>
      <c r="R126" s="3">
        <v>0</v>
      </c>
      <c r="S126" s="3">
        <v>1</v>
      </c>
      <c r="T126" s="3">
        <v>0</v>
      </c>
      <c r="U126" s="3">
        <v>0</v>
      </c>
      <c r="V126" s="3">
        <v>0</v>
      </c>
      <c r="W126" s="3">
        <v>0</v>
      </c>
      <c r="X126" s="3">
        <v>0</v>
      </c>
      <c r="Y126" s="3">
        <v>0</v>
      </c>
      <c r="Z126" s="3">
        <v>1</v>
      </c>
      <c r="AA126" s="3">
        <v>0</v>
      </c>
      <c r="AB126" s="3">
        <v>0</v>
      </c>
      <c r="AC126" s="3">
        <v>0</v>
      </c>
      <c r="AD126" s="3">
        <v>0</v>
      </c>
      <c r="AE126" s="3" t="s">
        <v>6</v>
      </c>
      <c r="AF126" s="3" t="s">
        <v>1433</v>
      </c>
      <c r="AS126" s="3" t="s">
        <v>17</v>
      </c>
      <c r="AT126" s="3" t="s">
        <v>777</v>
      </c>
      <c r="AU126" s="3" t="s">
        <v>396</v>
      </c>
      <c r="AV126" s="3" t="s">
        <v>287</v>
      </c>
    </row>
    <row r="127" spans="1:48" x14ac:dyDescent="0.25">
      <c r="A127" t="s">
        <v>1046</v>
      </c>
      <c r="B127" s="7">
        <v>43318</v>
      </c>
      <c r="C127" s="7" t="s">
        <v>844</v>
      </c>
      <c r="D127" s="3" t="s">
        <v>6</v>
      </c>
      <c r="E127" s="3" t="s">
        <v>93</v>
      </c>
      <c r="F127" s="3" t="s">
        <v>24</v>
      </c>
      <c r="G127" s="3" t="s">
        <v>20</v>
      </c>
      <c r="H127" s="9">
        <v>41.377865066902501</v>
      </c>
      <c r="I127" s="9">
        <v>2.1934281081398801</v>
      </c>
      <c r="J127" s="3">
        <v>1</v>
      </c>
      <c r="K127" s="3">
        <v>1</v>
      </c>
      <c r="L127" s="3">
        <v>0</v>
      </c>
      <c r="M127" s="3">
        <v>0</v>
      </c>
      <c r="N127" s="3" t="s">
        <v>16</v>
      </c>
      <c r="O127" s="3">
        <v>0</v>
      </c>
      <c r="P127" s="3">
        <v>0</v>
      </c>
      <c r="Q127" s="3">
        <v>0</v>
      </c>
      <c r="R127" s="3">
        <v>0</v>
      </c>
      <c r="S127" s="3">
        <v>1</v>
      </c>
      <c r="T127" s="3">
        <v>0</v>
      </c>
      <c r="U127" s="3">
        <v>0</v>
      </c>
      <c r="V127" s="3">
        <v>0</v>
      </c>
      <c r="W127" s="3">
        <v>0</v>
      </c>
      <c r="X127" s="3">
        <v>0</v>
      </c>
      <c r="Y127" s="3">
        <v>0</v>
      </c>
      <c r="Z127" s="3">
        <v>0</v>
      </c>
      <c r="AA127" s="3">
        <v>0</v>
      </c>
      <c r="AB127" s="3">
        <v>0</v>
      </c>
      <c r="AC127" s="3">
        <v>0</v>
      </c>
      <c r="AD127" s="3">
        <v>1</v>
      </c>
      <c r="AE127" s="3" t="s">
        <v>6</v>
      </c>
      <c r="AF127" s="3" t="s">
        <v>1433</v>
      </c>
      <c r="AS127" s="3" t="s">
        <v>17</v>
      </c>
      <c r="AT127" s="3" t="s">
        <v>777</v>
      </c>
      <c r="AU127" s="3" t="s">
        <v>400</v>
      </c>
    </row>
    <row r="128" spans="1:48" x14ac:dyDescent="0.25">
      <c r="A128" t="s">
        <v>1047</v>
      </c>
      <c r="B128" s="7">
        <v>45488</v>
      </c>
      <c r="C128" s="7" t="s">
        <v>844</v>
      </c>
      <c r="D128" s="3" t="s">
        <v>6</v>
      </c>
      <c r="E128" s="3" t="s">
        <v>54</v>
      </c>
      <c r="F128" s="3" t="s">
        <v>54</v>
      </c>
      <c r="G128" s="3" t="s">
        <v>21</v>
      </c>
      <c r="H128" s="9">
        <v>36.612088902084203</v>
      </c>
      <c r="I128" s="9">
        <v>-4.3371198628652303</v>
      </c>
      <c r="J128" s="3">
        <v>1</v>
      </c>
      <c r="K128" s="3">
        <v>1</v>
      </c>
      <c r="L128" s="3">
        <v>0</v>
      </c>
      <c r="M128" s="3">
        <v>0</v>
      </c>
      <c r="N128" s="3" t="s">
        <v>66</v>
      </c>
      <c r="O128" s="3">
        <v>0</v>
      </c>
      <c r="P128" s="3">
        <v>1</v>
      </c>
      <c r="Q128" s="3">
        <v>0</v>
      </c>
      <c r="R128" s="3">
        <v>0</v>
      </c>
      <c r="S128" s="3">
        <v>0</v>
      </c>
      <c r="T128" s="3">
        <v>0</v>
      </c>
      <c r="U128" s="3">
        <v>0</v>
      </c>
      <c r="V128" s="3">
        <v>0</v>
      </c>
      <c r="W128" s="3">
        <v>0</v>
      </c>
      <c r="X128" s="3">
        <v>0</v>
      </c>
      <c r="Y128" s="3">
        <v>1</v>
      </c>
      <c r="Z128" s="3">
        <v>0</v>
      </c>
      <c r="AA128" s="3">
        <v>0</v>
      </c>
      <c r="AB128" s="3">
        <v>0</v>
      </c>
      <c r="AC128" s="3">
        <v>0</v>
      </c>
      <c r="AD128" s="3">
        <v>0</v>
      </c>
      <c r="AE128" s="3" t="s">
        <v>6</v>
      </c>
      <c r="AF128" s="3">
        <f>SUM(AH128:AL128)</f>
        <v>0</v>
      </c>
      <c r="AS128" s="3" t="s">
        <v>17</v>
      </c>
      <c r="AT128" s="3" t="s">
        <v>777</v>
      </c>
      <c r="AU128" s="3" t="s">
        <v>401</v>
      </c>
      <c r="AV128" s="3" t="s">
        <v>402</v>
      </c>
    </row>
    <row r="129" spans="1:48" x14ac:dyDescent="0.25">
      <c r="A129" t="s">
        <v>1050</v>
      </c>
      <c r="B129" s="7">
        <v>40777</v>
      </c>
      <c r="C129" s="7" t="s">
        <v>844</v>
      </c>
      <c r="D129" s="3" t="s">
        <v>6</v>
      </c>
      <c r="E129" s="3" t="s">
        <v>406</v>
      </c>
      <c r="F129" s="3" t="s">
        <v>47</v>
      </c>
      <c r="G129" s="3" t="s">
        <v>21</v>
      </c>
      <c r="H129" s="9">
        <v>36.730232662052401</v>
      </c>
      <c r="I129" s="9">
        <v>-2.15171762897362</v>
      </c>
      <c r="J129" s="3">
        <v>1</v>
      </c>
      <c r="K129" s="3">
        <v>1</v>
      </c>
      <c r="L129" s="3">
        <v>0</v>
      </c>
      <c r="M129" s="3">
        <v>0</v>
      </c>
      <c r="N129" s="3" t="s">
        <v>16</v>
      </c>
      <c r="O129" s="3">
        <v>0</v>
      </c>
      <c r="P129" s="3">
        <v>0</v>
      </c>
      <c r="Q129" s="3">
        <v>0</v>
      </c>
      <c r="R129" s="3">
        <v>0</v>
      </c>
      <c r="S129" s="3">
        <v>0</v>
      </c>
      <c r="T129" s="3">
        <v>1</v>
      </c>
      <c r="U129" s="3">
        <v>0</v>
      </c>
      <c r="V129" s="3">
        <v>0</v>
      </c>
      <c r="W129" s="3">
        <v>0</v>
      </c>
      <c r="X129" s="3">
        <v>0</v>
      </c>
      <c r="Y129" s="3">
        <v>0</v>
      </c>
      <c r="Z129" s="3">
        <v>1</v>
      </c>
      <c r="AA129" s="3">
        <v>0</v>
      </c>
      <c r="AB129" s="3">
        <v>0</v>
      </c>
      <c r="AC129" s="3">
        <v>0</v>
      </c>
      <c r="AD129" s="3">
        <v>0</v>
      </c>
      <c r="AE129" s="3" t="s">
        <v>6</v>
      </c>
      <c r="AF129" s="3" t="s">
        <v>1433</v>
      </c>
      <c r="AS129" s="3" t="s">
        <v>17</v>
      </c>
      <c r="AT129" s="3" t="s">
        <v>777</v>
      </c>
      <c r="AU129" s="3" t="s">
        <v>407</v>
      </c>
    </row>
    <row r="130" spans="1:48" x14ac:dyDescent="0.25">
      <c r="A130" t="s">
        <v>1051</v>
      </c>
      <c r="B130" s="7">
        <v>45561</v>
      </c>
      <c r="C130" s="7" t="s">
        <v>844</v>
      </c>
      <c r="D130" s="3" t="s">
        <v>6</v>
      </c>
      <c r="E130" s="3" t="s">
        <v>408</v>
      </c>
      <c r="F130" s="3" t="s">
        <v>47</v>
      </c>
      <c r="G130" s="3" t="s">
        <v>21</v>
      </c>
      <c r="H130" s="9">
        <v>36.984790802408902</v>
      </c>
      <c r="I130" s="9">
        <v>-1.885761966777</v>
      </c>
      <c r="J130" s="3">
        <v>1</v>
      </c>
      <c r="K130" s="3">
        <v>1</v>
      </c>
      <c r="L130" s="3">
        <v>0</v>
      </c>
      <c r="M130" s="3">
        <v>0</v>
      </c>
      <c r="N130" s="3" t="s">
        <v>66</v>
      </c>
      <c r="O130" s="3">
        <v>0</v>
      </c>
      <c r="P130" s="3">
        <v>1</v>
      </c>
      <c r="Q130" s="3">
        <v>0</v>
      </c>
      <c r="R130" s="3">
        <v>0</v>
      </c>
      <c r="S130" s="3">
        <v>0</v>
      </c>
      <c r="T130" s="3">
        <v>0</v>
      </c>
      <c r="U130" s="3">
        <v>0</v>
      </c>
      <c r="V130" s="3">
        <v>0</v>
      </c>
      <c r="W130" s="3">
        <v>0</v>
      </c>
      <c r="X130" s="3">
        <v>0</v>
      </c>
      <c r="Y130" s="3">
        <v>1</v>
      </c>
      <c r="Z130" s="3">
        <v>0</v>
      </c>
      <c r="AA130" s="3">
        <v>0</v>
      </c>
      <c r="AB130" s="3">
        <v>0</v>
      </c>
      <c r="AC130" s="3">
        <v>0</v>
      </c>
      <c r="AD130" s="3">
        <v>0</v>
      </c>
      <c r="AE130" s="3" t="s">
        <v>6</v>
      </c>
      <c r="AF130" s="3">
        <f>SUM(AH130:AL130)</f>
        <v>0</v>
      </c>
      <c r="AS130" s="3" t="s">
        <v>17</v>
      </c>
      <c r="AT130" s="3" t="s">
        <v>777</v>
      </c>
      <c r="AU130" s="3" t="s">
        <v>409</v>
      </c>
      <c r="AV130" s="3" t="s">
        <v>316</v>
      </c>
    </row>
    <row r="131" spans="1:48" x14ac:dyDescent="0.25">
      <c r="A131" t="s">
        <v>1052</v>
      </c>
      <c r="B131" s="7">
        <v>43334</v>
      </c>
      <c r="C131" s="7" t="s">
        <v>844</v>
      </c>
      <c r="D131" s="3" t="s">
        <v>6</v>
      </c>
      <c r="E131" s="3" t="s">
        <v>410</v>
      </c>
      <c r="F131" s="3" t="s">
        <v>69</v>
      </c>
      <c r="G131" s="3" t="s">
        <v>20</v>
      </c>
      <c r="H131" s="9">
        <v>40.884476962236199</v>
      </c>
      <c r="I131" s="9">
        <v>0.80712431861006795</v>
      </c>
      <c r="J131" s="3">
        <v>1</v>
      </c>
      <c r="K131" s="3">
        <v>1</v>
      </c>
      <c r="L131" s="3">
        <v>0</v>
      </c>
      <c r="M131" s="3">
        <v>0</v>
      </c>
      <c r="N131" s="3" t="s">
        <v>16</v>
      </c>
      <c r="O131" s="3">
        <v>0</v>
      </c>
      <c r="P131" s="3">
        <v>0</v>
      </c>
      <c r="Q131" s="3">
        <v>0</v>
      </c>
      <c r="R131" s="3">
        <v>0</v>
      </c>
      <c r="S131" s="3">
        <v>0</v>
      </c>
      <c r="T131" s="3">
        <v>1</v>
      </c>
      <c r="U131" s="3">
        <v>0</v>
      </c>
      <c r="V131" s="3">
        <v>0</v>
      </c>
      <c r="W131" s="3">
        <v>0</v>
      </c>
      <c r="X131" s="3">
        <v>0</v>
      </c>
      <c r="Y131" s="3">
        <v>0</v>
      </c>
      <c r="Z131" s="3">
        <v>0</v>
      </c>
      <c r="AA131" s="3">
        <v>0</v>
      </c>
      <c r="AB131" s="3">
        <v>0</v>
      </c>
      <c r="AC131" s="3">
        <v>0</v>
      </c>
      <c r="AD131" s="3">
        <v>1</v>
      </c>
      <c r="AE131" s="3" t="s">
        <v>6</v>
      </c>
      <c r="AF131" s="3" t="s">
        <v>1433</v>
      </c>
      <c r="AS131" s="3" t="s">
        <v>17</v>
      </c>
      <c r="AT131" s="3" t="s">
        <v>778</v>
      </c>
      <c r="AU131" s="3" t="s">
        <v>411</v>
      </c>
    </row>
    <row r="132" spans="1:48" x14ac:dyDescent="0.25">
      <c r="A132" t="s">
        <v>1053</v>
      </c>
      <c r="B132" s="7">
        <v>45506</v>
      </c>
      <c r="C132" s="7" t="s">
        <v>844</v>
      </c>
      <c r="D132" s="3" t="s">
        <v>6</v>
      </c>
      <c r="E132" s="3" t="s">
        <v>392</v>
      </c>
      <c r="F132" s="3" t="s">
        <v>23</v>
      </c>
      <c r="G132" s="3" t="s">
        <v>23</v>
      </c>
      <c r="H132" s="9">
        <v>37.656959176704198</v>
      </c>
      <c r="I132" s="9">
        <v>-0.72498888888332702</v>
      </c>
      <c r="J132" s="3">
        <v>1</v>
      </c>
      <c r="K132" s="3">
        <v>1</v>
      </c>
      <c r="L132" s="3">
        <v>0</v>
      </c>
      <c r="M132" s="3">
        <v>0</v>
      </c>
      <c r="N132" s="3" t="s">
        <v>16</v>
      </c>
      <c r="O132" s="3">
        <v>0</v>
      </c>
      <c r="P132" s="3">
        <v>0</v>
      </c>
      <c r="Q132" s="3">
        <v>0</v>
      </c>
      <c r="R132" s="3">
        <v>0</v>
      </c>
      <c r="S132" s="3">
        <v>0</v>
      </c>
      <c r="T132" s="3">
        <v>1</v>
      </c>
      <c r="U132" s="3">
        <v>0</v>
      </c>
      <c r="V132" s="3">
        <v>0</v>
      </c>
      <c r="W132" s="3">
        <v>0</v>
      </c>
      <c r="X132" s="3">
        <v>0</v>
      </c>
      <c r="Y132" s="3">
        <v>0</v>
      </c>
      <c r="Z132" s="3">
        <v>0</v>
      </c>
      <c r="AA132" s="3">
        <v>0</v>
      </c>
      <c r="AB132" s="3">
        <v>0</v>
      </c>
      <c r="AC132" s="3">
        <v>0</v>
      </c>
      <c r="AD132" s="3">
        <v>1</v>
      </c>
      <c r="AE132" s="3" t="s">
        <v>6</v>
      </c>
      <c r="AF132" s="3" t="s">
        <v>1433</v>
      </c>
      <c r="AS132" s="3" t="s">
        <v>17</v>
      </c>
      <c r="AT132" s="3" t="s">
        <v>778</v>
      </c>
      <c r="AU132" s="3" t="s">
        <v>412</v>
      </c>
    </row>
    <row r="133" spans="1:48" x14ac:dyDescent="0.25">
      <c r="A133" t="s">
        <v>1054</v>
      </c>
      <c r="B133" s="7">
        <v>44804</v>
      </c>
      <c r="C133" s="7" t="s">
        <v>844</v>
      </c>
      <c r="D133" s="3" t="s">
        <v>6</v>
      </c>
      <c r="E133" s="3" t="s">
        <v>414</v>
      </c>
      <c r="F133" s="3" t="s">
        <v>23</v>
      </c>
      <c r="G133" s="3" t="s">
        <v>23</v>
      </c>
      <c r="H133" s="9">
        <v>37.502321000954197</v>
      </c>
      <c r="I133" s="9">
        <v>-1.4141352078805101</v>
      </c>
      <c r="J133" s="3">
        <v>1</v>
      </c>
      <c r="K133" s="3">
        <v>1</v>
      </c>
      <c r="L133" s="3">
        <v>0</v>
      </c>
      <c r="M133" s="3">
        <v>0</v>
      </c>
      <c r="N133" s="3" t="s">
        <v>66</v>
      </c>
      <c r="O133" s="3">
        <v>0</v>
      </c>
      <c r="P133" s="3">
        <v>1</v>
      </c>
      <c r="Q133" s="3">
        <v>0</v>
      </c>
      <c r="R133" s="3">
        <v>0</v>
      </c>
      <c r="S133" s="3">
        <v>0</v>
      </c>
      <c r="T133" s="3">
        <v>0</v>
      </c>
      <c r="U133" s="3">
        <v>1</v>
      </c>
      <c r="V133" s="3">
        <v>0</v>
      </c>
      <c r="W133" s="3">
        <v>0</v>
      </c>
      <c r="X133" s="3">
        <v>0</v>
      </c>
      <c r="Y133" s="3">
        <v>0</v>
      </c>
      <c r="Z133" s="3">
        <v>0</v>
      </c>
      <c r="AA133" s="3">
        <v>0</v>
      </c>
      <c r="AB133" s="3">
        <v>0</v>
      </c>
      <c r="AC133" s="3">
        <v>0</v>
      </c>
      <c r="AD133" s="3">
        <v>0</v>
      </c>
      <c r="AE133" s="3" t="s">
        <v>6</v>
      </c>
      <c r="AF133" s="3">
        <f>SUM(AH133:AL133)</f>
        <v>0</v>
      </c>
      <c r="AS133" s="3" t="s">
        <v>17</v>
      </c>
      <c r="AT133" s="3" t="s">
        <v>778</v>
      </c>
      <c r="AU133" s="3" t="s">
        <v>413</v>
      </c>
    </row>
    <row r="134" spans="1:48" x14ac:dyDescent="0.25">
      <c r="A134" t="s">
        <v>1055</v>
      </c>
      <c r="B134" s="7">
        <v>44788</v>
      </c>
      <c r="C134" s="7" t="s">
        <v>844</v>
      </c>
      <c r="D134" s="3" t="s">
        <v>6</v>
      </c>
      <c r="E134" s="3" t="s">
        <v>74</v>
      </c>
      <c r="F134" s="3" t="s">
        <v>23</v>
      </c>
      <c r="G134" s="3" t="s">
        <v>23</v>
      </c>
      <c r="H134" s="9">
        <v>37.397267703082797</v>
      </c>
      <c r="I134" s="9">
        <v>-1.5760570628222199</v>
      </c>
      <c r="J134" s="3">
        <v>1</v>
      </c>
      <c r="K134" s="3">
        <v>1</v>
      </c>
      <c r="L134" s="3">
        <v>0</v>
      </c>
      <c r="M134" s="3">
        <v>0</v>
      </c>
      <c r="N134" s="3" t="s">
        <v>66</v>
      </c>
      <c r="O134" s="3">
        <v>0</v>
      </c>
      <c r="P134" s="3">
        <v>1</v>
      </c>
      <c r="Q134" s="3">
        <v>0</v>
      </c>
      <c r="R134" s="3">
        <v>0</v>
      </c>
      <c r="S134" s="3">
        <v>0</v>
      </c>
      <c r="T134" s="3">
        <v>0</v>
      </c>
      <c r="U134" s="3">
        <v>1</v>
      </c>
      <c r="V134" s="3">
        <v>0</v>
      </c>
      <c r="W134" s="3">
        <v>0</v>
      </c>
      <c r="X134" s="3">
        <v>0</v>
      </c>
      <c r="Y134" s="3">
        <v>0</v>
      </c>
      <c r="Z134" s="3">
        <v>0</v>
      </c>
      <c r="AA134" s="3">
        <v>0</v>
      </c>
      <c r="AB134" s="3">
        <v>0</v>
      </c>
      <c r="AC134" s="3">
        <v>0</v>
      </c>
      <c r="AD134" s="3">
        <v>0</v>
      </c>
      <c r="AE134" s="3" t="s">
        <v>6</v>
      </c>
      <c r="AF134" s="3">
        <f>SUM(AH134:AL134)</f>
        <v>0</v>
      </c>
      <c r="AS134" s="3" t="s">
        <v>17</v>
      </c>
      <c r="AT134" s="3" t="s">
        <v>778</v>
      </c>
      <c r="AU134" s="3" t="s">
        <v>415</v>
      </c>
    </row>
    <row r="135" spans="1:48" x14ac:dyDescent="0.25">
      <c r="A135" t="s">
        <v>1056</v>
      </c>
      <c r="B135" s="7">
        <v>43272</v>
      </c>
      <c r="C135" s="7" t="s">
        <v>844</v>
      </c>
      <c r="D135" s="3" t="s">
        <v>6</v>
      </c>
      <c r="E135" s="3" t="s">
        <v>416</v>
      </c>
      <c r="F135" s="3" t="s">
        <v>78</v>
      </c>
      <c r="G135" s="3" t="s">
        <v>19</v>
      </c>
      <c r="H135" s="9">
        <v>40.243670840506503</v>
      </c>
      <c r="I135" s="9">
        <v>0.27879649755767699</v>
      </c>
      <c r="J135" s="3">
        <v>1</v>
      </c>
      <c r="K135" s="3">
        <v>1</v>
      </c>
      <c r="L135" s="3">
        <v>0</v>
      </c>
      <c r="M135" s="3">
        <v>0</v>
      </c>
      <c r="N135" s="3" t="s">
        <v>66</v>
      </c>
      <c r="O135" s="3">
        <v>0</v>
      </c>
      <c r="P135" s="3">
        <v>0</v>
      </c>
      <c r="Q135" s="3">
        <v>1</v>
      </c>
      <c r="R135" s="3">
        <v>0</v>
      </c>
      <c r="S135" s="3">
        <v>0</v>
      </c>
      <c r="T135" s="3">
        <v>0</v>
      </c>
      <c r="U135" s="3">
        <v>1</v>
      </c>
      <c r="V135" s="3">
        <v>0</v>
      </c>
      <c r="W135" s="3">
        <v>0</v>
      </c>
      <c r="X135" s="3">
        <v>0</v>
      </c>
      <c r="Y135" s="3">
        <v>0</v>
      </c>
      <c r="Z135" s="3">
        <v>0</v>
      </c>
      <c r="AA135" s="3">
        <v>0</v>
      </c>
      <c r="AB135" s="3">
        <v>0</v>
      </c>
      <c r="AC135" s="3">
        <v>0</v>
      </c>
      <c r="AD135" s="3">
        <v>0</v>
      </c>
      <c r="AE135" s="3" t="s">
        <v>6</v>
      </c>
      <c r="AF135" s="3">
        <f>SUM(AH135:AL135)</f>
        <v>0</v>
      </c>
      <c r="AS135" s="3" t="s">
        <v>17</v>
      </c>
      <c r="AT135" s="3" t="s">
        <v>778</v>
      </c>
      <c r="AU135" s="3" t="s">
        <v>417</v>
      </c>
    </row>
    <row r="136" spans="1:48" x14ac:dyDescent="0.25">
      <c r="A136" t="s">
        <v>1057</v>
      </c>
      <c r="B136" s="7">
        <v>45488</v>
      </c>
      <c r="C136" s="7" t="s">
        <v>844</v>
      </c>
      <c r="D136" s="4">
        <v>4.1666666666666664E-2</v>
      </c>
      <c r="E136" s="3" t="s">
        <v>419</v>
      </c>
      <c r="F136" s="3" t="s">
        <v>23</v>
      </c>
      <c r="G136" s="3" t="s">
        <v>23</v>
      </c>
      <c r="H136" s="9">
        <v>37.563861828428799</v>
      </c>
      <c r="I136" s="9">
        <v>-1.25586367125829</v>
      </c>
      <c r="J136" s="3">
        <v>2</v>
      </c>
      <c r="K136" s="3">
        <v>2</v>
      </c>
      <c r="L136" s="3">
        <v>0</v>
      </c>
      <c r="M136" s="3">
        <v>0</v>
      </c>
      <c r="N136" s="3" t="s">
        <v>66</v>
      </c>
      <c r="O136" s="3">
        <v>0</v>
      </c>
      <c r="P136" s="3">
        <v>0</v>
      </c>
      <c r="Q136" s="3">
        <v>2</v>
      </c>
      <c r="R136" s="3">
        <v>0</v>
      </c>
      <c r="S136" s="3">
        <v>0</v>
      </c>
      <c r="T136" s="3">
        <v>0</v>
      </c>
      <c r="U136" s="3">
        <v>0</v>
      </c>
      <c r="V136" s="3">
        <v>0</v>
      </c>
      <c r="W136" s="3">
        <v>0</v>
      </c>
      <c r="X136" s="3">
        <v>0</v>
      </c>
      <c r="Y136" s="3">
        <v>2</v>
      </c>
      <c r="Z136" s="3">
        <v>0</v>
      </c>
      <c r="AA136" s="3">
        <v>0</v>
      </c>
      <c r="AB136" s="3">
        <v>0</v>
      </c>
      <c r="AC136" s="3">
        <v>0</v>
      </c>
      <c r="AD136" s="3">
        <v>0</v>
      </c>
      <c r="AE136" s="3" t="s">
        <v>6</v>
      </c>
      <c r="AF136" s="3">
        <f>SUM(AH136:AL136)</f>
        <v>0</v>
      </c>
      <c r="AS136" s="3" t="s">
        <v>17</v>
      </c>
      <c r="AT136" s="3" t="s">
        <v>780</v>
      </c>
      <c r="AU136" s="3" t="s">
        <v>418</v>
      </c>
    </row>
    <row r="137" spans="1:48" x14ac:dyDescent="0.25">
      <c r="A137" t="s">
        <v>1058</v>
      </c>
      <c r="B137" s="7">
        <v>44787</v>
      </c>
      <c r="C137" s="7" t="s">
        <v>844</v>
      </c>
      <c r="D137" s="4">
        <v>0.70833333333333337</v>
      </c>
      <c r="E137" s="3" t="s">
        <v>69</v>
      </c>
      <c r="F137" s="3" t="s">
        <v>69</v>
      </c>
      <c r="G137" s="3" t="s">
        <v>20</v>
      </c>
      <c r="H137" s="9">
        <v>41.011800205503597</v>
      </c>
      <c r="I137" s="9">
        <v>1.2859726906148801</v>
      </c>
      <c r="J137" s="3">
        <v>1</v>
      </c>
      <c r="K137" s="3">
        <v>1</v>
      </c>
      <c r="L137" s="3">
        <v>0</v>
      </c>
      <c r="M137" s="3">
        <v>0</v>
      </c>
      <c r="N137" s="3" t="s">
        <v>16</v>
      </c>
      <c r="O137" s="3">
        <v>0</v>
      </c>
      <c r="P137" s="3">
        <v>0</v>
      </c>
      <c r="Q137" s="3">
        <v>0</v>
      </c>
      <c r="R137" s="3">
        <v>0</v>
      </c>
      <c r="S137" s="3">
        <v>0</v>
      </c>
      <c r="T137" s="3">
        <v>1</v>
      </c>
      <c r="U137" s="3">
        <v>0</v>
      </c>
      <c r="V137" s="3">
        <v>0</v>
      </c>
      <c r="W137" s="3">
        <v>0</v>
      </c>
      <c r="X137" s="3">
        <v>0</v>
      </c>
      <c r="Y137" s="3">
        <v>0</v>
      </c>
      <c r="Z137" s="3">
        <v>0</v>
      </c>
      <c r="AA137" s="3">
        <v>0</v>
      </c>
      <c r="AB137" s="3">
        <v>0</v>
      </c>
      <c r="AC137" s="3">
        <v>0</v>
      </c>
      <c r="AD137" s="3">
        <v>1</v>
      </c>
      <c r="AE137" s="3" t="s">
        <v>6</v>
      </c>
      <c r="AF137" s="3" t="s">
        <v>1433</v>
      </c>
      <c r="AS137" s="3" t="s">
        <v>17</v>
      </c>
      <c r="AT137" s="3" t="s">
        <v>776</v>
      </c>
      <c r="AU137" s="3" t="s">
        <v>420</v>
      </c>
      <c r="AV137" s="3" t="s">
        <v>421</v>
      </c>
    </row>
    <row r="138" spans="1:48" x14ac:dyDescent="0.25">
      <c r="A138" t="s">
        <v>1059</v>
      </c>
      <c r="B138" s="7">
        <v>44770</v>
      </c>
      <c r="C138" s="7" t="s">
        <v>844</v>
      </c>
      <c r="D138" s="4">
        <v>0.8125</v>
      </c>
      <c r="E138" s="3" t="s">
        <v>423</v>
      </c>
      <c r="F138" s="3" t="s">
        <v>47</v>
      </c>
      <c r="G138" s="3" t="s">
        <v>21</v>
      </c>
      <c r="H138" s="9">
        <v>36.764581586241597</v>
      </c>
      <c r="I138" s="9">
        <v>-2.0939961960784901</v>
      </c>
      <c r="J138" s="3">
        <v>1</v>
      </c>
      <c r="K138" s="3">
        <v>1</v>
      </c>
      <c r="L138" s="3">
        <v>0</v>
      </c>
      <c r="M138" s="3">
        <v>0</v>
      </c>
      <c r="N138" s="3" t="s">
        <v>66</v>
      </c>
      <c r="O138" s="3">
        <v>0</v>
      </c>
      <c r="P138" s="3">
        <v>0</v>
      </c>
      <c r="Q138" s="3">
        <v>1</v>
      </c>
      <c r="R138" s="3">
        <v>0</v>
      </c>
      <c r="S138" s="3">
        <v>0</v>
      </c>
      <c r="T138" s="3">
        <v>0</v>
      </c>
      <c r="U138" s="3">
        <v>0</v>
      </c>
      <c r="V138" s="3">
        <v>0</v>
      </c>
      <c r="W138" s="3">
        <v>0</v>
      </c>
      <c r="X138" s="3">
        <v>0</v>
      </c>
      <c r="Y138" s="3">
        <v>1</v>
      </c>
      <c r="Z138" s="3">
        <v>0</v>
      </c>
      <c r="AA138" s="3">
        <v>0</v>
      </c>
      <c r="AB138" s="3">
        <v>0</v>
      </c>
      <c r="AC138" s="3">
        <v>0</v>
      </c>
      <c r="AD138" s="3">
        <v>0</v>
      </c>
      <c r="AE138" s="3" t="s">
        <v>6</v>
      </c>
      <c r="AF138" s="3">
        <f>SUM(AH138:AL138)</f>
        <v>0</v>
      </c>
      <c r="AS138" s="3" t="s">
        <v>17</v>
      </c>
      <c r="AT138" s="3" t="s">
        <v>780</v>
      </c>
      <c r="AU138" s="3" t="s">
        <v>422</v>
      </c>
    </row>
    <row r="139" spans="1:48" x14ac:dyDescent="0.25">
      <c r="A139" t="s">
        <v>1061</v>
      </c>
      <c r="B139" s="7">
        <v>44026</v>
      </c>
      <c r="C139" s="7" t="s">
        <v>844</v>
      </c>
      <c r="D139" s="3" t="s">
        <v>6</v>
      </c>
      <c r="E139" s="3" t="s">
        <v>426</v>
      </c>
      <c r="F139" s="3" t="s">
        <v>25</v>
      </c>
      <c r="G139" s="3" t="s">
        <v>19</v>
      </c>
      <c r="H139" s="9">
        <v>38.636919810367999</v>
      </c>
      <c r="I139" s="9">
        <v>6.8305508505931797E-2</v>
      </c>
      <c r="J139" s="3">
        <v>1</v>
      </c>
      <c r="K139" s="3">
        <v>1</v>
      </c>
      <c r="L139" s="3">
        <v>0</v>
      </c>
      <c r="M139" s="3">
        <v>0</v>
      </c>
      <c r="N139" s="3" t="s">
        <v>66</v>
      </c>
      <c r="O139" s="3">
        <v>0</v>
      </c>
      <c r="P139" s="3">
        <v>1</v>
      </c>
      <c r="Q139" s="3">
        <v>0</v>
      </c>
      <c r="R139" s="3">
        <v>0</v>
      </c>
      <c r="S139" s="3">
        <v>0</v>
      </c>
      <c r="T139" s="3">
        <v>0</v>
      </c>
      <c r="U139" s="3">
        <v>1</v>
      </c>
      <c r="V139" s="3">
        <v>0</v>
      </c>
      <c r="W139" s="3">
        <v>0</v>
      </c>
      <c r="X139" s="3">
        <v>0</v>
      </c>
      <c r="Y139" s="3">
        <v>0</v>
      </c>
      <c r="Z139" s="3">
        <v>0</v>
      </c>
      <c r="AA139" s="3">
        <v>0</v>
      </c>
      <c r="AB139" s="3">
        <v>0</v>
      </c>
      <c r="AC139" s="3">
        <v>0</v>
      </c>
      <c r="AD139" s="3">
        <v>0</v>
      </c>
      <c r="AE139" s="3" t="s">
        <v>6</v>
      </c>
      <c r="AF139" s="3">
        <f>SUM(AH139:AL139)</f>
        <v>0</v>
      </c>
      <c r="AS139" s="3" t="s">
        <v>17</v>
      </c>
      <c r="AT139" s="3" t="s">
        <v>780</v>
      </c>
      <c r="AU139" s="3" t="s">
        <v>427</v>
      </c>
      <c r="AV139" s="3" t="s">
        <v>428</v>
      </c>
    </row>
    <row r="140" spans="1:48" x14ac:dyDescent="0.25">
      <c r="A140" t="s">
        <v>1062</v>
      </c>
      <c r="B140" s="7">
        <v>44023</v>
      </c>
      <c r="C140" s="7" t="s">
        <v>844</v>
      </c>
      <c r="D140" s="3" t="s">
        <v>6</v>
      </c>
      <c r="E140" s="3" t="s">
        <v>86</v>
      </c>
      <c r="F140" s="3" t="s">
        <v>57</v>
      </c>
      <c r="G140" s="3" t="s">
        <v>21</v>
      </c>
      <c r="H140" s="9">
        <v>36.708706382358301</v>
      </c>
      <c r="I140" s="9">
        <v>-3.5334045952998201</v>
      </c>
      <c r="J140" s="3">
        <v>1</v>
      </c>
      <c r="K140" s="3">
        <v>1</v>
      </c>
      <c r="L140" s="3">
        <v>0</v>
      </c>
      <c r="M140" s="3">
        <v>0</v>
      </c>
      <c r="N140" s="3" t="s">
        <v>66</v>
      </c>
      <c r="O140" s="3">
        <v>0</v>
      </c>
      <c r="P140" s="3">
        <v>1</v>
      </c>
      <c r="Q140" s="3">
        <v>0</v>
      </c>
      <c r="R140" s="3">
        <v>0</v>
      </c>
      <c r="S140" s="3">
        <v>0</v>
      </c>
      <c r="T140" s="3">
        <v>0</v>
      </c>
      <c r="U140" s="3">
        <v>1</v>
      </c>
      <c r="V140" s="3">
        <v>0</v>
      </c>
      <c r="W140" s="3">
        <v>0</v>
      </c>
      <c r="X140" s="3">
        <v>0</v>
      </c>
      <c r="Y140" s="3">
        <v>0</v>
      </c>
      <c r="Z140" s="3">
        <v>0</v>
      </c>
      <c r="AA140" s="3">
        <v>0</v>
      </c>
      <c r="AB140" s="3">
        <v>0</v>
      </c>
      <c r="AC140" s="3">
        <v>0</v>
      </c>
      <c r="AD140" s="3">
        <v>0</v>
      </c>
      <c r="AE140" s="3" t="s">
        <v>6</v>
      </c>
      <c r="AF140" s="3">
        <f>SUM(AH140:AL140)</f>
        <v>0</v>
      </c>
      <c r="AS140" s="3" t="s">
        <v>17</v>
      </c>
      <c r="AT140" s="3" t="s">
        <v>780</v>
      </c>
      <c r="AU140" s="3" t="s">
        <v>429</v>
      </c>
    </row>
    <row r="141" spans="1:48" x14ac:dyDescent="0.25">
      <c r="A141" t="s">
        <v>1063</v>
      </c>
      <c r="B141" s="7">
        <v>44024</v>
      </c>
      <c r="C141" s="7" t="s">
        <v>844</v>
      </c>
      <c r="D141" s="3" t="s">
        <v>6</v>
      </c>
      <c r="E141" s="3" t="s">
        <v>419</v>
      </c>
      <c r="F141" s="3" t="s">
        <v>23</v>
      </c>
      <c r="G141" s="3" t="s">
        <v>23</v>
      </c>
      <c r="H141" s="9">
        <v>37.563861828428799</v>
      </c>
      <c r="I141" s="9">
        <v>-1.25586367125829</v>
      </c>
      <c r="J141" s="3">
        <v>1</v>
      </c>
      <c r="K141" s="3">
        <v>1</v>
      </c>
      <c r="L141" s="3">
        <v>0</v>
      </c>
      <c r="M141" s="3">
        <v>0</v>
      </c>
      <c r="N141" s="3" t="s">
        <v>16</v>
      </c>
      <c r="O141" s="3">
        <v>0</v>
      </c>
      <c r="P141" s="3">
        <v>0</v>
      </c>
      <c r="Q141" s="3">
        <v>0</v>
      </c>
      <c r="R141" s="3">
        <v>0</v>
      </c>
      <c r="S141" s="3">
        <v>1</v>
      </c>
      <c r="T141" s="3">
        <v>0</v>
      </c>
      <c r="U141" s="3">
        <v>0</v>
      </c>
      <c r="V141" s="3">
        <v>0</v>
      </c>
      <c r="W141" s="3">
        <v>0</v>
      </c>
      <c r="X141" s="3">
        <v>0</v>
      </c>
      <c r="Y141" s="3">
        <v>0</v>
      </c>
      <c r="Z141" s="3">
        <v>1</v>
      </c>
      <c r="AA141" s="3">
        <v>0</v>
      </c>
      <c r="AB141" s="3">
        <v>0</v>
      </c>
      <c r="AC141" s="3">
        <v>0</v>
      </c>
      <c r="AD141" s="3">
        <v>0</v>
      </c>
      <c r="AE141" s="3" t="s">
        <v>6</v>
      </c>
      <c r="AF141" s="3" t="s">
        <v>1433</v>
      </c>
      <c r="AS141" s="3" t="s">
        <v>17</v>
      </c>
      <c r="AT141" s="3" t="s">
        <v>780</v>
      </c>
      <c r="AU141" s="3" t="s">
        <v>430</v>
      </c>
    </row>
    <row r="142" spans="1:48" x14ac:dyDescent="0.25">
      <c r="A142" t="s">
        <v>1065</v>
      </c>
      <c r="B142" s="7">
        <v>44022</v>
      </c>
      <c r="C142" s="7" t="s">
        <v>844</v>
      </c>
      <c r="D142" s="3" t="s">
        <v>6</v>
      </c>
      <c r="E142" s="3" t="s">
        <v>433</v>
      </c>
      <c r="F142" s="3" t="s">
        <v>25</v>
      </c>
      <c r="G142" s="3" t="s">
        <v>19</v>
      </c>
      <c r="H142" s="9">
        <v>38.686626321553597</v>
      </c>
      <c r="I142" s="9">
        <v>0.14735683297048799</v>
      </c>
      <c r="J142" s="3">
        <v>1</v>
      </c>
      <c r="K142" s="3">
        <v>1</v>
      </c>
      <c r="L142" s="3">
        <v>0</v>
      </c>
      <c r="M142" s="3">
        <v>0</v>
      </c>
      <c r="N142" s="3" t="s">
        <v>66</v>
      </c>
      <c r="O142" s="3">
        <v>0</v>
      </c>
      <c r="P142" s="3">
        <v>1</v>
      </c>
      <c r="Q142" s="3">
        <v>0</v>
      </c>
      <c r="R142" s="3">
        <v>0</v>
      </c>
      <c r="S142" s="3">
        <v>0</v>
      </c>
      <c r="T142" s="3">
        <v>0</v>
      </c>
      <c r="U142" s="3">
        <v>1</v>
      </c>
      <c r="V142" s="3">
        <v>0</v>
      </c>
      <c r="W142" s="3">
        <v>0</v>
      </c>
      <c r="X142" s="3">
        <v>0</v>
      </c>
      <c r="Y142" s="3">
        <v>0</v>
      </c>
      <c r="Z142" s="3">
        <v>0</v>
      </c>
      <c r="AA142" s="3">
        <v>0</v>
      </c>
      <c r="AB142" s="3">
        <v>0</v>
      </c>
      <c r="AC142" s="3">
        <v>0</v>
      </c>
      <c r="AD142" s="3">
        <v>0</v>
      </c>
      <c r="AE142" s="3" t="s">
        <v>6</v>
      </c>
      <c r="AF142" s="3">
        <f>SUM(AH142:AL142)</f>
        <v>0</v>
      </c>
      <c r="AS142" s="3" t="s">
        <v>233</v>
      </c>
      <c r="AT142" s="3" t="s">
        <v>789</v>
      </c>
      <c r="AU142" s="3" t="s">
        <v>434</v>
      </c>
    </row>
    <row r="143" spans="1:48" x14ac:dyDescent="0.25">
      <c r="A143" t="s">
        <v>1068</v>
      </c>
      <c r="B143" s="7">
        <v>44019</v>
      </c>
      <c r="C143" s="7" t="s">
        <v>844</v>
      </c>
      <c r="D143" s="3" t="s">
        <v>6</v>
      </c>
      <c r="E143" s="3" t="s">
        <v>440</v>
      </c>
      <c r="F143" s="3" t="s">
        <v>57</v>
      </c>
      <c r="G143" s="3" t="s">
        <v>21</v>
      </c>
      <c r="H143" s="9">
        <v>36.7392631031381</v>
      </c>
      <c r="I143" s="9">
        <v>-3.7902601468176602</v>
      </c>
      <c r="J143" s="3">
        <v>1</v>
      </c>
      <c r="K143" s="3">
        <v>1</v>
      </c>
      <c r="L143" s="3">
        <v>0</v>
      </c>
      <c r="M143" s="3">
        <v>0</v>
      </c>
      <c r="N143" s="3" t="s">
        <v>16</v>
      </c>
      <c r="O143" s="3">
        <v>0</v>
      </c>
      <c r="P143" s="3">
        <v>0</v>
      </c>
      <c r="Q143" s="3">
        <v>0</v>
      </c>
      <c r="R143" s="3">
        <v>0</v>
      </c>
      <c r="S143" s="3">
        <v>1</v>
      </c>
      <c r="T143" s="3">
        <v>0</v>
      </c>
      <c r="U143" s="3">
        <v>0</v>
      </c>
      <c r="V143" s="3">
        <v>0</v>
      </c>
      <c r="W143" s="3">
        <v>0</v>
      </c>
      <c r="X143" s="3">
        <v>0</v>
      </c>
      <c r="Y143" s="3">
        <v>0</v>
      </c>
      <c r="Z143" s="3">
        <v>0</v>
      </c>
      <c r="AA143" s="3">
        <v>0</v>
      </c>
      <c r="AB143" s="3">
        <v>0</v>
      </c>
      <c r="AC143" s="3">
        <v>0</v>
      </c>
      <c r="AD143" s="3">
        <v>1</v>
      </c>
      <c r="AE143" s="3" t="s">
        <v>6</v>
      </c>
      <c r="AF143" s="3" t="s">
        <v>1433</v>
      </c>
      <c r="AS143" s="3" t="s">
        <v>17</v>
      </c>
      <c r="AT143" s="3" t="s">
        <v>780</v>
      </c>
      <c r="AU143" s="3" t="s">
        <v>439</v>
      </c>
    </row>
    <row r="144" spans="1:48" x14ac:dyDescent="0.25">
      <c r="A144" t="s">
        <v>1070</v>
      </c>
      <c r="B144" s="7">
        <v>44031</v>
      </c>
      <c r="C144" s="7" t="s">
        <v>844</v>
      </c>
      <c r="D144" s="3" t="s">
        <v>6</v>
      </c>
      <c r="E144" s="3" t="s">
        <v>443</v>
      </c>
      <c r="F144" s="3" t="s">
        <v>25</v>
      </c>
      <c r="G144" s="3" t="s">
        <v>19</v>
      </c>
      <c r="H144" s="9">
        <v>38.636629585303702</v>
      </c>
      <c r="I144" s="9">
        <v>7.8172000831369201E-2</v>
      </c>
      <c r="J144" s="3">
        <v>1</v>
      </c>
      <c r="K144" s="3">
        <v>1</v>
      </c>
      <c r="L144" s="3">
        <v>0</v>
      </c>
      <c r="M144" s="3">
        <v>0</v>
      </c>
      <c r="N144" s="3" t="s">
        <v>16</v>
      </c>
      <c r="O144" s="3">
        <v>0</v>
      </c>
      <c r="P144" s="3">
        <v>0</v>
      </c>
      <c r="Q144" s="3">
        <v>0</v>
      </c>
      <c r="R144" s="3">
        <v>0</v>
      </c>
      <c r="S144" s="3">
        <v>1</v>
      </c>
      <c r="T144" s="3">
        <v>0</v>
      </c>
      <c r="U144" s="3">
        <v>0</v>
      </c>
      <c r="V144" s="3">
        <v>0</v>
      </c>
      <c r="W144" s="3">
        <v>0</v>
      </c>
      <c r="X144" s="3">
        <v>0</v>
      </c>
      <c r="Y144" s="3">
        <v>0</v>
      </c>
      <c r="Z144" s="3">
        <v>1</v>
      </c>
      <c r="AA144" s="3">
        <v>0</v>
      </c>
      <c r="AB144" s="3">
        <v>0</v>
      </c>
      <c r="AC144" s="3">
        <v>0</v>
      </c>
      <c r="AD144" s="3">
        <v>0</v>
      </c>
      <c r="AE144" s="3" t="s">
        <v>6</v>
      </c>
      <c r="AF144" s="3" t="s">
        <v>1433</v>
      </c>
      <c r="AS144" s="3" t="s">
        <v>17</v>
      </c>
      <c r="AT144" s="3" t="s">
        <v>780</v>
      </c>
      <c r="AU144" s="3" t="s">
        <v>444</v>
      </c>
      <c r="AV144" s="3" t="s">
        <v>240</v>
      </c>
    </row>
    <row r="145" spans="1:48" x14ac:dyDescent="0.25">
      <c r="A145" t="s">
        <v>1071</v>
      </c>
      <c r="B145" s="7">
        <v>44015</v>
      </c>
      <c r="C145" s="7" t="s">
        <v>844</v>
      </c>
      <c r="D145" s="3" t="s">
        <v>6</v>
      </c>
      <c r="E145" s="3" t="s">
        <v>476</v>
      </c>
      <c r="F145" s="3" t="s">
        <v>23</v>
      </c>
      <c r="G145" s="3" t="s">
        <v>23</v>
      </c>
      <c r="H145" s="9">
        <v>37.662240072630397</v>
      </c>
      <c r="I145" s="9">
        <v>-0.72166600007159898</v>
      </c>
      <c r="J145" s="3">
        <v>1</v>
      </c>
      <c r="K145" s="3">
        <v>1</v>
      </c>
      <c r="L145" s="3">
        <v>0</v>
      </c>
      <c r="M145" s="3">
        <v>0</v>
      </c>
      <c r="N145" s="3" t="s">
        <v>66</v>
      </c>
      <c r="O145" s="3">
        <v>0</v>
      </c>
      <c r="P145" s="3">
        <v>1</v>
      </c>
      <c r="Q145" s="3">
        <v>0</v>
      </c>
      <c r="R145" s="3">
        <v>0</v>
      </c>
      <c r="S145" s="3">
        <v>0</v>
      </c>
      <c r="T145" s="3">
        <v>0</v>
      </c>
      <c r="U145" s="3">
        <v>0</v>
      </c>
      <c r="V145" s="3">
        <v>0</v>
      </c>
      <c r="W145" s="3">
        <v>0</v>
      </c>
      <c r="X145" s="3">
        <v>0</v>
      </c>
      <c r="Y145" s="3">
        <v>1</v>
      </c>
      <c r="Z145" s="3">
        <v>0</v>
      </c>
      <c r="AA145" s="3">
        <v>0</v>
      </c>
      <c r="AB145" s="3">
        <v>0</v>
      </c>
      <c r="AC145" s="3">
        <v>0</v>
      </c>
      <c r="AD145" s="3">
        <v>0</v>
      </c>
      <c r="AE145" s="3" t="s">
        <v>6</v>
      </c>
      <c r="AF145" s="3">
        <f>SUM(AH145:AL145)</f>
        <v>0</v>
      </c>
      <c r="AS145" s="3" t="s">
        <v>17</v>
      </c>
      <c r="AT145" s="3" t="s">
        <v>780</v>
      </c>
      <c r="AU145" s="3" t="s">
        <v>445</v>
      </c>
    </row>
    <row r="146" spans="1:48" x14ac:dyDescent="0.25">
      <c r="A146" t="s">
        <v>1072</v>
      </c>
      <c r="B146" s="7">
        <v>44030</v>
      </c>
      <c r="C146" s="7" t="s">
        <v>844</v>
      </c>
      <c r="D146" s="3" t="s">
        <v>6</v>
      </c>
      <c r="E146" s="3" t="s">
        <v>446</v>
      </c>
      <c r="F146" s="3" t="s">
        <v>25</v>
      </c>
      <c r="G146" s="3" t="s">
        <v>19</v>
      </c>
      <c r="H146" s="9">
        <v>38.755076481197598</v>
      </c>
      <c r="I146" s="9">
        <v>0.231775054384984</v>
      </c>
      <c r="J146" s="3">
        <v>1</v>
      </c>
      <c r="K146" s="3">
        <v>1</v>
      </c>
      <c r="L146" s="3">
        <v>0</v>
      </c>
      <c r="M146" s="3">
        <v>0</v>
      </c>
      <c r="N146" s="3" t="s">
        <v>16</v>
      </c>
      <c r="O146" s="3">
        <v>0</v>
      </c>
      <c r="P146" s="3">
        <v>0</v>
      </c>
      <c r="Q146" s="3">
        <v>0</v>
      </c>
      <c r="R146" s="3">
        <v>0</v>
      </c>
      <c r="S146" s="3">
        <v>1</v>
      </c>
      <c r="T146" s="3">
        <v>0</v>
      </c>
      <c r="U146" s="3">
        <v>0</v>
      </c>
      <c r="V146" s="3">
        <v>0</v>
      </c>
      <c r="W146" s="3">
        <v>0</v>
      </c>
      <c r="X146" s="3">
        <v>0</v>
      </c>
      <c r="Y146" s="3">
        <v>0</v>
      </c>
      <c r="Z146" s="3">
        <v>1</v>
      </c>
      <c r="AA146" s="3">
        <v>0</v>
      </c>
      <c r="AB146" s="3">
        <v>0</v>
      </c>
      <c r="AC146" s="3">
        <v>0</v>
      </c>
      <c r="AD146" s="3">
        <v>0</v>
      </c>
      <c r="AE146" s="3" t="s">
        <v>6</v>
      </c>
      <c r="AF146" s="3" t="s">
        <v>1433</v>
      </c>
      <c r="AS146" s="3" t="s">
        <v>17</v>
      </c>
      <c r="AT146" s="3" t="s">
        <v>780</v>
      </c>
      <c r="AU146" s="3" t="s">
        <v>447</v>
      </c>
    </row>
    <row r="147" spans="1:48" x14ac:dyDescent="0.25">
      <c r="A147" t="s">
        <v>1073</v>
      </c>
      <c r="B147" s="7">
        <v>44038</v>
      </c>
      <c r="C147" s="7" t="s">
        <v>844</v>
      </c>
      <c r="D147" s="3" t="s">
        <v>6</v>
      </c>
      <c r="E147" s="3" t="s">
        <v>448</v>
      </c>
      <c r="F147" s="3" t="s">
        <v>25</v>
      </c>
      <c r="G147" s="3" t="s">
        <v>19</v>
      </c>
      <c r="H147" s="9">
        <v>38.535064483602198</v>
      </c>
      <c r="I147" s="9">
        <v>-0.13427602267184</v>
      </c>
      <c r="J147" s="3">
        <v>1</v>
      </c>
      <c r="K147" s="3">
        <v>1</v>
      </c>
      <c r="L147" s="3">
        <v>0</v>
      </c>
      <c r="M147" s="3">
        <v>0</v>
      </c>
      <c r="N147" s="3" t="s">
        <v>16</v>
      </c>
      <c r="O147" s="3">
        <v>0</v>
      </c>
      <c r="P147" s="3">
        <v>0</v>
      </c>
      <c r="Q147" s="3">
        <v>0</v>
      </c>
      <c r="R147" s="3">
        <v>0</v>
      </c>
      <c r="S147" s="3">
        <v>1</v>
      </c>
      <c r="T147" s="3">
        <v>0</v>
      </c>
      <c r="U147" s="3">
        <v>0</v>
      </c>
      <c r="V147" s="3">
        <v>0</v>
      </c>
      <c r="W147" s="3">
        <v>0</v>
      </c>
      <c r="X147" s="3">
        <v>0</v>
      </c>
      <c r="Y147" s="3">
        <v>0</v>
      </c>
      <c r="Z147" s="3">
        <v>0</v>
      </c>
      <c r="AA147" s="3">
        <v>0</v>
      </c>
      <c r="AB147" s="3">
        <v>0</v>
      </c>
      <c r="AC147" s="3">
        <v>0</v>
      </c>
      <c r="AD147" s="3">
        <v>1</v>
      </c>
      <c r="AE147" s="3" t="s">
        <v>6</v>
      </c>
      <c r="AF147" s="3" t="s">
        <v>1433</v>
      </c>
      <c r="AS147" s="3" t="s">
        <v>17</v>
      </c>
      <c r="AT147" s="3" t="s">
        <v>780</v>
      </c>
      <c r="AU147" s="3" t="s">
        <v>449</v>
      </c>
    </row>
    <row r="148" spans="1:48" x14ac:dyDescent="0.25">
      <c r="A148" t="s">
        <v>1074</v>
      </c>
      <c r="B148" s="7">
        <v>44038</v>
      </c>
      <c r="C148" s="7" t="s">
        <v>844</v>
      </c>
      <c r="D148" s="3" t="s">
        <v>6</v>
      </c>
      <c r="E148" s="3" t="s">
        <v>450</v>
      </c>
      <c r="F148" s="3" t="s">
        <v>25</v>
      </c>
      <c r="G148" s="3" t="s">
        <v>19</v>
      </c>
      <c r="H148" s="9">
        <v>38.503539343284999</v>
      </c>
      <c r="I148" s="9">
        <v>-0.13283739701651301</v>
      </c>
      <c r="J148" s="3">
        <v>1</v>
      </c>
      <c r="K148" s="3">
        <v>1</v>
      </c>
      <c r="L148" s="3">
        <v>0</v>
      </c>
      <c r="M148" s="3">
        <v>0</v>
      </c>
      <c r="N148" s="3" t="s">
        <v>66</v>
      </c>
      <c r="O148" s="3">
        <v>0</v>
      </c>
      <c r="P148" s="3">
        <v>1</v>
      </c>
      <c r="Q148" s="3">
        <v>0</v>
      </c>
      <c r="R148" s="3">
        <v>0</v>
      </c>
      <c r="S148" s="3">
        <v>0</v>
      </c>
      <c r="T148" s="3">
        <v>0</v>
      </c>
      <c r="U148" s="3">
        <v>1</v>
      </c>
      <c r="V148" s="3">
        <v>0</v>
      </c>
      <c r="W148" s="3">
        <v>0</v>
      </c>
      <c r="X148" s="3">
        <v>0</v>
      </c>
      <c r="Y148" s="3">
        <v>0</v>
      </c>
      <c r="Z148" s="3">
        <v>0</v>
      </c>
      <c r="AA148" s="3">
        <v>0</v>
      </c>
      <c r="AB148" s="3">
        <v>0</v>
      </c>
      <c r="AC148" s="3">
        <v>0</v>
      </c>
      <c r="AD148" s="3">
        <v>0</v>
      </c>
      <c r="AE148" s="3" t="s">
        <v>6</v>
      </c>
      <c r="AF148" s="3">
        <f t="shared" ref="AF148:AF153" si="2">SUM(AH148:AL148)</f>
        <v>0</v>
      </c>
      <c r="AS148" s="3" t="s">
        <v>17</v>
      </c>
      <c r="AT148" s="3" t="s">
        <v>780</v>
      </c>
      <c r="AU148" s="3" t="s">
        <v>451</v>
      </c>
    </row>
    <row r="149" spans="1:48" x14ac:dyDescent="0.25">
      <c r="A149" t="s">
        <v>1075</v>
      </c>
      <c r="B149" s="7">
        <v>44032</v>
      </c>
      <c r="C149" s="7" t="s">
        <v>844</v>
      </c>
      <c r="D149" s="4">
        <v>0.60416666666666663</v>
      </c>
      <c r="E149" s="3" t="s">
        <v>477</v>
      </c>
      <c r="F149" s="3" t="s">
        <v>25</v>
      </c>
      <c r="G149" s="3" t="s">
        <v>19</v>
      </c>
      <c r="H149" s="9">
        <v>38.563220088068299</v>
      </c>
      <c r="I149" s="9">
        <v>-4.4406848188814602E-2</v>
      </c>
      <c r="J149" s="3">
        <v>1</v>
      </c>
      <c r="K149" s="3">
        <v>1</v>
      </c>
      <c r="L149" s="3">
        <v>0</v>
      </c>
      <c r="M149" s="3">
        <v>0</v>
      </c>
      <c r="N149" s="3" t="s">
        <v>66</v>
      </c>
      <c r="O149" s="3">
        <v>0</v>
      </c>
      <c r="P149" s="3">
        <v>1</v>
      </c>
      <c r="Q149" s="3">
        <v>0</v>
      </c>
      <c r="R149" s="3">
        <v>0</v>
      </c>
      <c r="S149" s="3">
        <v>0</v>
      </c>
      <c r="T149" s="3">
        <v>0</v>
      </c>
      <c r="U149" s="3">
        <v>1</v>
      </c>
      <c r="V149" s="3">
        <v>0</v>
      </c>
      <c r="W149" s="3">
        <v>0</v>
      </c>
      <c r="X149" s="3">
        <v>0</v>
      </c>
      <c r="Y149" s="3">
        <v>0</v>
      </c>
      <c r="Z149" s="3">
        <v>0</v>
      </c>
      <c r="AA149" s="3">
        <v>0</v>
      </c>
      <c r="AB149" s="3">
        <v>0</v>
      </c>
      <c r="AC149" s="3">
        <v>0</v>
      </c>
      <c r="AD149" s="3">
        <v>0</v>
      </c>
      <c r="AE149" s="3" t="s">
        <v>6</v>
      </c>
      <c r="AF149" s="3">
        <f t="shared" si="2"/>
        <v>0</v>
      </c>
      <c r="AS149" s="3" t="s">
        <v>17</v>
      </c>
      <c r="AT149" s="3" t="s">
        <v>780</v>
      </c>
      <c r="AU149" s="3" t="s">
        <v>452</v>
      </c>
    </row>
    <row r="150" spans="1:48" x14ac:dyDescent="0.25">
      <c r="A150" t="s">
        <v>1077</v>
      </c>
      <c r="B150" s="7">
        <v>44030</v>
      </c>
      <c r="C150" s="7" t="s">
        <v>844</v>
      </c>
      <c r="D150" s="3" t="s">
        <v>6</v>
      </c>
      <c r="E150" s="3" t="s">
        <v>26</v>
      </c>
      <c r="F150" s="3" t="s">
        <v>78</v>
      </c>
      <c r="G150" s="3" t="s">
        <v>19</v>
      </c>
      <c r="H150" s="9">
        <v>39.8848787855311</v>
      </c>
      <c r="I150" s="9">
        <v>0.67754618524339105</v>
      </c>
      <c r="J150" s="3">
        <v>1</v>
      </c>
      <c r="K150" s="3">
        <v>1</v>
      </c>
      <c r="L150" s="3">
        <v>0</v>
      </c>
      <c r="M150" s="3">
        <v>0</v>
      </c>
      <c r="N150" s="3" t="s">
        <v>66</v>
      </c>
      <c r="O150" s="3">
        <v>0</v>
      </c>
      <c r="P150" s="3">
        <v>1</v>
      </c>
      <c r="Q150" s="3">
        <v>0</v>
      </c>
      <c r="R150" s="3">
        <v>0</v>
      </c>
      <c r="S150" s="3">
        <v>0</v>
      </c>
      <c r="T150" s="3">
        <v>0</v>
      </c>
      <c r="U150" s="3">
        <v>0</v>
      </c>
      <c r="V150" s="3">
        <v>0</v>
      </c>
      <c r="W150" s="3">
        <v>0</v>
      </c>
      <c r="X150" s="3">
        <v>0</v>
      </c>
      <c r="Y150" s="3">
        <v>1</v>
      </c>
      <c r="Z150" s="3">
        <v>0</v>
      </c>
      <c r="AA150" s="3">
        <v>0</v>
      </c>
      <c r="AB150" s="3">
        <v>0</v>
      </c>
      <c r="AC150" s="3">
        <v>0</v>
      </c>
      <c r="AD150" s="3">
        <v>0</v>
      </c>
      <c r="AE150" s="3" t="s">
        <v>6</v>
      </c>
      <c r="AF150" s="3">
        <f t="shared" si="2"/>
        <v>0</v>
      </c>
      <c r="AS150" s="3" t="s">
        <v>17</v>
      </c>
      <c r="AT150" s="3" t="s">
        <v>780</v>
      </c>
      <c r="AU150" s="3" t="s">
        <v>455</v>
      </c>
    </row>
    <row r="151" spans="1:48" x14ac:dyDescent="0.25">
      <c r="A151" t="s">
        <v>1078</v>
      </c>
      <c r="B151" s="7">
        <v>44785</v>
      </c>
      <c r="C151" s="7" t="s">
        <v>844</v>
      </c>
      <c r="D151" s="3" t="s">
        <v>6</v>
      </c>
      <c r="E151" s="3" t="s">
        <v>478</v>
      </c>
      <c r="F151" s="3" t="s">
        <v>59</v>
      </c>
      <c r="G151" s="3" t="s">
        <v>20</v>
      </c>
      <c r="H151" s="9">
        <v>41.682309401638904</v>
      </c>
      <c r="I151" s="9">
        <v>2.8165017277837099</v>
      </c>
      <c r="J151" s="3">
        <v>1</v>
      </c>
      <c r="K151" s="3">
        <v>1</v>
      </c>
      <c r="L151" s="3">
        <v>0</v>
      </c>
      <c r="M151" s="3">
        <v>0</v>
      </c>
      <c r="N151" s="3" t="s">
        <v>66</v>
      </c>
      <c r="O151" s="3">
        <v>0</v>
      </c>
      <c r="P151" s="3">
        <v>1</v>
      </c>
      <c r="Q151" s="3">
        <v>0</v>
      </c>
      <c r="R151" s="3">
        <v>0</v>
      </c>
      <c r="S151" s="3">
        <v>0</v>
      </c>
      <c r="T151" s="3">
        <v>0</v>
      </c>
      <c r="U151" s="3">
        <v>1</v>
      </c>
      <c r="V151" s="3">
        <v>0</v>
      </c>
      <c r="W151" s="3">
        <v>0</v>
      </c>
      <c r="X151" s="3">
        <v>0</v>
      </c>
      <c r="Y151" s="3">
        <v>0</v>
      </c>
      <c r="Z151" s="3">
        <v>0</v>
      </c>
      <c r="AA151" s="3">
        <v>0</v>
      </c>
      <c r="AB151" s="3">
        <v>0</v>
      </c>
      <c r="AC151" s="3">
        <v>0</v>
      </c>
      <c r="AD151" s="3">
        <v>0</v>
      </c>
      <c r="AE151" s="3" t="s">
        <v>6</v>
      </c>
      <c r="AF151" s="3">
        <f t="shared" si="2"/>
        <v>0</v>
      </c>
      <c r="AS151" s="3" t="s">
        <v>17</v>
      </c>
      <c r="AT151" s="3" t="s">
        <v>777</v>
      </c>
      <c r="AU151" s="3" t="s">
        <v>456</v>
      </c>
    </row>
    <row r="152" spans="1:48" x14ac:dyDescent="0.25">
      <c r="A152" t="s">
        <v>1079</v>
      </c>
      <c r="B152" s="7">
        <v>44062</v>
      </c>
      <c r="C152" s="7" t="s">
        <v>844</v>
      </c>
      <c r="D152" s="3" t="s">
        <v>6</v>
      </c>
      <c r="E152" s="3" t="s">
        <v>479</v>
      </c>
      <c r="F152" s="3" t="s">
        <v>23</v>
      </c>
      <c r="G152" s="3" t="s">
        <v>23</v>
      </c>
      <c r="H152" s="9">
        <v>37.579767260155002</v>
      </c>
      <c r="I152" s="9">
        <v>-0.97744999467801796</v>
      </c>
      <c r="J152" s="3">
        <v>1</v>
      </c>
      <c r="K152" s="3">
        <v>1</v>
      </c>
      <c r="L152" s="3">
        <v>0</v>
      </c>
      <c r="M152" s="3">
        <v>0</v>
      </c>
      <c r="N152" s="3" t="s">
        <v>66</v>
      </c>
      <c r="O152" s="3">
        <v>0</v>
      </c>
      <c r="P152" s="3">
        <v>1</v>
      </c>
      <c r="Q152" s="3">
        <v>0</v>
      </c>
      <c r="R152" s="3">
        <v>0</v>
      </c>
      <c r="S152" s="3">
        <v>0</v>
      </c>
      <c r="T152" s="3">
        <v>0</v>
      </c>
      <c r="U152" s="3">
        <v>1</v>
      </c>
      <c r="V152" s="3">
        <v>0</v>
      </c>
      <c r="W152" s="3">
        <v>0</v>
      </c>
      <c r="X152" s="3">
        <v>0</v>
      </c>
      <c r="Y152" s="3">
        <v>0</v>
      </c>
      <c r="Z152" s="3">
        <v>0</v>
      </c>
      <c r="AA152" s="3">
        <v>0</v>
      </c>
      <c r="AB152" s="3">
        <v>0</v>
      </c>
      <c r="AC152" s="3">
        <v>0</v>
      </c>
      <c r="AD152" s="3">
        <v>0</v>
      </c>
      <c r="AE152" s="3" t="s">
        <v>6</v>
      </c>
      <c r="AF152" s="3">
        <f t="shared" si="2"/>
        <v>0</v>
      </c>
      <c r="AS152" s="3" t="s">
        <v>17</v>
      </c>
      <c r="AT152" s="3" t="s">
        <v>780</v>
      </c>
      <c r="AU152" s="3" t="s">
        <v>457</v>
      </c>
    </row>
    <row r="153" spans="1:48" x14ac:dyDescent="0.25">
      <c r="A153" t="s">
        <v>1080</v>
      </c>
      <c r="B153" s="7">
        <v>44030</v>
      </c>
      <c r="C153" s="7" t="s">
        <v>844</v>
      </c>
      <c r="D153" s="3" t="s">
        <v>6</v>
      </c>
      <c r="E153" s="3" t="s">
        <v>109</v>
      </c>
      <c r="F153" s="3" t="s">
        <v>57</v>
      </c>
      <c r="G153" s="3" t="s">
        <v>21</v>
      </c>
      <c r="H153" s="9">
        <v>36.725112358416403</v>
      </c>
      <c r="I153" s="9">
        <v>-3.7560285410766698</v>
      </c>
      <c r="J153" s="3">
        <v>1</v>
      </c>
      <c r="K153" s="3">
        <v>1</v>
      </c>
      <c r="L153" s="3">
        <v>0</v>
      </c>
      <c r="M153" s="3">
        <v>0</v>
      </c>
      <c r="N153" s="3" t="s">
        <v>66</v>
      </c>
      <c r="O153" s="3">
        <v>0</v>
      </c>
      <c r="P153" s="3">
        <v>1</v>
      </c>
      <c r="Q153" s="3">
        <v>0</v>
      </c>
      <c r="R153" s="3">
        <v>0</v>
      </c>
      <c r="S153" s="3">
        <v>0</v>
      </c>
      <c r="T153" s="3">
        <v>0</v>
      </c>
      <c r="U153" s="3">
        <v>1</v>
      </c>
      <c r="V153" s="3">
        <v>0</v>
      </c>
      <c r="W153" s="3">
        <v>0</v>
      </c>
      <c r="X153" s="3">
        <v>0</v>
      </c>
      <c r="Y153" s="3">
        <v>0</v>
      </c>
      <c r="Z153" s="3">
        <v>0</v>
      </c>
      <c r="AA153" s="3">
        <v>0</v>
      </c>
      <c r="AB153" s="3">
        <v>0</v>
      </c>
      <c r="AC153" s="3">
        <v>0</v>
      </c>
      <c r="AD153" s="3">
        <v>0</v>
      </c>
      <c r="AE153" s="3" t="s">
        <v>6</v>
      </c>
      <c r="AF153" s="3">
        <f t="shared" si="2"/>
        <v>0</v>
      </c>
      <c r="AS153" s="3" t="s">
        <v>17</v>
      </c>
      <c r="AT153" s="3" t="s">
        <v>780</v>
      </c>
      <c r="AU153" s="3" t="s">
        <v>458</v>
      </c>
    </row>
    <row r="154" spans="1:48" x14ac:dyDescent="0.25">
      <c r="A154" t="s">
        <v>1081</v>
      </c>
      <c r="B154" s="7">
        <v>43999</v>
      </c>
      <c r="C154" s="7" t="s">
        <v>844</v>
      </c>
      <c r="D154" s="3" t="s">
        <v>6</v>
      </c>
      <c r="E154" s="3" t="s">
        <v>459</v>
      </c>
      <c r="F154" s="3" t="s">
        <v>23</v>
      </c>
      <c r="G154" s="3" t="s">
        <v>23</v>
      </c>
      <c r="H154" s="9">
        <v>37.596560353694798</v>
      </c>
      <c r="I154" s="9">
        <v>-0.98410387605613503</v>
      </c>
      <c r="J154" s="3">
        <v>1</v>
      </c>
      <c r="K154" s="3">
        <v>1</v>
      </c>
      <c r="L154" s="3">
        <v>0</v>
      </c>
      <c r="M154" s="3">
        <v>0</v>
      </c>
      <c r="N154" s="3" t="s">
        <v>16</v>
      </c>
      <c r="O154" s="3">
        <v>0</v>
      </c>
      <c r="P154" s="3">
        <v>0</v>
      </c>
      <c r="Q154" s="3">
        <v>0</v>
      </c>
      <c r="R154" s="3">
        <v>0</v>
      </c>
      <c r="S154" s="3">
        <v>0</v>
      </c>
      <c r="T154" s="3">
        <v>1</v>
      </c>
      <c r="U154" s="3">
        <v>0</v>
      </c>
      <c r="V154" s="3">
        <v>0</v>
      </c>
      <c r="W154" s="3">
        <v>0</v>
      </c>
      <c r="X154" s="3">
        <v>0</v>
      </c>
      <c r="Y154" s="3">
        <v>0</v>
      </c>
      <c r="Z154" s="3">
        <v>1</v>
      </c>
      <c r="AA154" s="3">
        <v>0</v>
      </c>
      <c r="AB154" s="3">
        <v>0</v>
      </c>
      <c r="AC154" s="3">
        <v>0</v>
      </c>
      <c r="AD154" s="3">
        <v>0</v>
      </c>
      <c r="AE154" s="3" t="s">
        <v>6</v>
      </c>
      <c r="AF154" s="3" t="s">
        <v>1433</v>
      </c>
      <c r="AS154" s="3" t="s">
        <v>17</v>
      </c>
      <c r="AT154" s="3" t="s">
        <v>780</v>
      </c>
      <c r="AU154" s="3" t="s">
        <v>460</v>
      </c>
    </row>
    <row r="155" spans="1:48" x14ac:dyDescent="0.25">
      <c r="A155" t="s">
        <v>1082</v>
      </c>
      <c r="B155" s="7">
        <v>43659</v>
      </c>
      <c r="C155" s="7" t="s">
        <v>844</v>
      </c>
      <c r="D155" s="3" t="s">
        <v>6</v>
      </c>
      <c r="E155" s="3" t="s">
        <v>480</v>
      </c>
      <c r="F155" s="3" t="s">
        <v>78</v>
      </c>
      <c r="G155" s="3" t="s">
        <v>19</v>
      </c>
      <c r="H155" s="9">
        <v>39.900123568085199</v>
      </c>
      <c r="I155" s="9">
        <v>0.68335054620334801</v>
      </c>
      <c r="J155" s="3">
        <v>1</v>
      </c>
      <c r="K155" s="3">
        <v>1</v>
      </c>
      <c r="L155" s="3">
        <v>0</v>
      </c>
      <c r="M155" s="3">
        <v>0</v>
      </c>
      <c r="N155" s="3" t="s">
        <v>66</v>
      </c>
      <c r="O155" s="3">
        <v>0</v>
      </c>
      <c r="P155" s="3">
        <v>1</v>
      </c>
      <c r="Q155" s="3">
        <v>0</v>
      </c>
      <c r="R155" s="3">
        <v>0</v>
      </c>
      <c r="S155" s="3">
        <v>0</v>
      </c>
      <c r="T155" s="3">
        <v>0</v>
      </c>
      <c r="U155" s="3">
        <v>1</v>
      </c>
      <c r="V155" s="3">
        <v>0</v>
      </c>
      <c r="W155" s="3">
        <v>0</v>
      </c>
      <c r="X155" s="3">
        <v>0</v>
      </c>
      <c r="Y155" s="3">
        <v>0</v>
      </c>
      <c r="Z155" s="3">
        <v>0</v>
      </c>
      <c r="AA155" s="3">
        <v>0</v>
      </c>
      <c r="AB155" s="3">
        <v>0</v>
      </c>
      <c r="AC155" s="3">
        <v>0</v>
      </c>
      <c r="AD155" s="3">
        <v>0</v>
      </c>
      <c r="AE155" s="3" t="s">
        <v>6</v>
      </c>
      <c r="AF155" s="3">
        <f>SUM(AH155:AL155)</f>
        <v>0</v>
      </c>
      <c r="AS155" s="3" t="s">
        <v>17</v>
      </c>
      <c r="AT155" s="3" t="s">
        <v>780</v>
      </c>
      <c r="AU155" s="3" t="s">
        <v>462</v>
      </c>
      <c r="AV155" s="3" t="s">
        <v>463</v>
      </c>
    </row>
    <row r="156" spans="1:48" x14ac:dyDescent="0.25">
      <c r="A156" t="s">
        <v>1083</v>
      </c>
      <c r="B156" s="7">
        <v>44373</v>
      </c>
      <c r="C156" s="7" t="s">
        <v>844</v>
      </c>
      <c r="D156" s="3" t="s">
        <v>6</v>
      </c>
      <c r="E156" s="3" t="s">
        <v>482</v>
      </c>
      <c r="F156" s="3" t="s">
        <v>78</v>
      </c>
      <c r="G156" s="3" t="s">
        <v>19</v>
      </c>
      <c r="H156" s="9">
        <v>39.856580536514599</v>
      </c>
      <c r="I156" s="9">
        <v>9.2747029807010301E-3</v>
      </c>
      <c r="J156" s="3">
        <v>4</v>
      </c>
      <c r="K156" s="3">
        <v>4</v>
      </c>
      <c r="L156" s="3">
        <v>0</v>
      </c>
      <c r="M156" s="3">
        <v>0</v>
      </c>
      <c r="N156" s="3" t="s">
        <v>16</v>
      </c>
      <c r="O156" s="3">
        <v>0</v>
      </c>
      <c r="P156" s="3">
        <v>0</v>
      </c>
      <c r="Q156" s="3">
        <v>0</v>
      </c>
      <c r="R156" s="3">
        <v>0</v>
      </c>
      <c r="S156" s="3">
        <v>0</v>
      </c>
      <c r="T156" s="3">
        <v>4</v>
      </c>
      <c r="U156" s="3">
        <v>0</v>
      </c>
      <c r="V156" s="3">
        <v>0</v>
      </c>
      <c r="W156" s="3">
        <v>0</v>
      </c>
      <c r="X156" s="3">
        <v>0</v>
      </c>
      <c r="Y156" s="3">
        <v>0</v>
      </c>
      <c r="Z156" s="3">
        <v>0</v>
      </c>
      <c r="AA156" s="3">
        <v>0</v>
      </c>
      <c r="AB156" s="3">
        <v>0</v>
      </c>
      <c r="AC156" s="3">
        <v>0</v>
      </c>
      <c r="AD156" s="3">
        <v>4</v>
      </c>
      <c r="AE156" s="3" t="s">
        <v>6</v>
      </c>
      <c r="AF156" s="3" t="s">
        <v>1433</v>
      </c>
      <c r="AS156" s="3" t="s">
        <v>17</v>
      </c>
      <c r="AT156" s="3" t="s">
        <v>780</v>
      </c>
      <c r="AU156" s="3" t="s">
        <v>461</v>
      </c>
    </row>
    <row r="157" spans="1:48" x14ac:dyDescent="0.25">
      <c r="A157" t="s">
        <v>1084</v>
      </c>
      <c r="B157" s="7">
        <v>44399</v>
      </c>
      <c r="C157" s="7" t="s">
        <v>844</v>
      </c>
      <c r="D157" s="3" t="s">
        <v>6</v>
      </c>
      <c r="E157" s="3" t="s">
        <v>481</v>
      </c>
      <c r="F157" s="3" t="s">
        <v>78</v>
      </c>
      <c r="G157" s="3" t="s">
        <v>19</v>
      </c>
      <c r="H157" s="9">
        <v>39.922159499771197</v>
      </c>
      <c r="I157" s="9">
        <v>6.4273839702240695E-2</v>
      </c>
      <c r="J157" s="3">
        <v>3</v>
      </c>
      <c r="K157" s="3">
        <v>3</v>
      </c>
      <c r="L157" s="3">
        <v>0</v>
      </c>
      <c r="M157" s="3">
        <v>0</v>
      </c>
      <c r="N157" s="3" t="s">
        <v>16</v>
      </c>
      <c r="O157" s="3">
        <v>0</v>
      </c>
      <c r="P157" s="3">
        <v>0</v>
      </c>
      <c r="Q157" s="3">
        <v>0</v>
      </c>
      <c r="R157" s="3">
        <v>0</v>
      </c>
      <c r="S157" s="3">
        <v>3</v>
      </c>
      <c r="T157" s="3">
        <v>0</v>
      </c>
      <c r="U157" s="3">
        <v>0</v>
      </c>
      <c r="V157" s="3">
        <v>0</v>
      </c>
      <c r="W157" s="3">
        <v>0</v>
      </c>
      <c r="X157" s="3">
        <v>0</v>
      </c>
      <c r="Y157" s="3">
        <v>0</v>
      </c>
      <c r="Z157" s="3">
        <v>3</v>
      </c>
      <c r="AA157" s="3">
        <v>0</v>
      </c>
      <c r="AB157" s="3">
        <v>0</v>
      </c>
      <c r="AC157" s="3">
        <v>0</v>
      </c>
      <c r="AD157" s="3">
        <v>0</v>
      </c>
      <c r="AE157" s="3" t="s">
        <v>6</v>
      </c>
      <c r="AF157" s="3" t="s">
        <v>1433</v>
      </c>
      <c r="AS157" s="3" t="s">
        <v>17</v>
      </c>
      <c r="AT157" s="3" t="s">
        <v>780</v>
      </c>
      <c r="AU157" s="3" t="s">
        <v>464</v>
      </c>
      <c r="AV157" s="3" t="s">
        <v>922</v>
      </c>
    </row>
    <row r="158" spans="1:48" x14ac:dyDescent="0.25">
      <c r="A158" t="s">
        <v>1085</v>
      </c>
      <c r="B158" s="7">
        <v>44003</v>
      </c>
      <c r="C158" s="7" t="s">
        <v>844</v>
      </c>
      <c r="D158" s="3" t="s">
        <v>6</v>
      </c>
      <c r="E158" s="3" t="s">
        <v>71</v>
      </c>
      <c r="F158" s="3" t="s">
        <v>23</v>
      </c>
      <c r="G158" s="3" t="s">
        <v>23</v>
      </c>
      <c r="H158" s="9">
        <v>37.5456403208605</v>
      </c>
      <c r="I158" s="9">
        <v>-1.1788655945531199</v>
      </c>
      <c r="J158" s="3">
        <v>1</v>
      </c>
      <c r="K158" s="3">
        <v>1</v>
      </c>
      <c r="L158" s="3">
        <v>0</v>
      </c>
      <c r="M158" s="3">
        <v>0</v>
      </c>
      <c r="N158" s="3" t="s">
        <v>16</v>
      </c>
      <c r="O158" s="3">
        <v>0</v>
      </c>
      <c r="P158" s="3">
        <v>0</v>
      </c>
      <c r="Q158" s="3">
        <v>0</v>
      </c>
      <c r="R158" s="3">
        <v>0</v>
      </c>
      <c r="S158" s="3">
        <v>1</v>
      </c>
      <c r="T158" s="3">
        <v>0</v>
      </c>
      <c r="U158" s="3">
        <v>0</v>
      </c>
      <c r="V158" s="3">
        <v>0</v>
      </c>
      <c r="W158" s="3">
        <v>0</v>
      </c>
      <c r="X158" s="3">
        <v>0</v>
      </c>
      <c r="Y158" s="3">
        <v>0</v>
      </c>
      <c r="Z158" s="3">
        <v>1</v>
      </c>
      <c r="AA158" s="3">
        <v>0</v>
      </c>
      <c r="AB158" s="3">
        <v>0</v>
      </c>
      <c r="AC158" s="3">
        <v>0</v>
      </c>
      <c r="AD158" s="3">
        <v>0</v>
      </c>
      <c r="AE158" s="3" t="s">
        <v>6</v>
      </c>
      <c r="AF158" s="3" t="s">
        <v>1433</v>
      </c>
      <c r="AS158" s="3" t="s">
        <v>17</v>
      </c>
      <c r="AT158" s="3" t="s">
        <v>780</v>
      </c>
      <c r="AU158" s="3" t="s">
        <v>465</v>
      </c>
      <c r="AV158" s="3" t="s">
        <v>249</v>
      </c>
    </row>
    <row r="159" spans="1:48" x14ac:dyDescent="0.25">
      <c r="A159" t="s">
        <v>1086</v>
      </c>
      <c r="B159" s="7">
        <v>44402</v>
      </c>
      <c r="C159" s="7" t="s">
        <v>844</v>
      </c>
      <c r="D159" s="3" t="s">
        <v>6</v>
      </c>
      <c r="E159" s="3" t="s">
        <v>416</v>
      </c>
      <c r="F159" s="3" t="s">
        <v>78</v>
      </c>
      <c r="G159" s="3" t="s">
        <v>19</v>
      </c>
      <c r="H159" s="9">
        <v>40.244654133202502</v>
      </c>
      <c r="I159" s="9">
        <v>0.28733668868003198</v>
      </c>
      <c r="J159" s="3">
        <v>1</v>
      </c>
      <c r="K159" s="3">
        <v>1</v>
      </c>
      <c r="L159" s="3">
        <v>0</v>
      </c>
      <c r="M159" s="3">
        <v>0</v>
      </c>
      <c r="N159" s="3" t="s">
        <v>16</v>
      </c>
      <c r="O159" s="3">
        <v>0</v>
      </c>
      <c r="P159" s="3">
        <v>0</v>
      </c>
      <c r="Q159" s="3">
        <v>0</v>
      </c>
      <c r="R159" s="3">
        <v>0</v>
      </c>
      <c r="S159" s="3">
        <v>1</v>
      </c>
      <c r="T159" s="3">
        <v>0</v>
      </c>
      <c r="U159" s="3">
        <v>0</v>
      </c>
      <c r="V159" s="3">
        <v>0</v>
      </c>
      <c r="W159" s="3">
        <v>0</v>
      </c>
      <c r="X159" s="3">
        <v>0</v>
      </c>
      <c r="Y159" s="3">
        <v>0</v>
      </c>
      <c r="Z159" s="3">
        <v>1</v>
      </c>
      <c r="AA159" s="3">
        <v>0</v>
      </c>
      <c r="AB159" s="3">
        <v>0</v>
      </c>
      <c r="AC159" s="3">
        <v>0</v>
      </c>
      <c r="AD159" s="3">
        <v>0</v>
      </c>
      <c r="AE159" s="3" t="s">
        <v>6</v>
      </c>
      <c r="AF159" s="3" t="s">
        <v>1433</v>
      </c>
      <c r="AS159" s="3" t="s">
        <v>17</v>
      </c>
      <c r="AT159" s="3" t="s">
        <v>780</v>
      </c>
      <c r="AU159" s="3" t="s">
        <v>466</v>
      </c>
    </row>
    <row r="160" spans="1:48" x14ac:dyDescent="0.25">
      <c r="A160" t="s">
        <v>1087</v>
      </c>
      <c r="B160" s="7">
        <v>44020</v>
      </c>
      <c r="C160" s="7" t="s">
        <v>844</v>
      </c>
      <c r="D160" s="3" t="s">
        <v>6</v>
      </c>
      <c r="E160" s="3" t="s">
        <v>483</v>
      </c>
      <c r="F160" s="3" t="s">
        <v>47</v>
      </c>
      <c r="G160" s="3" t="s">
        <v>21</v>
      </c>
      <c r="H160" s="9">
        <v>36.807370922055298</v>
      </c>
      <c r="I160" s="9">
        <v>-2.27543266020706</v>
      </c>
      <c r="J160" s="3">
        <v>1</v>
      </c>
      <c r="K160" s="3">
        <v>1</v>
      </c>
      <c r="L160" s="3">
        <v>0</v>
      </c>
      <c r="M160" s="3">
        <v>0</v>
      </c>
      <c r="N160" s="3" t="s">
        <v>16</v>
      </c>
      <c r="O160" s="3">
        <v>0</v>
      </c>
      <c r="P160" s="3">
        <v>0</v>
      </c>
      <c r="Q160" s="3">
        <v>0</v>
      </c>
      <c r="R160" s="3">
        <v>0</v>
      </c>
      <c r="S160" s="3">
        <v>1</v>
      </c>
      <c r="T160" s="3">
        <v>0</v>
      </c>
      <c r="U160" s="3">
        <v>0</v>
      </c>
      <c r="V160" s="3">
        <v>0</v>
      </c>
      <c r="W160" s="3">
        <v>0</v>
      </c>
      <c r="X160" s="3">
        <v>0</v>
      </c>
      <c r="Y160" s="3">
        <v>0</v>
      </c>
      <c r="Z160" s="3">
        <v>0</v>
      </c>
      <c r="AA160" s="3">
        <v>1</v>
      </c>
      <c r="AB160" s="3">
        <v>0</v>
      </c>
      <c r="AC160" s="3">
        <v>0</v>
      </c>
      <c r="AD160" s="3">
        <v>0</v>
      </c>
      <c r="AE160" s="3" t="s">
        <v>6</v>
      </c>
      <c r="AF160" s="3" t="s">
        <v>1433</v>
      </c>
      <c r="AS160" s="3" t="s">
        <v>17</v>
      </c>
      <c r="AT160" s="3" t="s">
        <v>780</v>
      </c>
      <c r="AU160" s="3" t="s">
        <v>467</v>
      </c>
    </row>
    <row r="161" spans="1:48" x14ac:dyDescent="0.25">
      <c r="A161" t="s">
        <v>1088</v>
      </c>
      <c r="B161" s="7">
        <v>44037</v>
      </c>
      <c r="C161" s="7" t="s">
        <v>844</v>
      </c>
      <c r="D161" s="3" t="s">
        <v>6</v>
      </c>
      <c r="E161" s="3" t="s">
        <v>468</v>
      </c>
      <c r="F161" s="3" t="s">
        <v>25</v>
      </c>
      <c r="G161" s="3" t="s">
        <v>19</v>
      </c>
      <c r="H161" s="9">
        <v>38.633985893558801</v>
      </c>
      <c r="I161" s="9">
        <v>6.9443025330540503E-2</v>
      </c>
      <c r="J161" s="3">
        <v>1</v>
      </c>
      <c r="K161" s="3">
        <v>1</v>
      </c>
      <c r="L161" s="3">
        <v>0</v>
      </c>
      <c r="M161" s="3">
        <v>0</v>
      </c>
      <c r="N161" s="3" t="s">
        <v>16</v>
      </c>
      <c r="O161" s="3">
        <v>0</v>
      </c>
      <c r="P161" s="3">
        <v>0</v>
      </c>
      <c r="Q161" s="3">
        <v>0</v>
      </c>
      <c r="R161" s="3">
        <v>0</v>
      </c>
      <c r="S161" s="3">
        <v>1</v>
      </c>
      <c r="T161" s="3">
        <v>0</v>
      </c>
      <c r="U161" s="3">
        <v>0</v>
      </c>
      <c r="V161" s="3">
        <v>0</v>
      </c>
      <c r="W161" s="3">
        <v>0</v>
      </c>
      <c r="X161" s="3">
        <v>0</v>
      </c>
      <c r="Y161" s="3">
        <v>0</v>
      </c>
      <c r="Z161" s="3">
        <v>1</v>
      </c>
      <c r="AA161" s="3">
        <v>0</v>
      </c>
      <c r="AB161" s="3">
        <v>0</v>
      </c>
      <c r="AC161" s="3">
        <v>0</v>
      </c>
      <c r="AD161" s="3">
        <v>0</v>
      </c>
      <c r="AE161" s="3" t="s">
        <v>6</v>
      </c>
      <c r="AF161" s="3" t="s">
        <v>1433</v>
      </c>
      <c r="AS161" s="3" t="s">
        <v>17</v>
      </c>
      <c r="AT161" s="3" t="s">
        <v>780</v>
      </c>
      <c r="AU161" s="3" t="s">
        <v>469</v>
      </c>
    </row>
    <row r="162" spans="1:48" x14ac:dyDescent="0.25">
      <c r="A162" t="s">
        <v>1089</v>
      </c>
      <c r="B162" s="7">
        <v>44035</v>
      </c>
      <c r="C162" s="7" t="s">
        <v>844</v>
      </c>
      <c r="D162" s="3" t="s">
        <v>6</v>
      </c>
      <c r="E162" s="3" t="s">
        <v>470</v>
      </c>
      <c r="F162" s="3" t="s">
        <v>25</v>
      </c>
      <c r="G162" s="3" t="s">
        <v>19</v>
      </c>
      <c r="H162" s="9">
        <v>38.5484659346413</v>
      </c>
      <c r="I162" s="9">
        <v>-6.1266784475674803E-2</v>
      </c>
      <c r="J162" s="3">
        <v>4</v>
      </c>
      <c r="K162" s="3">
        <v>4</v>
      </c>
      <c r="L162" s="3">
        <v>0</v>
      </c>
      <c r="M162" s="3">
        <v>0</v>
      </c>
      <c r="N162" s="3" t="s">
        <v>16</v>
      </c>
      <c r="O162" s="3">
        <v>0</v>
      </c>
      <c r="P162" s="3">
        <v>0</v>
      </c>
      <c r="Q162" s="3">
        <v>0</v>
      </c>
      <c r="R162" s="3">
        <v>0</v>
      </c>
      <c r="S162" s="3">
        <v>4</v>
      </c>
      <c r="T162" s="3">
        <v>0</v>
      </c>
      <c r="U162" s="3">
        <v>0</v>
      </c>
      <c r="V162" s="3">
        <v>0</v>
      </c>
      <c r="W162" s="3">
        <v>0</v>
      </c>
      <c r="X162" s="3">
        <v>0</v>
      </c>
      <c r="Y162" s="3">
        <v>0</v>
      </c>
      <c r="Z162" s="3">
        <v>4</v>
      </c>
      <c r="AA162" s="3">
        <v>0</v>
      </c>
      <c r="AB162" s="3">
        <v>0</v>
      </c>
      <c r="AC162" s="3">
        <v>0</v>
      </c>
      <c r="AD162" s="3">
        <v>0</v>
      </c>
      <c r="AE162" s="3" t="s">
        <v>6</v>
      </c>
      <c r="AF162" s="3" t="s">
        <v>1433</v>
      </c>
      <c r="AS162" s="3" t="s">
        <v>17</v>
      </c>
      <c r="AT162" s="3" t="s">
        <v>780</v>
      </c>
      <c r="AU162" s="3" t="s">
        <v>471</v>
      </c>
      <c r="AV162" s="3" t="s">
        <v>472</v>
      </c>
    </row>
    <row r="163" spans="1:48" x14ac:dyDescent="0.25">
      <c r="A163" t="s">
        <v>1090</v>
      </c>
      <c r="B163" s="7">
        <v>44037</v>
      </c>
      <c r="C163" s="7" t="s">
        <v>844</v>
      </c>
      <c r="D163" s="3" t="s">
        <v>6</v>
      </c>
      <c r="E163" s="3" t="s">
        <v>138</v>
      </c>
      <c r="F163" s="3" t="s">
        <v>23</v>
      </c>
      <c r="G163" s="3" t="s">
        <v>23</v>
      </c>
      <c r="H163" s="9">
        <v>37.6360655650331</v>
      </c>
      <c r="I163" s="9">
        <v>-0.68848406235358095</v>
      </c>
      <c r="J163" s="3">
        <v>1</v>
      </c>
      <c r="K163" s="3">
        <v>1</v>
      </c>
      <c r="L163" s="3">
        <v>0</v>
      </c>
      <c r="M163" s="3">
        <v>0</v>
      </c>
      <c r="N163" s="3" t="s">
        <v>16</v>
      </c>
      <c r="O163" s="3">
        <v>0</v>
      </c>
      <c r="P163" s="3">
        <v>0</v>
      </c>
      <c r="Q163" s="3">
        <v>0</v>
      </c>
      <c r="R163" s="3">
        <v>0</v>
      </c>
      <c r="S163" s="3">
        <v>0</v>
      </c>
      <c r="T163" s="3">
        <v>1</v>
      </c>
      <c r="U163" s="3">
        <v>0</v>
      </c>
      <c r="V163" s="3">
        <v>0</v>
      </c>
      <c r="W163" s="3">
        <v>0</v>
      </c>
      <c r="X163" s="3">
        <v>0</v>
      </c>
      <c r="Y163" s="3">
        <v>0</v>
      </c>
      <c r="Z163" s="3">
        <v>1</v>
      </c>
      <c r="AA163" s="3">
        <v>0</v>
      </c>
      <c r="AB163" s="3">
        <v>0</v>
      </c>
      <c r="AC163" s="3">
        <v>0</v>
      </c>
      <c r="AD163" s="3">
        <v>0</v>
      </c>
      <c r="AE163" s="3" t="s">
        <v>6</v>
      </c>
      <c r="AF163" s="3" t="s">
        <v>1433</v>
      </c>
      <c r="AS163" s="3" t="s">
        <v>17</v>
      </c>
      <c r="AT163" s="3" t="s">
        <v>780</v>
      </c>
      <c r="AU163" s="3" t="s">
        <v>475</v>
      </c>
    </row>
    <row r="164" spans="1:48" x14ac:dyDescent="0.25">
      <c r="A164" t="s">
        <v>1091</v>
      </c>
      <c r="B164" s="7">
        <v>44053</v>
      </c>
      <c r="C164" s="7" t="s">
        <v>844</v>
      </c>
      <c r="D164" s="3" t="s">
        <v>6</v>
      </c>
      <c r="E164" s="3" t="s">
        <v>473</v>
      </c>
      <c r="F164" s="3" t="s">
        <v>54</v>
      </c>
      <c r="G164" s="3" t="s">
        <v>21</v>
      </c>
      <c r="H164" s="9">
        <v>36.711733702794199</v>
      </c>
      <c r="I164" s="9">
        <v>-4.23655445815319</v>
      </c>
      <c r="J164" s="3">
        <v>1</v>
      </c>
      <c r="K164" s="3">
        <v>1</v>
      </c>
      <c r="L164" s="3">
        <v>0</v>
      </c>
      <c r="M164" s="3">
        <v>0</v>
      </c>
      <c r="N164" s="3" t="s">
        <v>16</v>
      </c>
      <c r="O164" s="3">
        <v>0</v>
      </c>
      <c r="P164" s="3">
        <v>0</v>
      </c>
      <c r="Q164" s="3">
        <v>0</v>
      </c>
      <c r="R164" s="3">
        <v>0</v>
      </c>
      <c r="S164" s="3">
        <v>1</v>
      </c>
      <c r="T164" s="3">
        <v>0</v>
      </c>
      <c r="U164" s="3">
        <v>0</v>
      </c>
      <c r="V164" s="3">
        <v>0</v>
      </c>
      <c r="W164" s="3">
        <v>0</v>
      </c>
      <c r="X164" s="3">
        <v>0</v>
      </c>
      <c r="Y164" s="3">
        <v>0</v>
      </c>
      <c r="Z164" s="3">
        <v>1</v>
      </c>
      <c r="AA164" s="3">
        <v>0</v>
      </c>
      <c r="AB164" s="3">
        <v>0</v>
      </c>
      <c r="AC164" s="3">
        <v>0</v>
      </c>
      <c r="AD164" s="3">
        <v>0</v>
      </c>
      <c r="AE164" s="3" t="s">
        <v>6</v>
      </c>
      <c r="AF164" s="3" t="s">
        <v>1433</v>
      </c>
      <c r="AS164" s="3" t="s">
        <v>17</v>
      </c>
      <c r="AT164" s="3" t="s">
        <v>780</v>
      </c>
      <c r="AU164" s="3" t="s">
        <v>474</v>
      </c>
    </row>
    <row r="165" spans="1:48" x14ac:dyDescent="0.25">
      <c r="A165" t="s">
        <v>1092</v>
      </c>
      <c r="B165" s="7">
        <v>43353</v>
      </c>
      <c r="C165" s="7" t="s">
        <v>844</v>
      </c>
      <c r="D165" s="3" t="s">
        <v>6</v>
      </c>
      <c r="E165" s="3" t="s">
        <v>109</v>
      </c>
      <c r="F165" s="3" t="s">
        <v>57</v>
      </c>
      <c r="G165" s="3" t="s">
        <v>21</v>
      </c>
      <c r="H165" s="9">
        <v>36.722615388279799</v>
      </c>
      <c r="I165" s="9">
        <v>-3.7475008963898002</v>
      </c>
      <c r="J165" s="3">
        <v>1</v>
      </c>
      <c r="K165" s="3">
        <v>1</v>
      </c>
      <c r="L165" s="3">
        <v>0</v>
      </c>
      <c r="M165" s="3">
        <v>0</v>
      </c>
      <c r="N165" s="3" t="s">
        <v>16</v>
      </c>
      <c r="O165" s="3">
        <v>0</v>
      </c>
      <c r="P165" s="3">
        <v>0</v>
      </c>
      <c r="Q165" s="3">
        <v>0</v>
      </c>
      <c r="R165" s="3">
        <v>0</v>
      </c>
      <c r="S165" s="3">
        <v>1</v>
      </c>
      <c r="T165" s="3">
        <v>0</v>
      </c>
      <c r="U165" s="3">
        <v>0</v>
      </c>
      <c r="V165" s="3">
        <v>0</v>
      </c>
      <c r="W165" s="3">
        <v>0</v>
      </c>
      <c r="X165" s="3">
        <v>0</v>
      </c>
      <c r="Y165" s="3">
        <v>0</v>
      </c>
      <c r="Z165" s="3">
        <v>1</v>
      </c>
      <c r="AA165" s="3">
        <v>0</v>
      </c>
      <c r="AB165" s="3">
        <v>0</v>
      </c>
      <c r="AC165" s="3">
        <v>0</v>
      </c>
      <c r="AD165" s="3">
        <v>0</v>
      </c>
      <c r="AE165" s="3" t="s">
        <v>6</v>
      </c>
      <c r="AF165" s="3" t="s">
        <v>1433</v>
      </c>
      <c r="AS165" s="3" t="s">
        <v>17</v>
      </c>
      <c r="AT165" s="3" t="s">
        <v>776</v>
      </c>
      <c r="AU165" s="3" t="s">
        <v>484</v>
      </c>
      <c r="AV165" s="3" t="s">
        <v>463</v>
      </c>
    </row>
    <row r="166" spans="1:48" x14ac:dyDescent="0.25">
      <c r="A166" t="s">
        <v>1093</v>
      </c>
      <c r="B166" s="7">
        <v>42912</v>
      </c>
      <c r="C166" s="7" t="s">
        <v>844</v>
      </c>
      <c r="D166" s="3" t="s">
        <v>6</v>
      </c>
      <c r="E166" s="3" t="s">
        <v>485</v>
      </c>
      <c r="F166" s="3" t="s">
        <v>24</v>
      </c>
      <c r="G166" s="3" t="s">
        <v>20</v>
      </c>
      <c r="H166" s="9">
        <v>41.198395429284602</v>
      </c>
      <c r="I166" s="9">
        <v>1.92318494745307</v>
      </c>
      <c r="J166" s="3">
        <v>1</v>
      </c>
      <c r="K166" s="3">
        <v>1</v>
      </c>
      <c r="L166" s="3">
        <v>0</v>
      </c>
      <c r="M166" s="3">
        <v>0</v>
      </c>
      <c r="N166" s="3" t="s">
        <v>16</v>
      </c>
      <c r="O166" s="3">
        <v>0</v>
      </c>
      <c r="P166" s="3">
        <v>0</v>
      </c>
      <c r="Q166" s="3">
        <v>0</v>
      </c>
      <c r="R166" s="3">
        <v>0</v>
      </c>
      <c r="S166" s="3">
        <v>1</v>
      </c>
      <c r="T166" s="3">
        <v>0</v>
      </c>
      <c r="U166" s="3">
        <v>0</v>
      </c>
      <c r="V166" s="3">
        <v>0</v>
      </c>
      <c r="W166" s="3">
        <v>0</v>
      </c>
      <c r="X166" s="3">
        <v>0</v>
      </c>
      <c r="Y166" s="3">
        <v>0</v>
      </c>
      <c r="Z166" s="3">
        <v>1</v>
      </c>
      <c r="AA166" s="3">
        <v>0</v>
      </c>
      <c r="AB166" s="3">
        <v>0</v>
      </c>
      <c r="AC166" s="3">
        <v>0</v>
      </c>
      <c r="AD166" s="3">
        <v>0</v>
      </c>
      <c r="AE166" s="3" t="s">
        <v>6</v>
      </c>
      <c r="AF166" s="3" t="s">
        <v>1433</v>
      </c>
      <c r="AS166" s="3" t="s">
        <v>17</v>
      </c>
      <c r="AT166" s="3" t="s">
        <v>776</v>
      </c>
      <c r="AU166" s="3" t="s">
        <v>486</v>
      </c>
      <c r="AV166" s="3" t="s">
        <v>316</v>
      </c>
    </row>
    <row r="167" spans="1:48" x14ac:dyDescent="0.25">
      <c r="A167" t="s">
        <v>1094</v>
      </c>
      <c r="B167" s="7">
        <v>45486</v>
      </c>
      <c r="C167" s="7" t="s">
        <v>844</v>
      </c>
      <c r="D167" s="3" t="s">
        <v>6</v>
      </c>
      <c r="E167" s="3" t="s">
        <v>506</v>
      </c>
      <c r="F167" s="3" t="s">
        <v>24</v>
      </c>
      <c r="G167" s="3" t="s">
        <v>20</v>
      </c>
      <c r="H167" s="9">
        <v>41.6434587931276</v>
      </c>
      <c r="I167" s="9">
        <v>2.7491340779860001</v>
      </c>
      <c r="J167" s="3">
        <v>1</v>
      </c>
      <c r="K167" s="3">
        <v>1</v>
      </c>
      <c r="L167" s="3">
        <v>0</v>
      </c>
      <c r="M167" s="3">
        <v>0</v>
      </c>
      <c r="N167" s="3" t="s">
        <v>66</v>
      </c>
      <c r="O167" s="3">
        <v>0</v>
      </c>
      <c r="P167" s="3">
        <v>1</v>
      </c>
      <c r="Q167" s="3">
        <v>0</v>
      </c>
      <c r="R167" s="3">
        <v>0</v>
      </c>
      <c r="S167" s="3">
        <v>0</v>
      </c>
      <c r="T167" s="3">
        <v>0</v>
      </c>
      <c r="U167" s="3">
        <v>1</v>
      </c>
      <c r="V167" s="3">
        <v>0</v>
      </c>
      <c r="W167" s="3">
        <v>0</v>
      </c>
      <c r="X167" s="3">
        <v>0</v>
      </c>
      <c r="Y167" s="3">
        <v>0</v>
      </c>
      <c r="Z167" s="3">
        <v>0</v>
      </c>
      <c r="AA167" s="3">
        <v>0</v>
      </c>
      <c r="AB167" s="3">
        <v>0</v>
      </c>
      <c r="AC167" s="3">
        <v>0</v>
      </c>
      <c r="AD167" s="3">
        <v>0</v>
      </c>
      <c r="AE167" s="3" t="s">
        <v>6</v>
      </c>
      <c r="AF167" s="3">
        <f>SUM(AH167:AL167)</f>
        <v>0</v>
      </c>
      <c r="AS167" s="3" t="s">
        <v>17</v>
      </c>
      <c r="AT167" s="3" t="s">
        <v>776</v>
      </c>
      <c r="AU167" s="3" t="s">
        <v>487</v>
      </c>
    </row>
    <row r="168" spans="1:48" x14ac:dyDescent="0.25">
      <c r="A168" t="s">
        <v>1095</v>
      </c>
      <c r="B168" s="7">
        <v>44017</v>
      </c>
      <c r="C168" s="7" t="s">
        <v>844</v>
      </c>
      <c r="D168" s="3" t="s">
        <v>6</v>
      </c>
      <c r="E168" s="3" t="s">
        <v>71</v>
      </c>
      <c r="F168" s="3" t="s">
        <v>23</v>
      </c>
      <c r="G168" s="3" t="s">
        <v>23</v>
      </c>
      <c r="H168" s="9">
        <v>37.555522351461903</v>
      </c>
      <c r="I168" s="9">
        <v>-1.1842242039168001</v>
      </c>
      <c r="J168" s="3">
        <v>2</v>
      </c>
      <c r="K168" s="3">
        <v>2</v>
      </c>
      <c r="L168" s="3">
        <v>0</v>
      </c>
      <c r="M168" s="3">
        <v>0</v>
      </c>
      <c r="N168" s="3" t="s">
        <v>66</v>
      </c>
      <c r="O168" s="3">
        <v>0</v>
      </c>
      <c r="P168" s="3">
        <v>2</v>
      </c>
      <c r="Q168" s="3">
        <v>0</v>
      </c>
      <c r="R168" s="3">
        <v>0</v>
      </c>
      <c r="S168" s="3">
        <v>0</v>
      </c>
      <c r="T168" s="3">
        <v>0</v>
      </c>
      <c r="U168" s="3">
        <v>2</v>
      </c>
      <c r="V168" s="3">
        <v>0</v>
      </c>
      <c r="W168" s="3">
        <v>0</v>
      </c>
      <c r="X168" s="3">
        <v>0</v>
      </c>
      <c r="Y168" s="3">
        <v>0</v>
      </c>
      <c r="Z168" s="3">
        <v>0</v>
      </c>
      <c r="AA168" s="3">
        <v>0</v>
      </c>
      <c r="AB168" s="3">
        <v>0</v>
      </c>
      <c r="AC168" s="3">
        <v>0</v>
      </c>
      <c r="AD168" s="3">
        <v>0</v>
      </c>
      <c r="AE168" s="3" t="s">
        <v>6</v>
      </c>
      <c r="AF168" s="3">
        <f>SUM(AH168:AL168)</f>
        <v>0</v>
      </c>
      <c r="AS168" s="3" t="s">
        <v>17</v>
      </c>
      <c r="AT168" s="3" t="s">
        <v>776</v>
      </c>
      <c r="AU168" s="3" t="s">
        <v>488</v>
      </c>
      <c r="AV168" s="3" t="s">
        <v>463</v>
      </c>
    </row>
    <row r="169" spans="1:48" x14ac:dyDescent="0.25">
      <c r="A169" t="s">
        <v>1096</v>
      </c>
      <c r="B169" s="7">
        <v>44104</v>
      </c>
      <c r="C169" s="7" t="s">
        <v>844</v>
      </c>
      <c r="D169" s="3" t="s">
        <v>6</v>
      </c>
      <c r="E169" s="3" t="s">
        <v>71</v>
      </c>
      <c r="F169" s="3" t="s">
        <v>23</v>
      </c>
      <c r="G169" s="3" t="s">
        <v>23</v>
      </c>
      <c r="H169" s="9">
        <v>37.547107914146601</v>
      </c>
      <c r="I169" s="9">
        <v>-1.1809222373813699</v>
      </c>
      <c r="J169" s="3">
        <v>1</v>
      </c>
      <c r="K169" s="3">
        <v>1</v>
      </c>
      <c r="L169" s="3">
        <v>0</v>
      </c>
      <c r="M169" s="3">
        <v>0</v>
      </c>
      <c r="N169" s="3" t="s">
        <v>16</v>
      </c>
      <c r="O169" s="3">
        <v>0</v>
      </c>
      <c r="P169" s="3">
        <v>0</v>
      </c>
      <c r="Q169" s="3">
        <v>0</v>
      </c>
      <c r="R169" s="3">
        <v>0</v>
      </c>
      <c r="S169" s="3">
        <v>1</v>
      </c>
      <c r="T169" s="3">
        <v>0</v>
      </c>
      <c r="U169" s="3">
        <v>0</v>
      </c>
      <c r="V169" s="3">
        <v>0</v>
      </c>
      <c r="W169" s="3">
        <v>0</v>
      </c>
      <c r="X169" s="3">
        <v>0</v>
      </c>
      <c r="Y169" s="3">
        <v>0</v>
      </c>
      <c r="Z169" s="3">
        <v>1</v>
      </c>
      <c r="AA169" s="3">
        <v>0</v>
      </c>
      <c r="AB169" s="3">
        <v>0</v>
      </c>
      <c r="AC169" s="3">
        <v>0</v>
      </c>
      <c r="AD169" s="3">
        <v>0</v>
      </c>
      <c r="AE169" s="3" t="s">
        <v>6</v>
      </c>
      <c r="AF169" s="3" t="s">
        <v>1433</v>
      </c>
      <c r="AS169" s="3" t="s">
        <v>17</v>
      </c>
      <c r="AT169" s="3" t="s">
        <v>776</v>
      </c>
      <c r="AU169" s="3" t="s">
        <v>489</v>
      </c>
      <c r="AV169" s="3" t="s">
        <v>463</v>
      </c>
    </row>
    <row r="170" spans="1:48" x14ac:dyDescent="0.25">
      <c r="A170" t="s">
        <v>1097</v>
      </c>
      <c r="B170" s="7">
        <v>45531</v>
      </c>
      <c r="C170" s="7" t="s">
        <v>844</v>
      </c>
      <c r="D170" s="3" t="s">
        <v>6</v>
      </c>
      <c r="E170" s="3" t="s">
        <v>89</v>
      </c>
      <c r="F170" s="3" t="s">
        <v>47</v>
      </c>
      <c r="G170" s="3" t="s">
        <v>21</v>
      </c>
      <c r="H170" s="9">
        <v>36.7423353454585</v>
      </c>
      <c r="I170" s="9">
        <v>-2.1078587253399101</v>
      </c>
      <c r="J170" s="3">
        <v>1</v>
      </c>
      <c r="K170" s="3">
        <v>1</v>
      </c>
      <c r="L170" s="3">
        <v>0</v>
      </c>
      <c r="M170" s="3">
        <v>0</v>
      </c>
      <c r="N170" s="3" t="s">
        <v>16</v>
      </c>
      <c r="O170" s="3">
        <v>0</v>
      </c>
      <c r="P170" s="3">
        <v>0</v>
      </c>
      <c r="Q170" s="3">
        <v>0</v>
      </c>
      <c r="R170" s="3">
        <v>0</v>
      </c>
      <c r="S170" s="3">
        <v>1</v>
      </c>
      <c r="T170" s="3">
        <v>0</v>
      </c>
      <c r="U170" s="3">
        <v>0</v>
      </c>
      <c r="V170" s="3">
        <v>0</v>
      </c>
      <c r="W170" s="3">
        <v>0</v>
      </c>
      <c r="X170" s="3">
        <v>0</v>
      </c>
      <c r="Y170" s="3">
        <v>0</v>
      </c>
      <c r="Z170" s="3">
        <v>1</v>
      </c>
      <c r="AA170" s="3">
        <v>0</v>
      </c>
      <c r="AB170" s="3">
        <v>0</v>
      </c>
      <c r="AC170" s="3">
        <v>0</v>
      </c>
      <c r="AD170" s="3">
        <v>0</v>
      </c>
      <c r="AE170" s="3" t="s">
        <v>6</v>
      </c>
      <c r="AF170" s="3" t="s">
        <v>1433</v>
      </c>
      <c r="AS170" s="3" t="s">
        <v>17</v>
      </c>
      <c r="AT170" s="3" t="s">
        <v>776</v>
      </c>
      <c r="AU170" s="3" t="s">
        <v>490</v>
      </c>
      <c r="AV170" s="3" t="s">
        <v>463</v>
      </c>
    </row>
    <row r="171" spans="1:48" x14ac:dyDescent="0.25">
      <c r="A171" t="s">
        <v>1098</v>
      </c>
      <c r="B171" s="7">
        <v>45534</v>
      </c>
      <c r="C171" s="7" t="s">
        <v>844</v>
      </c>
      <c r="D171" s="3" t="s">
        <v>6</v>
      </c>
      <c r="E171" s="3" t="s">
        <v>491</v>
      </c>
      <c r="F171" s="3" t="s">
        <v>59</v>
      </c>
      <c r="G171" s="3" t="s">
        <v>20</v>
      </c>
      <c r="H171" s="9">
        <v>42.3073259104806</v>
      </c>
      <c r="I171" s="9">
        <v>3.3210662146379701</v>
      </c>
      <c r="J171" s="3">
        <v>1</v>
      </c>
      <c r="K171" s="3">
        <v>1</v>
      </c>
      <c r="L171" s="3">
        <v>0</v>
      </c>
      <c r="M171" s="3">
        <v>0</v>
      </c>
      <c r="N171" s="3" t="s">
        <v>16</v>
      </c>
      <c r="O171" s="3">
        <v>0</v>
      </c>
      <c r="P171" s="3">
        <v>0</v>
      </c>
      <c r="Q171" s="3">
        <v>0</v>
      </c>
      <c r="R171" s="3">
        <v>0</v>
      </c>
      <c r="S171" s="3">
        <v>1</v>
      </c>
      <c r="T171" s="3">
        <v>0</v>
      </c>
      <c r="U171" s="3">
        <v>0</v>
      </c>
      <c r="V171" s="3">
        <v>0</v>
      </c>
      <c r="W171" s="3">
        <v>0</v>
      </c>
      <c r="X171" s="3">
        <v>0</v>
      </c>
      <c r="Y171" s="3">
        <v>0</v>
      </c>
      <c r="Z171" s="3">
        <v>1</v>
      </c>
      <c r="AA171" s="3">
        <v>0</v>
      </c>
      <c r="AB171" s="3">
        <v>0</v>
      </c>
      <c r="AC171" s="3">
        <v>0</v>
      </c>
      <c r="AD171" s="3">
        <v>0</v>
      </c>
      <c r="AE171" s="3" t="s">
        <v>6</v>
      </c>
      <c r="AF171" s="3" t="s">
        <v>1433</v>
      </c>
      <c r="AS171" s="3" t="s">
        <v>17</v>
      </c>
      <c r="AT171" s="3" t="s">
        <v>776</v>
      </c>
      <c r="AU171" s="3" t="s">
        <v>492</v>
      </c>
      <c r="AV171" s="3" t="s">
        <v>463</v>
      </c>
    </row>
    <row r="172" spans="1:48" x14ac:dyDescent="0.25">
      <c r="A172" t="s">
        <v>1099</v>
      </c>
      <c r="B172" s="7">
        <v>43925</v>
      </c>
      <c r="C172" s="7" t="s">
        <v>842</v>
      </c>
      <c r="D172" s="3" t="s">
        <v>6</v>
      </c>
      <c r="E172" s="3" t="s">
        <v>96</v>
      </c>
      <c r="F172" s="3" t="s">
        <v>59</v>
      </c>
      <c r="G172" s="3" t="s">
        <v>20</v>
      </c>
      <c r="H172" s="9">
        <v>41.721116490455699</v>
      </c>
      <c r="I172" s="9">
        <v>2.94121792608468</v>
      </c>
      <c r="J172" s="3">
        <v>1</v>
      </c>
      <c r="K172" s="3">
        <v>1</v>
      </c>
      <c r="L172" s="3">
        <v>0</v>
      </c>
      <c r="M172" s="3">
        <v>0</v>
      </c>
      <c r="N172" s="3" t="s">
        <v>66</v>
      </c>
      <c r="O172" s="3">
        <v>0</v>
      </c>
      <c r="P172" s="3">
        <v>1</v>
      </c>
      <c r="Q172" s="3">
        <v>0</v>
      </c>
      <c r="R172" s="3">
        <v>0</v>
      </c>
      <c r="S172" s="3">
        <v>0</v>
      </c>
      <c r="T172" s="3">
        <v>0</v>
      </c>
      <c r="U172" s="3">
        <v>1</v>
      </c>
      <c r="V172" s="3">
        <v>0</v>
      </c>
      <c r="W172" s="3">
        <v>0</v>
      </c>
      <c r="X172" s="3">
        <v>0</v>
      </c>
      <c r="Y172" s="3">
        <v>0</v>
      </c>
      <c r="Z172" s="3">
        <v>0</v>
      </c>
      <c r="AA172" s="3">
        <v>0</v>
      </c>
      <c r="AB172" s="3">
        <v>0</v>
      </c>
      <c r="AC172" s="3">
        <v>0</v>
      </c>
      <c r="AD172" s="3">
        <v>0</v>
      </c>
      <c r="AE172" s="3" t="s">
        <v>6</v>
      </c>
      <c r="AF172" s="3">
        <f>SUM(AH172:AL172)</f>
        <v>0</v>
      </c>
      <c r="AS172" s="3" t="s">
        <v>17</v>
      </c>
      <c r="AT172" s="3" t="s">
        <v>776</v>
      </c>
      <c r="AU172" s="3" t="s">
        <v>493</v>
      </c>
      <c r="AV172" s="3" t="s">
        <v>742</v>
      </c>
    </row>
    <row r="173" spans="1:48" x14ac:dyDescent="0.25">
      <c r="A173" t="s">
        <v>1100</v>
      </c>
      <c r="B173" s="7">
        <v>43333</v>
      </c>
      <c r="C173" s="7" t="s">
        <v>844</v>
      </c>
      <c r="D173" s="3" t="s">
        <v>6</v>
      </c>
      <c r="E173" s="3" t="s">
        <v>83</v>
      </c>
      <c r="F173" s="3" t="s">
        <v>25</v>
      </c>
      <c r="G173" s="3" t="s">
        <v>19</v>
      </c>
      <c r="H173" s="9">
        <v>38.678375804546299</v>
      </c>
      <c r="I173" s="9">
        <v>0.138785592515654</v>
      </c>
      <c r="J173" s="3">
        <v>1</v>
      </c>
      <c r="K173" s="3">
        <v>1</v>
      </c>
      <c r="L173" s="3">
        <v>0</v>
      </c>
      <c r="M173" s="3">
        <v>0</v>
      </c>
      <c r="N173" s="3" t="s">
        <v>66</v>
      </c>
      <c r="O173" s="3">
        <v>0</v>
      </c>
      <c r="P173" s="3">
        <v>1</v>
      </c>
      <c r="Q173" s="3">
        <v>0</v>
      </c>
      <c r="R173" s="3">
        <v>0</v>
      </c>
      <c r="S173" s="3">
        <v>0</v>
      </c>
      <c r="T173" s="3">
        <v>0</v>
      </c>
      <c r="U173" s="3">
        <v>1</v>
      </c>
      <c r="V173" s="3">
        <v>0</v>
      </c>
      <c r="W173" s="3">
        <v>0</v>
      </c>
      <c r="X173" s="3">
        <v>0</v>
      </c>
      <c r="Y173" s="3">
        <v>0</v>
      </c>
      <c r="Z173" s="3">
        <v>0</v>
      </c>
      <c r="AA173" s="3">
        <v>0</v>
      </c>
      <c r="AB173" s="3">
        <v>0</v>
      </c>
      <c r="AC173" s="3">
        <v>0</v>
      </c>
      <c r="AD173" s="3">
        <v>0</v>
      </c>
      <c r="AE173" s="3" t="s">
        <v>6</v>
      </c>
      <c r="AF173" s="3">
        <f>SUM(AH173:AL173)</f>
        <v>0</v>
      </c>
      <c r="AS173" s="3" t="s">
        <v>17</v>
      </c>
      <c r="AT173" s="3" t="s">
        <v>776</v>
      </c>
      <c r="AU173" s="3" t="s">
        <v>494</v>
      </c>
      <c r="AV173" s="3" t="s">
        <v>463</v>
      </c>
    </row>
    <row r="174" spans="1:48" x14ac:dyDescent="0.25">
      <c r="A174" t="s">
        <v>1101</v>
      </c>
      <c r="B174" s="7">
        <v>44038</v>
      </c>
      <c r="C174" s="7" t="s">
        <v>844</v>
      </c>
      <c r="D174" s="3" t="s">
        <v>6</v>
      </c>
      <c r="E174" s="3" t="s">
        <v>495</v>
      </c>
      <c r="F174" s="3" t="s">
        <v>25</v>
      </c>
      <c r="G174" s="3" t="s">
        <v>19</v>
      </c>
      <c r="H174" s="9">
        <v>38.8345239500565</v>
      </c>
      <c r="I174" s="9">
        <v>0.13406102099554501</v>
      </c>
      <c r="J174" s="3">
        <v>1</v>
      </c>
      <c r="K174" s="3">
        <v>1</v>
      </c>
      <c r="L174" s="3">
        <v>0</v>
      </c>
      <c r="M174" s="3">
        <v>0</v>
      </c>
      <c r="N174" s="3" t="s">
        <v>16</v>
      </c>
      <c r="O174" s="3">
        <v>0</v>
      </c>
      <c r="P174" s="3">
        <v>0</v>
      </c>
      <c r="Q174" s="3">
        <v>0</v>
      </c>
      <c r="R174" s="3">
        <v>0</v>
      </c>
      <c r="S174" s="3">
        <v>0</v>
      </c>
      <c r="T174" s="3">
        <v>1</v>
      </c>
      <c r="U174" s="3">
        <v>0</v>
      </c>
      <c r="V174" s="3">
        <v>0</v>
      </c>
      <c r="W174" s="3">
        <v>0</v>
      </c>
      <c r="X174" s="3">
        <v>0</v>
      </c>
      <c r="Y174" s="3">
        <v>0</v>
      </c>
      <c r="Z174" s="3">
        <v>1</v>
      </c>
      <c r="AA174" s="3">
        <v>0</v>
      </c>
      <c r="AB174" s="3">
        <v>0</v>
      </c>
      <c r="AC174" s="3">
        <v>0</v>
      </c>
      <c r="AD174" s="3">
        <v>0</v>
      </c>
      <c r="AE174" s="3" t="s">
        <v>6</v>
      </c>
      <c r="AF174" s="3" t="s">
        <v>1433</v>
      </c>
      <c r="AS174" s="3" t="s">
        <v>17</v>
      </c>
      <c r="AT174" s="3" t="s">
        <v>776</v>
      </c>
      <c r="AU174" s="3" t="s">
        <v>496</v>
      </c>
    </row>
    <row r="175" spans="1:48" x14ac:dyDescent="0.25">
      <c r="A175" t="s">
        <v>1102</v>
      </c>
      <c r="B175" s="7">
        <v>44065</v>
      </c>
      <c r="C175" s="7" t="s">
        <v>844</v>
      </c>
      <c r="D175" s="3" t="s">
        <v>6</v>
      </c>
      <c r="E175" s="3" t="s">
        <v>128</v>
      </c>
      <c r="F175" s="3" t="s">
        <v>23</v>
      </c>
      <c r="G175" s="3" t="s">
        <v>23</v>
      </c>
      <c r="H175" s="9">
        <v>37.576737830863102</v>
      </c>
      <c r="I175" s="9">
        <v>-0.98768560240091396</v>
      </c>
      <c r="J175" s="3">
        <v>1</v>
      </c>
      <c r="K175" s="3">
        <v>1</v>
      </c>
      <c r="L175" s="3">
        <v>0</v>
      </c>
      <c r="M175" s="3">
        <v>0</v>
      </c>
      <c r="N175" s="3" t="s">
        <v>16</v>
      </c>
      <c r="O175" s="3">
        <v>0</v>
      </c>
      <c r="P175" s="3">
        <v>0</v>
      </c>
      <c r="Q175" s="3">
        <v>0</v>
      </c>
      <c r="R175" s="3">
        <v>0</v>
      </c>
      <c r="S175" s="3">
        <v>1</v>
      </c>
      <c r="T175" s="3">
        <v>0</v>
      </c>
      <c r="U175" s="3">
        <v>0</v>
      </c>
      <c r="V175" s="3">
        <v>0</v>
      </c>
      <c r="W175" s="3">
        <v>0</v>
      </c>
      <c r="X175" s="3">
        <v>0</v>
      </c>
      <c r="Y175" s="3">
        <v>0</v>
      </c>
      <c r="Z175" s="3">
        <v>1</v>
      </c>
      <c r="AA175" s="3">
        <v>0</v>
      </c>
      <c r="AB175" s="3">
        <v>0</v>
      </c>
      <c r="AC175" s="3">
        <v>0</v>
      </c>
      <c r="AD175" s="3">
        <v>0</v>
      </c>
      <c r="AE175" s="3" t="s">
        <v>6</v>
      </c>
      <c r="AF175" s="3" t="s">
        <v>1433</v>
      </c>
      <c r="AS175" s="3" t="s">
        <v>17</v>
      </c>
      <c r="AT175" s="3" t="s">
        <v>776</v>
      </c>
      <c r="AU175" s="3" t="s">
        <v>497</v>
      </c>
      <c r="AV175" s="3" t="s">
        <v>241</v>
      </c>
    </row>
    <row r="176" spans="1:48" x14ac:dyDescent="0.25">
      <c r="A176" t="s">
        <v>1103</v>
      </c>
      <c r="B176" s="7">
        <v>44030</v>
      </c>
      <c r="C176" s="7" t="s">
        <v>844</v>
      </c>
      <c r="D176" s="3" t="s">
        <v>6</v>
      </c>
      <c r="E176" s="3" t="s">
        <v>128</v>
      </c>
      <c r="F176" s="3" t="s">
        <v>23</v>
      </c>
      <c r="G176" s="3" t="s">
        <v>23</v>
      </c>
      <c r="H176" s="9">
        <v>37.576737830863102</v>
      </c>
      <c r="I176" s="9">
        <v>-0.98768560240091396</v>
      </c>
      <c r="J176" s="3">
        <v>1</v>
      </c>
      <c r="K176" s="3">
        <v>1</v>
      </c>
      <c r="L176" s="3">
        <v>0</v>
      </c>
      <c r="M176" s="3">
        <v>0</v>
      </c>
      <c r="N176" s="3" t="s">
        <v>16</v>
      </c>
      <c r="O176" s="3">
        <v>0</v>
      </c>
      <c r="P176" s="3">
        <v>0</v>
      </c>
      <c r="Q176" s="3">
        <v>0</v>
      </c>
      <c r="R176" s="3">
        <v>0</v>
      </c>
      <c r="S176" s="3">
        <v>1</v>
      </c>
      <c r="T176" s="3">
        <v>0</v>
      </c>
      <c r="U176" s="3">
        <v>0</v>
      </c>
      <c r="V176" s="3">
        <v>0</v>
      </c>
      <c r="W176" s="3">
        <v>0</v>
      </c>
      <c r="X176" s="3">
        <v>0</v>
      </c>
      <c r="Y176" s="3">
        <v>0</v>
      </c>
      <c r="Z176" s="3">
        <v>1</v>
      </c>
      <c r="AA176" s="3">
        <v>0</v>
      </c>
      <c r="AB176" s="3">
        <v>0</v>
      </c>
      <c r="AC176" s="3">
        <v>0</v>
      </c>
      <c r="AD176" s="3">
        <v>0</v>
      </c>
      <c r="AE176" s="3" t="s">
        <v>6</v>
      </c>
      <c r="AF176" s="3" t="s">
        <v>1433</v>
      </c>
      <c r="AS176" s="3" t="s">
        <v>17</v>
      </c>
      <c r="AT176" s="3" t="s">
        <v>776</v>
      </c>
      <c r="AU176" s="3" t="s">
        <v>498</v>
      </c>
      <c r="AV176" s="3" t="s">
        <v>463</v>
      </c>
    </row>
    <row r="177" spans="1:48" x14ac:dyDescent="0.25">
      <c r="A177" t="s">
        <v>1104</v>
      </c>
      <c r="B177" s="7">
        <v>44766</v>
      </c>
      <c r="C177" s="7" t="s">
        <v>844</v>
      </c>
      <c r="D177" s="3" t="s">
        <v>6</v>
      </c>
      <c r="E177" s="3" t="s">
        <v>123</v>
      </c>
      <c r="F177" s="3" t="s">
        <v>23</v>
      </c>
      <c r="G177" s="3" t="s">
        <v>23</v>
      </c>
      <c r="H177" s="9">
        <v>37.537703269641199</v>
      </c>
      <c r="I177" s="9">
        <v>-1.1415961744989001</v>
      </c>
      <c r="J177" s="3">
        <v>2</v>
      </c>
      <c r="K177" s="3">
        <v>2</v>
      </c>
      <c r="L177" s="3">
        <v>0</v>
      </c>
      <c r="M177" s="3">
        <v>0</v>
      </c>
      <c r="N177" s="3" t="s">
        <v>16</v>
      </c>
      <c r="O177" s="3">
        <v>0</v>
      </c>
      <c r="P177" s="3">
        <v>0</v>
      </c>
      <c r="Q177" s="3">
        <v>0</v>
      </c>
      <c r="R177" s="3">
        <v>1</v>
      </c>
      <c r="S177" s="3">
        <v>1</v>
      </c>
      <c r="T177" s="3">
        <v>0</v>
      </c>
      <c r="U177" s="3">
        <v>0</v>
      </c>
      <c r="V177" s="3">
        <v>0</v>
      </c>
      <c r="W177" s="3">
        <v>0</v>
      </c>
      <c r="X177" s="3">
        <v>0</v>
      </c>
      <c r="Y177" s="3">
        <v>0</v>
      </c>
      <c r="Z177" s="3">
        <v>2</v>
      </c>
      <c r="AA177" s="3">
        <v>0</v>
      </c>
      <c r="AB177" s="3">
        <v>0</v>
      </c>
      <c r="AC177" s="3">
        <v>0</v>
      </c>
      <c r="AD177" s="3">
        <v>0</v>
      </c>
      <c r="AE177" s="3" t="s">
        <v>6</v>
      </c>
      <c r="AF177" s="3" t="s">
        <v>1433</v>
      </c>
      <c r="AS177" s="3" t="s">
        <v>17</v>
      </c>
      <c r="AT177" s="3" t="s">
        <v>776</v>
      </c>
      <c r="AU177" s="3" t="s">
        <v>499</v>
      </c>
      <c r="AV177" s="3" t="s">
        <v>234</v>
      </c>
    </row>
    <row r="178" spans="1:48" x14ac:dyDescent="0.25">
      <c r="A178" t="s">
        <v>1105</v>
      </c>
      <c r="B178" s="7">
        <v>44799</v>
      </c>
      <c r="C178" s="7" t="s">
        <v>844</v>
      </c>
      <c r="D178" s="3" t="s">
        <v>6</v>
      </c>
      <c r="E178" s="3" t="s">
        <v>89</v>
      </c>
      <c r="F178" s="3" t="s">
        <v>47</v>
      </c>
      <c r="G178" s="3" t="s">
        <v>21</v>
      </c>
      <c r="H178" s="9">
        <v>36.7423353454585</v>
      </c>
      <c r="I178" s="9">
        <v>-2.1078587253399101</v>
      </c>
      <c r="J178" s="3">
        <v>1</v>
      </c>
      <c r="K178" s="3">
        <v>1</v>
      </c>
      <c r="L178" s="3">
        <v>0</v>
      </c>
      <c r="M178" s="3">
        <v>0</v>
      </c>
      <c r="N178" s="3" t="s">
        <v>16</v>
      </c>
      <c r="O178" s="3">
        <v>0</v>
      </c>
      <c r="P178" s="3">
        <v>0</v>
      </c>
      <c r="Q178" s="3">
        <v>0</v>
      </c>
      <c r="R178" s="3">
        <v>0</v>
      </c>
      <c r="S178" s="3">
        <v>0</v>
      </c>
      <c r="T178" s="3">
        <v>1</v>
      </c>
      <c r="U178" s="3">
        <v>0</v>
      </c>
      <c r="V178" s="3">
        <v>0</v>
      </c>
      <c r="W178" s="3">
        <v>0</v>
      </c>
      <c r="X178" s="3">
        <v>0</v>
      </c>
      <c r="Y178" s="3">
        <v>0</v>
      </c>
      <c r="Z178" s="3">
        <v>1</v>
      </c>
      <c r="AA178" s="3">
        <v>0</v>
      </c>
      <c r="AB178" s="3">
        <v>0</v>
      </c>
      <c r="AC178" s="3">
        <v>0</v>
      </c>
      <c r="AD178" s="3">
        <v>0</v>
      </c>
      <c r="AE178" s="3" t="s">
        <v>6</v>
      </c>
      <c r="AF178" s="3" t="s">
        <v>1433</v>
      </c>
      <c r="AS178" s="3" t="s">
        <v>17</v>
      </c>
      <c r="AT178" s="3" t="s">
        <v>776</v>
      </c>
      <c r="AU178" s="3" t="s">
        <v>500</v>
      </c>
    </row>
    <row r="179" spans="1:48" x14ac:dyDescent="0.25">
      <c r="A179" t="s">
        <v>1106</v>
      </c>
      <c r="B179" s="7">
        <v>45499</v>
      </c>
      <c r="C179" s="7" t="s">
        <v>844</v>
      </c>
      <c r="D179" s="3" t="s">
        <v>6</v>
      </c>
      <c r="E179" s="3" t="s">
        <v>328</v>
      </c>
      <c r="F179" s="3" t="s">
        <v>23</v>
      </c>
      <c r="G179" s="3" t="s">
        <v>23</v>
      </c>
      <c r="H179" s="9">
        <v>37.505897987182799</v>
      </c>
      <c r="I179" s="9">
        <v>-1.3985022881009701</v>
      </c>
      <c r="J179" s="3">
        <v>1</v>
      </c>
      <c r="K179" s="3">
        <v>1</v>
      </c>
      <c r="L179" s="3">
        <v>0</v>
      </c>
      <c r="M179" s="3">
        <v>0</v>
      </c>
      <c r="N179" s="3" t="s">
        <v>16</v>
      </c>
      <c r="O179" s="3">
        <v>0</v>
      </c>
      <c r="P179" s="3">
        <v>0</v>
      </c>
      <c r="Q179" s="3">
        <v>0</v>
      </c>
      <c r="R179" s="3">
        <v>0</v>
      </c>
      <c r="S179" s="3">
        <v>1</v>
      </c>
      <c r="T179" s="3">
        <v>0</v>
      </c>
      <c r="U179" s="3">
        <v>0</v>
      </c>
      <c r="V179" s="3">
        <v>0</v>
      </c>
      <c r="W179" s="3">
        <v>0</v>
      </c>
      <c r="X179" s="3">
        <v>0</v>
      </c>
      <c r="Y179" s="3">
        <v>0</v>
      </c>
      <c r="Z179" s="3">
        <v>1</v>
      </c>
      <c r="AA179" s="3">
        <v>0</v>
      </c>
      <c r="AB179" s="3">
        <v>0</v>
      </c>
      <c r="AC179" s="3">
        <v>0</v>
      </c>
      <c r="AD179" s="3">
        <v>0</v>
      </c>
      <c r="AE179" s="3" t="s">
        <v>6</v>
      </c>
      <c r="AF179" s="3" t="s">
        <v>1433</v>
      </c>
      <c r="AS179" s="3" t="s">
        <v>17</v>
      </c>
      <c r="AT179" s="3" t="s">
        <v>776</v>
      </c>
      <c r="AU179" s="3" t="s">
        <v>501</v>
      </c>
      <c r="AV179" s="3" t="s">
        <v>463</v>
      </c>
    </row>
    <row r="180" spans="1:48" x14ac:dyDescent="0.25">
      <c r="A180" t="s">
        <v>1107</v>
      </c>
      <c r="B180" s="7">
        <v>44785</v>
      </c>
      <c r="C180" s="7" t="s">
        <v>844</v>
      </c>
      <c r="D180" s="3" t="s">
        <v>6</v>
      </c>
      <c r="E180" s="3" t="s">
        <v>502</v>
      </c>
      <c r="F180" s="3" t="s">
        <v>24</v>
      </c>
      <c r="G180" s="3" t="s">
        <v>20</v>
      </c>
      <c r="H180" s="9">
        <v>41.5992040971677</v>
      </c>
      <c r="I180" s="9">
        <v>2.6248800725142298</v>
      </c>
      <c r="J180" s="3">
        <v>1</v>
      </c>
      <c r="K180" s="3">
        <v>1</v>
      </c>
      <c r="L180" s="3">
        <v>0</v>
      </c>
      <c r="M180" s="3">
        <v>0</v>
      </c>
      <c r="N180" s="3" t="s">
        <v>66</v>
      </c>
      <c r="O180" s="3">
        <v>0</v>
      </c>
      <c r="P180" s="3">
        <v>1</v>
      </c>
      <c r="Q180" s="3">
        <v>0</v>
      </c>
      <c r="R180" s="3">
        <v>0</v>
      </c>
      <c r="S180" s="3">
        <v>0</v>
      </c>
      <c r="T180" s="3">
        <v>0</v>
      </c>
      <c r="U180" s="3">
        <v>1</v>
      </c>
      <c r="V180" s="3">
        <v>0</v>
      </c>
      <c r="W180" s="3">
        <v>0</v>
      </c>
      <c r="X180" s="3">
        <v>0</v>
      </c>
      <c r="Y180" s="3">
        <v>0</v>
      </c>
      <c r="Z180" s="3">
        <v>0</v>
      </c>
      <c r="AA180" s="3">
        <v>0</v>
      </c>
      <c r="AB180" s="3">
        <v>0</v>
      </c>
      <c r="AC180" s="3">
        <v>0</v>
      </c>
      <c r="AD180" s="3">
        <v>0</v>
      </c>
      <c r="AE180" s="3" t="s">
        <v>6</v>
      </c>
      <c r="AF180" s="3">
        <f>SUM(AH180:AL180)</f>
        <v>0</v>
      </c>
      <c r="AS180" s="3" t="s">
        <v>17</v>
      </c>
      <c r="AT180" s="3" t="s">
        <v>776</v>
      </c>
      <c r="AU180" s="3" t="s">
        <v>503</v>
      </c>
      <c r="AV180" s="3" t="s">
        <v>333</v>
      </c>
    </row>
    <row r="181" spans="1:48" x14ac:dyDescent="0.25">
      <c r="A181" t="s">
        <v>1108</v>
      </c>
      <c r="B181" s="7">
        <v>43988</v>
      </c>
      <c r="C181" s="7" t="s">
        <v>844</v>
      </c>
      <c r="D181" s="3" t="s">
        <v>6</v>
      </c>
      <c r="E181" s="3" t="s">
        <v>505</v>
      </c>
      <c r="F181" s="3" t="s">
        <v>25</v>
      </c>
      <c r="G181" s="3" t="s">
        <v>19</v>
      </c>
      <c r="H181" s="9">
        <v>38.269503017057403</v>
      </c>
      <c r="I181" s="9">
        <v>-0.51868664772304496</v>
      </c>
      <c r="J181" s="3">
        <v>1</v>
      </c>
      <c r="K181" s="3">
        <v>1</v>
      </c>
      <c r="L181" s="3">
        <v>0</v>
      </c>
      <c r="M181" s="3">
        <v>0</v>
      </c>
      <c r="N181" s="3" t="s">
        <v>66</v>
      </c>
      <c r="O181" s="3">
        <v>0</v>
      </c>
      <c r="P181" s="3">
        <v>0</v>
      </c>
      <c r="Q181" s="3">
        <v>1</v>
      </c>
      <c r="R181" s="3">
        <v>0</v>
      </c>
      <c r="S181" s="3">
        <v>0</v>
      </c>
      <c r="T181" s="3">
        <v>0</v>
      </c>
      <c r="U181" s="3">
        <v>1</v>
      </c>
      <c r="V181" s="3">
        <v>0</v>
      </c>
      <c r="W181" s="3">
        <v>0</v>
      </c>
      <c r="X181" s="3">
        <v>0</v>
      </c>
      <c r="Y181" s="3">
        <v>0</v>
      </c>
      <c r="Z181" s="3">
        <v>0</v>
      </c>
      <c r="AA181" s="3">
        <v>0</v>
      </c>
      <c r="AB181" s="3">
        <v>0</v>
      </c>
      <c r="AC181" s="3">
        <v>0</v>
      </c>
      <c r="AD181" s="3">
        <v>0</v>
      </c>
      <c r="AE181" s="3" t="s">
        <v>6</v>
      </c>
      <c r="AF181" s="3">
        <f>SUM(AH181:AL181)</f>
        <v>0</v>
      </c>
      <c r="AS181" s="3" t="s">
        <v>17</v>
      </c>
      <c r="AT181" s="3" t="s">
        <v>776</v>
      </c>
      <c r="AU181" s="3" t="s">
        <v>504</v>
      </c>
    </row>
    <row r="182" spans="1:48" x14ac:dyDescent="0.25">
      <c r="A182" t="s">
        <v>1109</v>
      </c>
      <c r="B182" s="7">
        <v>43997</v>
      </c>
      <c r="C182" s="7" t="s">
        <v>844</v>
      </c>
      <c r="D182" s="3" t="s">
        <v>6</v>
      </c>
      <c r="E182" s="3" t="s">
        <v>507</v>
      </c>
      <c r="F182" s="3" t="s">
        <v>23</v>
      </c>
      <c r="G182" s="3" t="s">
        <v>23</v>
      </c>
      <c r="H182" s="9">
        <v>37.570103608555598</v>
      </c>
      <c r="I182" s="9">
        <v>-1.2539180168699799</v>
      </c>
      <c r="J182" s="3">
        <v>1</v>
      </c>
      <c r="K182" s="3">
        <v>1</v>
      </c>
      <c r="L182" s="3">
        <v>0</v>
      </c>
      <c r="M182" s="3">
        <v>0</v>
      </c>
      <c r="N182" s="3" t="s">
        <v>16</v>
      </c>
      <c r="O182" s="3">
        <v>0</v>
      </c>
      <c r="P182" s="3">
        <v>0</v>
      </c>
      <c r="Q182" s="3">
        <v>0</v>
      </c>
      <c r="R182" s="3">
        <v>0</v>
      </c>
      <c r="S182" s="3">
        <v>1</v>
      </c>
      <c r="T182" s="3">
        <v>0</v>
      </c>
      <c r="U182" s="3">
        <v>0</v>
      </c>
      <c r="V182" s="3">
        <v>0</v>
      </c>
      <c r="W182" s="3">
        <v>0</v>
      </c>
      <c r="X182" s="3">
        <v>0</v>
      </c>
      <c r="Y182" s="3">
        <v>0</v>
      </c>
      <c r="Z182" s="3">
        <v>1</v>
      </c>
      <c r="AA182" s="3">
        <v>0</v>
      </c>
      <c r="AB182" s="3">
        <v>0</v>
      </c>
      <c r="AC182" s="3">
        <v>0</v>
      </c>
      <c r="AD182" s="3">
        <v>0</v>
      </c>
      <c r="AE182" s="3" t="s">
        <v>6</v>
      </c>
      <c r="AF182" s="3" t="s">
        <v>1433</v>
      </c>
      <c r="AS182" s="3" t="s">
        <v>233</v>
      </c>
      <c r="AT182" s="3" t="s">
        <v>790</v>
      </c>
      <c r="AU182" s="3" t="s">
        <v>508</v>
      </c>
    </row>
    <row r="183" spans="1:48" x14ac:dyDescent="0.25">
      <c r="A183" t="s">
        <v>1111</v>
      </c>
      <c r="B183" s="7">
        <v>45813</v>
      </c>
      <c r="C183" s="7" t="s">
        <v>844</v>
      </c>
      <c r="D183" s="4">
        <v>0.875</v>
      </c>
      <c r="E183" s="3" t="s">
        <v>510</v>
      </c>
      <c r="F183" s="3" t="s">
        <v>8</v>
      </c>
      <c r="G183" s="3" t="s">
        <v>8</v>
      </c>
      <c r="H183" s="9">
        <v>39.080680146577002</v>
      </c>
      <c r="I183" s="9">
        <v>1.4403684633526199</v>
      </c>
      <c r="J183" s="3">
        <v>1</v>
      </c>
      <c r="K183" s="3">
        <v>1</v>
      </c>
      <c r="L183" s="3">
        <v>0</v>
      </c>
      <c r="M183" s="3">
        <v>0</v>
      </c>
      <c r="N183" s="3" t="s">
        <v>16</v>
      </c>
      <c r="O183" s="3">
        <v>0</v>
      </c>
      <c r="P183" s="3">
        <v>0</v>
      </c>
      <c r="Q183" s="3">
        <v>0</v>
      </c>
      <c r="R183" s="3">
        <v>0</v>
      </c>
      <c r="S183" s="3">
        <v>1</v>
      </c>
      <c r="T183" s="3">
        <v>0</v>
      </c>
      <c r="U183" s="3">
        <v>0</v>
      </c>
      <c r="V183" s="3">
        <v>0</v>
      </c>
      <c r="W183" s="3">
        <v>0</v>
      </c>
      <c r="X183" s="3">
        <v>0</v>
      </c>
      <c r="Y183" s="3">
        <v>0</v>
      </c>
      <c r="Z183" s="3">
        <v>1</v>
      </c>
      <c r="AA183" s="3">
        <v>0</v>
      </c>
      <c r="AB183" s="3">
        <v>0</v>
      </c>
      <c r="AC183" s="3">
        <v>0</v>
      </c>
      <c r="AD183" s="3">
        <v>0</v>
      </c>
      <c r="AE183" s="3" t="s">
        <v>6</v>
      </c>
      <c r="AF183" s="3" t="s">
        <v>1433</v>
      </c>
      <c r="AS183" s="3" t="s">
        <v>233</v>
      </c>
      <c r="AT183" s="3" t="s">
        <v>792</v>
      </c>
      <c r="AU183" s="3" t="s">
        <v>511</v>
      </c>
      <c r="AV183" s="3" t="s">
        <v>463</v>
      </c>
    </row>
    <row r="184" spans="1:48" x14ac:dyDescent="0.25">
      <c r="A184" t="s">
        <v>1112</v>
      </c>
      <c r="B184" s="7">
        <v>45477</v>
      </c>
      <c r="C184" s="7" t="s">
        <v>844</v>
      </c>
      <c r="D184" s="3" t="s">
        <v>6</v>
      </c>
      <c r="E184" s="3" t="s">
        <v>512</v>
      </c>
      <c r="F184" s="3" t="s">
        <v>25</v>
      </c>
      <c r="G184" s="3" t="s">
        <v>19</v>
      </c>
      <c r="H184" s="9">
        <v>38.347069579997601</v>
      </c>
      <c r="I184" s="9">
        <v>-0.47494107552926701</v>
      </c>
      <c r="J184" s="3">
        <v>1</v>
      </c>
      <c r="K184" s="3">
        <v>1</v>
      </c>
      <c r="L184" s="3">
        <v>0</v>
      </c>
      <c r="M184" s="3">
        <v>0</v>
      </c>
      <c r="N184" s="3" t="s">
        <v>66</v>
      </c>
      <c r="O184" s="3">
        <v>0</v>
      </c>
      <c r="P184" s="3">
        <v>1</v>
      </c>
      <c r="Q184" s="3">
        <v>0</v>
      </c>
      <c r="R184" s="3">
        <v>0</v>
      </c>
      <c r="S184" s="3">
        <v>0</v>
      </c>
      <c r="T184" s="3">
        <v>0</v>
      </c>
      <c r="U184" s="3">
        <v>1</v>
      </c>
      <c r="V184" s="3">
        <v>0</v>
      </c>
      <c r="W184" s="3">
        <v>0</v>
      </c>
      <c r="X184" s="3">
        <v>0</v>
      </c>
      <c r="Y184" s="3">
        <v>0</v>
      </c>
      <c r="Z184" s="3">
        <v>0</v>
      </c>
      <c r="AA184" s="3">
        <v>0</v>
      </c>
      <c r="AB184" s="3">
        <v>0</v>
      </c>
      <c r="AC184" s="3">
        <v>0</v>
      </c>
      <c r="AD184" s="3">
        <v>0</v>
      </c>
      <c r="AE184" s="3" t="s">
        <v>6</v>
      </c>
      <c r="AF184" s="3">
        <f>SUM(AH184:AL184)</f>
        <v>0</v>
      </c>
      <c r="AS184" s="3" t="s">
        <v>17</v>
      </c>
      <c r="AT184" s="3" t="s">
        <v>781</v>
      </c>
      <c r="AU184" s="3" t="s">
        <v>513</v>
      </c>
      <c r="AV184" s="3" t="s">
        <v>249</v>
      </c>
    </row>
    <row r="185" spans="1:48" x14ac:dyDescent="0.25">
      <c r="A185" t="s">
        <v>1113</v>
      </c>
      <c r="B185" s="7">
        <v>45492</v>
      </c>
      <c r="C185" s="7" t="s">
        <v>844</v>
      </c>
      <c r="D185" s="3" t="s">
        <v>6</v>
      </c>
      <c r="E185" s="3" t="s">
        <v>516</v>
      </c>
      <c r="F185" s="3" t="s">
        <v>23</v>
      </c>
      <c r="G185" s="3" t="s">
        <v>23</v>
      </c>
      <c r="H185" s="9">
        <v>37.560016954305503</v>
      </c>
      <c r="I185" s="9">
        <v>-1.2912916741603899</v>
      </c>
      <c r="J185" s="3">
        <v>1</v>
      </c>
      <c r="K185" s="3">
        <v>1</v>
      </c>
      <c r="L185" s="3">
        <v>0</v>
      </c>
      <c r="M185" s="3">
        <v>0</v>
      </c>
      <c r="N185" s="3" t="s">
        <v>66</v>
      </c>
      <c r="O185" s="3">
        <v>0</v>
      </c>
      <c r="P185" s="3">
        <v>1</v>
      </c>
      <c r="Q185" s="3">
        <v>0</v>
      </c>
      <c r="R185" s="3">
        <v>0</v>
      </c>
      <c r="S185" s="3">
        <v>0</v>
      </c>
      <c r="T185" s="3">
        <v>0</v>
      </c>
      <c r="U185" s="3">
        <v>1</v>
      </c>
      <c r="V185" s="3">
        <v>0</v>
      </c>
      <c r="W185" s="3">
        <v>0</v>
      </c>
      <c r="X185" s="3">
        <v>0</v>
      </c>
      <c r="Y185" s="3">
        <v>0</v>
      </c>
      <c r="Z185" s="3">
        <v>0</v>
      </c>
      <c r="AA185" s="3">
        <v>0</v>
      </c>
      <c r="AB185" s="3">
        <v>0</v>
      </c>
      <c r="AC185" s="3">
        <v>0</v>
      </c>
      <c r="AD185" s="3">
        <v>0</v>
      </c>
      <c r="AE185" s="3" t="s">
        <v>6</v>
      </c>
      <c r="AF185" s="3">
        <f>SUM(AH185:AL185)</f>
        <v>0</v>
      </c>
      <c r="AS185" s="3" t="s">
        <v>17</v>
      </c>
      <c r="AT185" s="3" t="s">
        <v>781</v>
      </c>
      <c r="AU185" s="3" t="s">
        <v>514</v>
      </c>
      <c r="AV185" s="3" t="s">
        <v>249</v>
      </c>
    </row>
    <row r="186" spans="1:48" x14ac:dyDescent="0.25">
      <c r="A186" t="s">
        <v>1114</v>
      </c>
      <c r="B186" s="7">
        <v>45498</v>
      </c>
      <c r="C186" s="7" t="s">
        <v>844</v>
      </c>
      <c r="D186" s="3" t="s">
        <v>6</v>
      </c>
      <c r="E186" s="3" t="s">
        <v>516</v>
      </c>
      <c r="F186" s="3" t="s">
        <v>23</v>
      </c>
      <c r="G186" s="3" t="s">
        <v>23</v>
      </c>
      <c r="H186" s="9">
        <v>37.560016954305503</v>
      </c>
      <c r="I186" s="9">
        <v>-1.2912916741603899</v>
      </c>
      <c r="J186" s="3">
        <v>1</v>
      </c>
      <c r="K186" s="3">
        <v>1</v>
      </c>
      <c r="L186" s="3">
        <v>0</v>
      </c>
      <c r="M186" s="3">
        <v>0</v>
      </c>
      <c r="N186" s="3" t="s">
        <v>66</v>
      </c>
      <c r="O186" s="3">
        <v>0</v>
      </c>
      <c r="P186" s="3">
        <v>1</v>
      </c>
      <c r="Q186" s="3">
        <v>0</v>
      </c>
      <c r="R186" s="3">
        <v>0</v>
      </c>
      <c r="S186" s="3">
        <v>0</v>
      </c>
      <c r="T186" s="3">
        <v>0</v>
      </c>
      <c r="U186" s="3">
        <v>1</v>
      </c>
      <c r="V186" s="3">
        <v>0</v>
      </c>
      <c r="W186" s="3">
        <v>0</v>
      </c>
      <c r="X186" s="3">
        <v>0</v>
      </c>
      <c r="Y186" s="3">
        <v>0</v>
      </c>
      <c r="Z186" s="3">
        <v>0</v>
      </c>
      <c r="AA186" s="3">
        <v>0</v>
      </c>
      <c r="AB186" s="3">
        <v>0</v>
      </c>
      <c r="AC186" s="3">
        <v>0</v>
      </c>
      <c r="AD186" s="3">
        <v>0</v>
      </c>
      <c r="AE186" s="3" t="s">
        <v>6</v>
      </c>
      <c r="AF186" s="3">
        <f>SUM(AH186:AL186)</f>
        <v>0</v>
      </c>
      <c r="AS186" s="3" t="s">
        <v>17</v>
      </c>
      <c r="AT186" s="3" t="s">
        <v>781</v>
      </c>
      <c r="AU186" s="3" t="s">
        <v>515</v>
      </c>
      <c r="AV186" s="3" t="s">
        <v>249</v>
      </c>
    </row>
    <row r="187" spans="1:48" x14ac:dyDescent="0.25">
      <c r="A187" t="s">
        <v>1115</v>
      </c>
      <c r="B187" s="7">
        <v>44031</v>
      </c>
      <c r="C187" s="7" t="s">
        <v>844</v>
      </c>
      <c r="D187" s="3" t="s">
        <v>6</v>
      </c>
      <c r="E187" s="3" t="s">
        <v>574</v>
      </c>
      <c r="F187" s="3" t="s">
        <v>78</v>
      </c>
      <c r="G187" s="3" t="s">
        <v>19</v>
      </c>
      <c r="H187" s="9">
        <v>40.091444416998499</v>
      </c>
      <c r="I187" s="9">
        <v>0.14714780371144601</v>
      </c>
      <c r="J187" s="3">
        <v>1</v>
      </c>
      <c r="K187" s="3">
        <v>1</v>
      </c>
      <c r="L187" s="3">
        <v>0</v>
      </c>
      <c r="M187" s="3">
        <v>0</v>
      </c>
      <c r="N187" s="3" t="s">
        <v>66</v>
      </c>
      <c r="O187" s="3">
        <v>0</v>
      </c>
      <c r="P187" s="3">
        <v>0</v>
      </c>
      <c r="Q187" s="3">
        <v>1</v>
      </c>
      <c r="R187" s="3">
        <v>0</v>
      </c>
      <c r="S187" s="3">
        <v>0</v>
      </c>
      <c r="T187" s="3">
        <v>0</v>
      </c>
      <c r="U187" s="3">
        <v>1</v>
      </c>
      <c r="V187" s="3">
        <v>0</v>
      </c>
      <c r="W187" s="3">
        <v>0</v>
      </c>
      <c r="X187" s="3">
        <v>0</v>
      </c>
      <c r="Y187" s="3">
        <v>0</v>
      </c>
      <c r="Z187" s="3">
        <v>0</v>
      </c>
      <c r="AA187" s="3">
        <v>0</v>
      </c>
      <c r="AB187" s="3">
        <v>0</v>
      </c>
      <c r="AC187" s="3">
        <v>0</v>
      </c>
      <c r="AD187" s="3">
        <v>0</v>
      </c>
      <c r="AE187" s="3" t="s">
        <v>6</v>
      </c>
      <c r="AF187" s="3">
        <f>SUM(AH187:AL187)</f>
        <v>0</v>
      </c>
      <c r="AS187" s="3" t="s">
        <v>233</v>
      </c>
      <c r="AT187" s="3" t="s">
        <v>793</v>
      </c>
      <c r="AU187" s="3" t="s">
        <v>569</v>
      </c>
      <c r="AV187" s="3" t="s">
        <v>570</v>
      </c>
    </row>
    <row r="188" spans="1:48" x14ac:dyDescent="0.25">
      <c r="A188" t="s">
        <v>1118</v>
      </c>
      <c r="B188" s="7">
        <v>45819</v>
      </c>
      <c r="C188" s="7" t="s">
        <v>844</v>
      </c>
      <c r="D188" s="3" t="s">
        <v>6</v>
      </c>
      <c r="E188" s="3" t="s">
        <v>575</v>
      </c>
      <c r="F188" s="3" t="s">
        <v>8</v>
      </c>
      <c r="G188" s="3" t="s">
        <v>8</v>
      </c>
      <c r="H188" s="9">
        <v>39.351351665364099</v>
      </c>
      <c r="I188" s="9">
        <v>3.1883753985003498</v>
      </c>
      <c r="J188" s="3">
        <v>1</v>
      </c>
      <c r="K188" s="3">
        <v>1</v>
      </c>
      <c r="L188" s="3">
        <v>0</v>
      </c>
      <c r="M188" s="3">
        <v>0</v>
      </c>
      <c r="N188" s="3" t="s">
        <v>16</v>
      </c>
      <c r="O188" s="3">
        <v>0</v>
      </c>
      <c r="P188" s="3">
        <v>0</v>
      </c>
      <c r="Q188" s="3">
        <v>0</v>
      </c>
      <c r="R188" s="3">
        <v>0</v>
      </c>
      <c r="S188" s="3">
        <v>1</v>
      </c>
      <c r="T188" s="3">
        <v>0</v>
      </c>
      <c r="U188" s="3">
        <v>0</v>
      </c>
      <c r="V188" s="3">
        <v>0</v>
      </c>
      <c r="W188" s="3">
        <v>0</v>
      </c>
      <c r="X188" s="3">
        <v>0</v>
      </c>
      <c r="Y188" s="3">
        <v>0</v>
      </c>
      <c r="Z188" s="3">
        <v>1</v>
      </c>
      <c r="AA188" s="3">
        <v>0</v>
      </c>
      <c r="AB188" s="3">
        <v>0</v>
      </c>
      <c r="AC188" s="3">
        <v>0</v>
      </c>
      <c r="AD188" s="3">
        <v>0</v>
      </c>
      <c r="AE188" s="3" t="s">
        <v>6</v>
      </c>
      <c r="AF188" s="3" t="s">
        <v>1433</v>
      </c>
      <c r="AS188" s="3" t="s">
        <v>233</v>
      </c>
      <c r="AT188" s="3" t="s">
        <v>794</v>
      </c>
      <c r="AU188" s="3" t="s">
        <v>576</v>
      </c>
    </row>
    <row r="189" spans="1:48" x14ac:dyDescent="0.25">
      <c r="A189" t="s">
        <v>1123</v>
      </c>
      <c r="B189" s="7">
        <v>45822</v>
      </c>
      <c r="C189" s="7" t="s">
        <v>844</v>
      </c>
      <c r="D189" s="4" t="s">
        <v>6</v>
      </c>
      <c r="E189" s="3" t="s">
        <v>583</v>
      </c>
      <c r="F189" s="3" t="s">
        <v>8</v>
      </c>
      <c r="G189" s="3" t="s">
        <v>8</v>
      </c>
      <c r="H189" s="9">
        <v>39.507263586010801</v>
      </c>
      <c r="I189" s="9">
        <v>2.5373844888983701</v>
      </c>
      <c r="J189" s="3">
        <v>1</v>
      </c>
      <c r="K189" s="3">
        <v>1</v>
      </c>
      <c r="L189" s="3">
        <v>0</v>
      </c>
      <c r="M189" s="3">
        <v>0</v>
      </c>
      <c r="N189" s="3" t="s">
        <v>66</v>
      </c>
      <c r="O189" s="3">
        <v>0</v>
      </c>
      <c r="P189" s="3">
        <v>1</v>
      </c>
      <c r="Q189" s="3">
        <v>0</v>
      </c>
      <c r="R189" s="3">
        <v>0</v>
      </c>
      <c r="S189" s="3">
        <v>0</v>
      </c>
      <c r="T189" s="3">
        <v>0</v>
      </c>
      <c r="U189" s="3">
        <v>1</v>
      </c>
      <c r="V189" s="3">
        <v>0</v>
      </c>
      <c r="W189" s="3">
        <v>0</v>
      </c>
      <c r="X189" s="3">
        <v>0</v>
      </c>
      <c r="Y189" s="3">
        <v>0</v>
      </c>
      <c r="Z189" s="3">
        <v>0</v>
      </c>
      <c r="AA189" s="3">
        <v>0</v>
      </c>
      <c r="AB189" s="3">
        <v>0</v>
      </c>
      <c r="AC189" s="3">
        <v>0</v>
      </c>
      <c r="AD189" s="3">
        <v>0</v>
      </c>
      <c r="AE189" s="3" t="s">
        <v>6</v>
      </c>
      <c r="AF189" s="3">
        <f>SUM(AH189:AL189)</f>
        <v>0</v>
      </c>
      <c r="AS189" s="3" t="s">
        <v>233</v>
      </c>
      <c r="AT189" s="3" t="s">
        <v>794</v>
      </c>
      <c r="AU189" s="3" t="s">
        <v>585</v>
      </c>
      <c r="AV189" s="3" t="s">
        <v>249</v>
      </c>
    </row>
    <row r="190" spans="1:48" x14ac:dyDescent="0.25">
      <c r="A190" t="s">
        <v>1124</v>
      </c>
      <c r="B190" s="7">
        <v>45819</v>
      </c>
      <c r="C190" s="7" t="s">
        <v>844</v>
      </c>
      <c r="D190" s="4">
        <v>0.40138888888888885</v>
      </c>
      <c r="E190" s="3" t="s">
        <v>587</v>
      </c>
      <c r="F190" s="3" t="s">
        <v>8</v>
      </c>
      <c r="G190" s="3" t="s">
        <v>8</v>
      </c>
      <c r="H190" s="9">
        <v>39.853767790798202</v>
      </c>
      <c r="I190" s="9">
        <v>2.8033808974825001</v>
      </c>
      <c r="J190" s="3">
        <v>1</v>
      </c>
      <c r="K190" s="3">
        <v>1</v>
      </c>
      <c r="L190" s="3">
        <v>0</v>
      </c>
      <c r="M190" s="3">
        <v>0</v>
      </c>
      <c r="N190" s="3" t="s">
        <v>16</v>
      </c>
      <c r="O190" s="3">
        <v>0</v>
      </c>
      <c r="P190" s="3">
        <v>0</v>
      </c>
      <c r="Q190" s="3">
        <v>0</v>
      </c>
      <c r="R190" s="3">
        <v>0</v>
      </c>
      <c r="S190" s="3">
        <v>0</v>
      </c>
      <c r="T190" s="3">
        <v>1</v>
      </c>
      <c r="U190" s="3">
        <v>0</v>
      </c>
      <c r="V190" s="3">
        <v>0</v>
      </c>
      <c r="W190" s="3">
        <v>0</v>
      </c>
      <c r="X190" s="3">
        <v>0</v>
      </c>
      <c r="Y190" s="3">
        <v>0</v>
      </c>
      <c r="Z190" s="3">
        <v>1</v>
      </c>
      <c r="AA190" s="3">
        <v>0</v>
      </c>
      <c r="AB190" s="3">
        <v>0</v>
      </c>
      <c r="AC190" s="3">
        <v>0</v>
      </c>
      <c r="AD190" s="3">
        <v>0</v>
      </c>
      <c r="AE190" s="3" t="s">
        <v>6</v>
      </c>
      <c r="AF190" s="3" t="s">
        <v>1433</v>
      </c>
      <c r="AS190" s="3" t="s">
        <v>233</v>
      </c>
      <c r="AT190" s="3" t="s">
        <v>795</v>
      </c>
      <c r="AU190" s="3" t="s">
        <v>586</v>
      </c>
    </row>
    <row r="191" spans="1:48" x14ac:dyDescent="0.25">
      <c r="A191" t="s">
        <v>1125</v>
      </c>
      <c r="B191" s="7">
        <v>45830</v>
      </c>
      <c r="C191" s="7" t="s">
        <v>844</v>
      </c>
      <c r="D191" s="3" t="s">
        <v>6</v>
      </c>
      <c r="E191" s="3" t="s">
        <v>588</v>
      </c>
      <c r="F191" s="3" t="s">
        <v>69</v>
      </c>
      <c r="G191" s="3" t="s">
        <v>20</v>
      </c>
      <c r="H191" s="9">
        <v>41.177777296788499</v>
      </c>
      <c r="I191" s="9">
        <v>1.5159811240958401</v>
      </c>
      <c r="J191" s="3">
        <v>1</v>
      </c>
      <c r="K191" s="3">
        <v>1</v>
      </c>
      <c r="L191" s="3">
        <v>0</v>
      </c>
      <c r="M191" s="3">
        <v>0</v>
      </c>
      <c r="N191" s="3" t="s">
        <v>16</v>
      </c>
      <c r="O191" s="3">
        <v>0</v>
      </c>
      <c r="P191" s="3">
        <v>0</v>
      </c>
      <c r="Q191" s="3">
        <v>0</v>
      </c>
      <c r="R191" s="3">
        <v>0</v>
      </c>
      <c r="S191" s="3">
        <v>0</v>
      </c>
      <c r="T191" s="3">
        <v>1</v>
      </c>
      <c r="U191" s="3">
        <v>0</v>
      </c>
      <c r="V191" s="3">
        <v>0</v>
      </c>
      <c r="W191" s="3">
        <v>0</v>
      </c>
      <c r="X191" s="3">
        <v>0</v>
      </c>
      <c r="Y191" s="3">
        <v>0</v>
      </c>
      <c r="Z191" s="3">
        <v>1</v>
      </c>
      <c r="AA191" s="3">
        <v>0</v>
      </c>
      <c r="AB191" s="3">
        <v>0</v>
      </c>
      <c r="AC191" s="3">
        <v>0</v>
      </c>
      <c r="AD191" s="3">
        <v>0</v>
      </c>
      <c r="AE191" s="3" t="s">
        <v>6</v>
      </c>
      <c r="AF191" s="3" t="s">
        <v>1433</v>
      </c>
      <c r="AS191" s="3" t="s">
        <v>233</v>
      </c>
      <c r="AT191" s="3" t="s">
        <v>785</v>
      </c>
      <c r="AU191" s="3" t="s">
        <v>589</v>
      </c>
    </row>
    <row r="192" spans="1:48" x14ac:dyDescent="0.25">
      <c r="A192" t="s">
        <v>1126</v>
      </c>
      <c r="B192" s="7">
        <v>45824</v>
      </c>
      <c r="C192" s="7" t="s">
        <v>844</v>
      </c>
      <c r="D192" s="4">
        <v>0.63541666666666663</v>
      </c>
      <c r="E192" s="3" t="s">
        <v>590</v>
      </c>
      <c r="F192" s="3" t="s">
        <v>69</v>
      </c>
      <c r="G192" s="3" t="s">
        <v>20</v>
      </c>
      <c r="H192" s="9">
        <v>41.132244092477997</v>
      </c>
      <c r="I192" s="9">
        <v>1.38981577659819</v>
      </c>
      <c r="J192" s="3">
        <v>1</v>
      </c>
      <c r="K192" s="3">
        <v>1</v>
      </c>
      <c r="L192" s="3">
        <v>0</v>
      </c>
      <c r="M192" s="3">
        <v>0</v>
      </c>
      <c r="N192" s="3" t="s">
        <v>16</v>
      </c>
      <c r="O192" s="3">
        <v>0</v>
      </c>
      <c r="P192" s="3">
        <v>0</v>
      </c>
      <c r="Q192" s="3">
        <v>0</v>
      </c>
      <c r="R192" s="3">
        <v>0</v>
      </c>
      <c r="S192" s="3">
        <v>0</v>
      </c>
      <c r="T192" s="3">
        <v>1</v>
      </c>
      <c r="U192" s="3">
        <v>0</v>
      </c>
      <c r="V192" s="3">
        <v>0</v>
      </c>
      <c r="W192" s="3">
        <v>0</v>
      </c>
      <c r="X192" s="3">
        <v>0</v>
      </c>
      <c r="Y192" s="3">
        <v>0</v>
      </c>
      <c r="Z192" s="3">
        <v>1</v>
      </c>
      <c r="AA192" s="3">
        <v>0</v>
      </c>
      <c r="AB192" s="3">
        <v>0</v>
      </c>
      <c r="AC192" s="3">
        <v>0</v>
      </c>
      <c r="AD192" s="3">
        <v>0</v>
      </c>
      <c r="AE192" s="3" t="s">
        <v>6</v>
      </c>
      <c r="AF192" s="3" t="s">
        <v>1433</v>
      </c>
      <c r="AS192" s="3" t="s">
        <v>233</v>
      </c>
      <c r="AT192" s="3" t="s">
        <v>785</v>
      </c>
      <c r="AU192" s="3" t="s">
        <v>591</v>
      </c>
    </row>
    <row r="193" spans="1:48" x14ac:dyDescent="0.25">
      <c r="A193" t="s">
        <v>1127</v>
      </c>
      <c r="B193" s="7">
        <v>45823</v>
      </c>
      <c r="C193" s="7" t="s">
        <v>844</v>
      </c>
      <c r="D193" s="3" t="s">
        <v>6</v>
      </c>
      <c r="E193" s="3" t="s">
        <v>592</v>
      </c>
      <c r="F193" s="3" t="s">
        <v>59</v>
      </c>
      <c r="G193" s="3" t="s">
        <v>20</v>
      </c>
      <c r="H193" s="9">
        <v>42.116025099921302</v>
      </c>
      <c r="I193" s="9">
        <v>3.1395152042137999</v>
      </c>
      <c r="J193" s="3">
        <v>1</v>
      </c>
      <c r="K193" s="3">
        <v>1</v>
      </c>
      <c r="L193" s="3">
        <v>0</v>
      </c>
      <c r="M193" s="3">
        <v>0</v>
      </c>
      <c r="N193" s="3" t="s">
        <v>16</v>
      </c>
      <c r="O193" s="3">
        <v>0</v>
      </c>
      <c r="P193" s="3">
        <v>0</v>
      </c>
      <c r="Q193" s="3">
        <v>0</v>
      </c>
      <c r="R193" s="3">
        <v>0</v>
      </c>
      <c r="S193" s="3">
        <v>1</v>
      </c>
      <c r="T193" s="3">
        <v>0</v>
      </c>
      <c r="U193" s="3">
        <v>0</v>
      </c>
      <c r="V193" s="3">
        <v>0</v>
      </c>
      <c r="W193" s="3">
        <v>0</v>
      </c>
      <c r="X193" s="3">
        <v>0</v>
      </c>
      <c r="Y193" s="3">
        <v>0</v>
      </c>
      <c r="Z193" s="3">
        <v>1</v>
      </c>
      <c r="AA193" s="3">
        <v>0</v>
      </c>
      <c r="AB193" s="3">
        <v>0</v>
      </c>
      <c r="AC193" s="3">
        <v>0</v>
      </c>
      <c r="AD193" s="3">
        <v>0</v>
      </c>
      <c r="AE193" s="3" t="s">
        <v>6</v>
      </c>
      <c r="AF193" s="3" t="s">
        <v>1433</v>
      </c>
      <c r="AS193" s="3" t="s">
        <v>17</v>
      </c>
      <c r="AT193" s="3" t="s">
        <v>778</v>
      </c>
      <c r="AU193" s="3" t="s">
        <v>593</v>
      </c>
    </row>
    <row r="194" spans="1:48" x14ac:dyDescent="0.25">
      <c r="A194" t="s">
        <v>1128</v>
      </c>
      <c r="B194" s="7">
        <v>45835</v>
      </c>
      <c r="C194" s="7" t="s">
        <v>844</v>
      </c>
      <c r="D194" s="4" t="s">
        <v>6</v>
      </c>
      <c r="E194" s="3" t="s">
        <v>600</v>
      </c>
      <c r="F194" s="3" t="s">
        <v>24</v>
      </c>
      <c r="G194" s="3" t="s">
        <v>20</v>
      </c>
      <c r="H194" s="9">
        <v>41.404017300841197</v>
      </c>
      <c r="I194" s="9">
        <v>2.21889017457372</v>
      </c>
      <c r="J194" s="3">
        <v>1</v>
      </c>
      <c r="K194" s="3">
        <v>1</v>
      </c>
      <c r="L194" s="3">
        <v>0</v>
      </c>
      <c r="M194" s="3">
        <v>0</v>
      </c>
      <c r="N194" s="3" t="s">
        <v>16</v>
      </c>
      <c r="O194" s="3">
        <v>0</v>
      </c>
      <c r="P194" s="3">
        <v>0</v>
      </c>
      <c r="Q194" s="3">
        <v>0</v>
      </c>
      <c r="R194" s="3">
        <v>0</v>
      </c>
      <c r="S194" s="3">
        <v>1</v>
      </c>
      <c r="T194" s="3">
        <v>0</v>
      </c>
      <c r="U194" s="3">
        <v>0</v>
      </c>
      <c r="V194" s="3">
        <v>0</v>
      </c>
      <c r="W194" s="3">
        <v>0</v>
      </c>
      <c r="X194" s="3">
        <v>0</v>
      </c>
      <c r="Y194" s="3">
        <v>0</v>
      </c>
      <c r="Z194" s="3">
        <v>0</v>
      </c>
      <c r="AA194" s="3">
        <v>0</v>
      </c>
      <c r="AB194" s="3">
        <v>0</v>
      </c>
      <c r="AC194" s="3">
        <v>0</v>
      </c>
      <c r="AD194" s="3">
        <v>1</v>
      </c>
      <c r="AE194" s="3" t="s">
        <v>6</v>
      </c>
      <c r="AF194" s="3" t="s">
        <v>1433</v>
      </c>
      <c r="AS194" s="3" t="s">
        <v>577</v>
      </c>
      <c r="AT194" s="3" t="s">
        <v>601</v>
      </c>
      <c r="AU194" s="3" t="s">
        <v>601</v>
      </c>
      <c r="AV194" s="3" t="s">
        <v>602</v>
      </c>
    </row>
    <row r="195" spans="1:48" x14ac:dyDescent="0.25">
      <c r="A195" t="s">
        <v>1129</v>
      </c>
      <c r="B195" s="7">
        <v>45829</v>
      </c>
      <c r="C195" s="7" t="s">
        <v>844</v>
      </c>
      <c r="D195" s="3" t="s">
        <v>6</v>
      </c>
      <c r="E195" s="3" t="s">
        <v>603</v>
      </c>
      <c r="F195" s="3" t="s">
        <v>69</v>
      </c>
      <c r="G195" s="3" t="s">
        <v>20</v>
      </c>
      <c r="H195" s="9">
        <v>40.826286552652299</v>
      </c>
      <c r="I195" s="9">
        <v>0.74220910146901398</v>
      </c>
      <c r="J195" s="3">
        <v>1</v>
      </c>
      <c r="K195" s="3">
        <v>1</v>
      </c>
      <c r="L195" s="3">
        <v>0</v>
      </c>
      <c r="M195" s="3">
        <v>0</v>
      </c>
      <c r="N195" s="3" t="s">
        <v>16</v>
      </c>
      <c r="O195" s="3">
        <v>0</v>
      </c>
      <c r="P195" s="3">
        <v>0</v>
      </c>
      <c r="Q195" s="3">
        <v>0</v>
      </c>
      <c r="R195" s="3">
        <v>0</v>
      </c>
      <c r="S195" s="3">
        <v>0</v>
      </c>
      <c r="T195" s="3">
        <v>1</v>
      </c>
      <c r="U195" s="3">
        <v>0</v>
      </c>
      <c r="V195" s="3">
        <v>0</v>
      </c>
      <c r="W195" s="3">
        <v>0</v>
      </c>
      <c r="X195" s="3">
        <v>0</v>
      </c>
      <c r="Y195" s="3">
        <v>0</v>
      </c>
      <c r="Z195" s="3">
        <v>0</v>
      </c>
      <c r="AA195" s="3">
        <v>0</v>
      </c>
      <c r="AB195" s="3">
        <v>0</v>
      </c>
      <c r="AC195" s="3">
        <v>0</v>
      </c>
      <c r="AD195" s="3">
        <v>1</v>
      </c>
      <c r="AE195" s="3" t="s">
        <v>6</v>
      </c>
      <c r="AF195" s="3" t="s">
        <v>1433</v>
      </c>
      <c r="AS195" s="3" t="s">
        <v>577</v>
      </c>
      <c r="AT195" s="3" t="s">
        <v>604</v>
      </c>
      <c r="AU195" s="3" t="s">
        <v>604</v>
      </c>
      <c r="AV195" s="3" t="s">
        <v>249</v>
      </c>
    </row>
    <row r="196" spans="1:48" x14ac:dyDescent="0.25">
      <c r="A196" t="s">
        <v>1131</v>
      </c>
      <c r="B196" s="7">
        <v>45835</v>
      </c>
      <c r="C196" s="7" t="s">
        <v>844</v>
      </c>
      <c r="D196" s="3" t="s">
        <v>6</v>
      </c>
      <c r="E196" s="3" t="s">
        <v>609</v>
      </c>
      <c r="F196" s="3" t="s">
        <v>8</v>
      </c>
      <c r="G196" s="3" t="s">
        <v>8</v>
      </c>
      <c r="H196" s="9">
        <v>41.797444486338698</v>
      </c>
      <c r="I196" s="9">
        <v>3.06141204886486</v>
      </c>
      <c r="J196" s="3">
        <v>1</v>
      </c>
      <c r="K196" s="3">
        <v>1</v>
      </c>
      <c r="L196" s="3">
        <v>0</v>
      </c>
      <c r="M196" s="3">
        <v>0</v>
      </c>
      <c r="N196" s="3" t="s">
        <v>66</v>
      </c>
      <c r="O196" s="3">
        <v>1</v>
      </c>
      <c r="P196" s="3">
        <v>0</v>
      </c>
      <c r="Q196" s="3">
        <v>0</v>
      </c>
      <c r="R196" s="3">
        <v>0</v>
      </c>
      <c r="S196" s="3">
        <v>0</v>
      </c>
      <c r="T196" s="3">
        <v>0</v>
      </c>
      <c r="U196" s="3">
        <v>1</v>
      </c>
      <c r="V196" s="3">
        <v>0</v>
      </c>
      <c r="W196" s="3">
        <v>0</v>
      </c>
      <c r="X196" s="3">
        <v>0</v>
      </c>
      <c r="Y196" s="3">
        <v>0</v>
      </c>
      <c r="Z196" s="3">
        <v>0</v>
      </c>
      <c r="AA196" s="3">
        <v>0</v>
      </c>
      <c r="AB196" s="3">
        <v>0</v>
      </c>
      <c r="AC196" s="3">
        <v>0</v>
      </c>
      <c r="AD196" s="3">
        <v>0</v>
      </c>
      <c r="AE196" s="3" t="s">
        <v>6</v>
      </c>
      <c r="AF196" s="3">
        <f>SUM(AH196:AL196)</f>
        <v>0</v>
      </c>
      <c r="AS196" s="3" t="s">
        <v>17</v>
      </c>
      <c r="AT196" s="3" t="s">
        <v>776</v>
      </c>
      <c r="AU196" s="3" t="s">
        <v>608</v>
      </c>
      <c r="AV196" s="3" t="s">
        <v>607</v>
      </c>
    </row>
    <row r="197" spans="1:48" x14ac:dyDescent="0.25">
      <c r="A197" t="s">
        <v>1132</v>
      </c>
      <c r="B197" s="7">
        <v>45804</v>
      </c>
      <c r="C197" s="7" t="s">
        <v>842</v>
      </c>
      <c r="D197" s="3" t="s">
        <v>6</v>
      </c>
      <c r="E197" s="3" t="s">
        <v>610</v>
      </c>
      <c r="F197" s="3" t="s">
        <v>24</v>
      </c>
      <c r="G197" s="3" t="s">
        <v>20</v>
      </c>
      <c r="H197" s="9">
        <v>41.263451731565098</v>
      </c>
      <c r="I197" s="9">
        <v>1.98923846485426</v>
      </c>
      <c r="J197" s="3">
        <v>1</v>
      </c>
      <c r="K197" s="3">
        <v>1</v>
      </c>
      <c r="L197" s="3">
        <v>0</v>
      </c>
      <c r="M197" s="3">
        <v>0</v>
      </c>
      <c r="N197" s="3" t="s">
        <v>16</v>
      </c>
      <c r="O197" s="3">
        <v>0</v>
      </c>
      <c r="P197" s="3">
        <v>0</v>
      </c>
      <c r="Q197" s="3">
        <v>0</v>
      </c>
      <c r="R197" s="3">
        <v>0</v>
      </c>
      <c r="S197" s="3">
        <v>1</v>
      </c>
      <c r="T197" s="3">
        <v>0</v>
      </c>
      <c r="U197" s="3">
        <v>0</v>
      </c>
      <c r="V197" s="3">
        <v>0</v>
      </c>
      <c r="W197" s="3">
        <v>0</v>
      </c>
      <c r="X197" s="3">
        <v>0</v>
      </c>
      <c r="Y197" s="3">
        <v>0</v>
      </c>
      <c r="Z197" s="3">
        <v>1</v>
      </c>
      <c r="AA197" s="3">
        <v>0</v>
      </c>
      <c r="AB197" s="3">
        <v>0</v>
      </c>
      <c r="AC197" s="3">
        <v>0</v>
      </c>
      <c r="AD197" s="3">
        <v>0</v>
      </c>
      <c r="AE197" s="3" t="s">
        <v>6</v>
      </c>
      <c r="AF197" s="3" t="s">
        <v>1433</v>
      </c>
      <c r="AS197" s="3" t="s">
        <v>17</v>
      </c>
      <c r="AT197" s="3" t="s">
        <v>776</v>
      </c>
      <c r="AU197" s="3" t="s">
        <v>611</v>
      </c>
      <c r="AV197" s="3" t="s">
        <v>612</v>
      </c>
    </row>
    <row r="198" spans="1:48" x14ac:dyDescent="0.25">
      <c r="A198" t="s">
        <v>1133</v>
      </c>
      <c r="B198" s="7">
        <v>45494</v>
      </c>
      <c r="C198" s="7" t="s">
        <v>844</v>
      </c>
      <c r="D198" s="3" t="s">
        <v>6</v>
      </c>
      <c r="E198" s="3" t="s">
        <v>614</v>
      </c>
      <c r="F198" s="3" t="s">
        <v>25</v>
      </c>
      <c r="G198" s="3" t="s">
        <v>19</v>
      </c>
      <c r="H198" s="9">
        <v>38.069435944387699</v>
      </c>
      <c r="I198" s="9">
        <v>-0.64788304060479296</v>
      </c>
      <c r="J198" s="3">
        <v>1</v>
      </c>
      <c r="K198" s="3">
        <v>1</v>
      </c>
      <c r="L198" s="3">
        <v>0</v>
      </c>
      <c r="M198" s="3">
        <v>0</v>
      </c>
      <c r="N198" s="3" t="s">
        <v>16</v>
      </c>
      <c r="O198" s="3">
        <v>0</v>
      </c>
      <c r="P198" s="3">
        <v>0</v>
      </c>
      <c r="Q198" s="3">
        <v>0</v>
      </c>
      <c r="R198" s="3">
        <v>0</v>
      </c>
      <c r="S198" s="3">
        <v>1</v>
      </c>
      <c r="T198" s="3">
        <v>0</v>
      </c>
      <c r="U198" s="3">
        <v>0</v>
      </c>
      <c r="V198" s="3">
        <v>0</v>
      </c>
      <c r="W198" s="3">
        <v>0</v>
      </c>
      <c r="X198" s="3">
        <v>0</v>
      </c>
      <c r="Y198" s="3">
        <v>0</v>
      </c>
      <c r="Z198" s="3">
        <v>1</v>
      </c>
      <c r="AA198" s="3">
        <v>0</v>
      </c>
      <c r="AB198" s="3">
        <v>0</v>
      </c>
      <c r="AC198" s="3">
        <v>0</v>
      </c>
      <c r="AD198" s="3">
        <v>0</v>
      </c>
      <c r="AE198" s="3" t="s">
        <v>6</v>
      </c>
      <c r="AF198" s="3" t="s">
        <v>1433</v>
      </c>
      <c r="AS198" s="3" t="s">
        <v>17</v>
      </c>
      <c r="AT198" s="3" t="s">
        <v>776</v>
      </c>
      <c r="AU198" s="3" t="s">
        <v>616</v>
      </c>
      <c r="AV198" s="3" t="s">
        <v>615</v>
      </c>
    </row>
    <row r="199" spans="1:48" x14ac:dyDescent="0.25">
      <c r="A199" t="s">
        <v>1134</v>
      </c>
      <c r="B199" s="7">
        <v>45811</v>
      </c>
      <c r="C199" s="7" t="s">
        <v>844</v>
      </c>
      <c r="D199" s="3" t="s">
        <v>6</v>
      </c>
      <c r="E199" s="3" t="s">
        <v>383</v>
      </c>
      <c r="F199" s="3" t="s">
        <v>78</v>
      </c>
      <c r="G199" s="3" t="s">
        <v>19</v>
      </c>
      <c r="H199" s="9">
        <v>40.361753261012602</v>
      </c>
      <c r="I199" s="9">
        <v>0.40385290366826598</v>
      </c>
      <c r="J199" s="3">
        <v>1</v>
      </c>
      <c r="K199" s="3">
        <v>1</v>
      </c>
      <c r="L199" s="3">
        <v>0</v>
      </c>
      <c r="M199" s="3">
        <v>0</v>
      </c>
      <c r="N199" s="3" t="s">
        <v>66</v>
      </c>
      <c r="O199" s="3">
        <v>0</v>
      </c>
      <c r="P199" s="3">
        <v>1</v>
      </c>
      <c r="Q199" s="3">
        <v>0</v>
      </c>
      <c r="R199" s="3">
        <v>0</v>
      </c>
      <c r="S199" s="3">
        <v>0</v>
      </c>
      <c r="T199" s="3">
        <v>0</v>
      </c>
      <c r="U199" s="3">
        <v>1</v>
      </c>
      <c r="V199" s="3">
        <v>0</v>
      </c>
      <c r="W199" s="3">
        <v>0</v>
      </c>
      <c r="X199" s="3">
        <v>0</v>
      </c>
      <c r="Y199" s="3">
        <v>0</v>
      </c>
      <c r="Z199" s="3">
        <v>0</v>
      </c>
      <c r="AA199" s="3">
        <v>0</v>
      </c>
      <c r="AB199" s="3">
        <v>0</v>
      </c>
      <c r="AC199" s="3">
        <v>0</v>
      </c>
      <c r="AD199" s="3">
        <v>0</v>
      </c>
      <c r="AE199" s="3" t="s">
        <v>6</v>
      </c>
      <c r="AF199" s="3">
        <f>SUM(AH199:AL199)</f>
        <v>0</v>
      </c>
      <c r="AS199" s="3" t="s">
        <v>17</v>
      </c>
      <c r="AT199" s="3" t="s">
        <v>776</v>
      </c>
      <c r="AU199" s="3" t="s">
        <v>617</v>
      </c>
      <c r="AV199" s="3" t="s">
        <v>463</v>
      </c>
    </row>
    <row r="200" spans="1:48" x14ac:dyDescent="0.25">
      <c r="A200" t="s">
        <v>1135</v>
      </c>
      <c r="B200" s="7">
        <v>43336</v>
      </c>
      <c r="C200" s="7" t="s">
        <v>844</v>
      </c>
      <c r="D200" s="3" t="s">
        <v>6</v>
      </c>
      <c r="E200" s="3" t="s">
        <v>618</v>
      </c>
      <c r="F200" s="3" t="s">
        <v>78</v>
      </c>
      <c r="G200" s="3" t="s">
        <v>19</v>
      </c>
      <c r="H200" s="9">
        <v>39.939288024468603</v>
      </c>
      <c r="I200" s="9">
        <v>1.7203203248403701E-3</v>
      </c>
      <c r="J200" s="3">
        <v>1</v>
      </c>
      <c r="K200" s="3">
        <v>1</v>
      </c>
      <c r="L200" s="3">
        <v>0</v>
      </c>
      <c r="M200" s="3">
        <v>0</v>
      </c>
      <c r="N200" s="3" t="s">
        <v>66</v>
      </c>
      <c r="O200" s="3">
        <v>0</v>
      </c>
      <c r="P200" s="3">
        <v>0</v>
      </c>
      <c r="Q200" s="3">
        <v>1</v>
      </c>
      <c r="R200" s="3">
        <v>0</v>
      </c>
      <c r="S200" s="3">
        <v>0</v>
      </c>
      <c r="T200" s="3">
        <v>0</v>
      </c>
      <c r="U200" s="3">
        <v>0</v>
      </c>
      <c r="V200" s="3">
        <v>0</v>
      </c>
      <c r="W200" s="3">
        <v>0</v>
      </c>
      <c r="X200" s="3">
        <v>0</v>
      </c>
      <c r="Y200" s="3">
        <v>1</v>
      </c>
      <c r="Z200" s="3">
        <v>0</v>
      </c>
      <c r="AA200" s="3">
        <v>0</v>
      </c>
      <c r="AB200" s="3">
        <v>0</v>
      </c>
      <c r="AC200" s="3">
        <v>0</v>
      </c>
      <c r="AD200" s="3">
        <v>0</v>
      </c>
      <c r="AE200" s="3" t="s">
        <v>6</v>
      </c>
      <c r="AF200" s="3">
        <f>SUM(AH200:AL200)</f>
        <v>0</v>
      </c>
      <c r="AS200" s="3" t="s">
        <v>17</v>
      </c>
      <c r="AT200" s="3" t="s">
        <v>776</v>
      </c>
      <c r="AU200" s="3" t="s">
        <v>619</v>
      </c>
      <c r="AV200" s="3" t="s">
        <v>249</v>
      </c>
    </row>
    <row r="201" spans="1:48" x14ac:dyDescent="0.25">
      <c r="A201" t="s">
        <v>1136</v>
      </c>
      <c r="B201" s="7">
        <v>45833</v>
      </c>
      <c r="C201" s="7" t="s">
        <v>844</v>
      </c>
      <c r="D201" s="3" t="s">
        <v>6</v>
      </c>
      <c r="E201" s="3" t="s">
        <v>405</v>
      </c>
      <c r="F201" s="3" t="s">
        <v>24</v>
      </c>
      <c r="G201" s="3" t="s">
        <v>20</v>
      </c>
      <c r="H201" s="9">
        <v>41.454660455716201</v>
      </c>
      <c r="I201" s="9">
        <v>2.2606209429900002</v>
      </c>
      <c r="J201" s="3">
        <v>1</v>
      </c>
      <c r="K201" s="3">
        <v>1</v>
      </c>
      <c r="L201" s="3">
        <v>0</v>
      </c>
      <c r="M201" s="3">
        <v>0</v>
      </c>
      <c r="N201" s="3" t="s">
        <v>16</v>
      </c>
      <c r="O201" s="3">
        <v>0</v>
      </c>
      <c r="P201" s="3">
        <v>0</v>
      </c>
      <c r="Q201" s="3">
        <v>0</v>
      </c>
      <c r="R201" s="3">
        <v>0</v>
      </c>
      <c r="S201" s="3">
        <v>1</v>
      </c>
      <c r="T201" s="3">
        <v>0</v>
      </c>
      <c r="U201" s="3">
        <v>0</v>
      </c>
      <c r="V201" s="3">
        <v>0</v>
      </c>
      <c r="W201" s="3">
        <v>0</v>
      </c>
      <c r="X201" s="3">
        <v>0</v>
      </c>
      <c r="Y201" s="3">
        <v>0</v>
      </c>
      <c r="Z201" s="3">
        <v>1</v>
      </c>
      <c r="AA201" s="3">
        <v>0</v>
      </c>
      <c r="AB201" s="3">
        <v>0</v>
      </c>
      <c r="AC201" s="3">
        <v>0</v>
      </c>
      <c r="AD201" s="3">
        <v>0</v>
      </c>
      <c r="AE201" s="3" t="s">
        <v>6</v>
      </c>
      <c r="AF201" s="3" t="s">
        <v>1433</v>
      </c>
      <c r="AS201" s="3" t="s">
        <v>17</v>
      </c>
      <c r="AT201" s="3" t="s">
        <v>780</v>
      </c>
      <c r="AU201" s="3" t="s">
        <v>620</v>
      </c>
    </row>
    <row r="202" spans="1:48" x14ac:dyDescent="0.25">
      <c r="A202" t="s">
        <v>1141</v>
      </c>
      <c r="B202" s="7">
        <v>45505</v>
      </c>
      <c r="C202" s="7" t="s">
        <v>844</v>
      </c>
      <c r="D202" s="4">
        <v>0.33333333333333331</v>
      </c>
      <c r="E202" s="3" t="s">
        <v>405</v>
      </c>
      <c r="F202" s="3" t="s">
        <v>24</v>
      </c>
      <c r="G202" s="3" t="s">
        <v>20</v>
      </c>
      <c r="H202" s="9">
        <v>41.454660455716201</v>
      </c>
      <c r="I202" s="9">
        <v>2.2606209429900002</v>
      </c>
      <c r="J202" s="3">
        <v>1</v>
      </c>
      <c r="K202" s="3">
        <v>1</v>
      </c>
      <c r="L202" s="3">
        <v>0</v>
      </c>
      <c r="M202" s="3">
        <v>0</v>
      </c>
      <c r="N202" s="3" t="s">
        <v>16</v>
      </c>
      <c r="O202" s="3">
        <v>0</v>
      </c>
      <c r="P202" s="3">
        <v>0</v>
      </c>
      <c r="Q202" s="3">
        <v>0</v>
      </c>
      <c r="R202" s="3">
        <v>0</v>
      </c>
      <c r="S202" s="3">
        <v>1</v>
      </c>
      <c r="T202" s="3">
        <v>0</v>
      </c>
      <c r="U202" s="3">
        <v>0</v>
      </c>
      <c r="V202" s="3">
        <v>0</v>
      </c>
      <c r="W202" s="3">
        <v>0</v>
      </c>
      <c r="X202" s="3">
        <v>0</v>
      </c>
      <c r="Y202" s="3">
        <v>0</v>
      </c>
      <c r="Z202" s="3">
        <v>1</v>
      </c>
      <c r="AA202" s="3">
        <v>0</v>
      </c>
      <c r="AB202" s="3">
        <v>0</v>
      </c>
      <c r="AC202" s="3">
        <v>0</v>
      </c>
      <c r="AD202" s="3">
        <v>0</v>
      </c>
      <c r="AE202" s="3" t="s">
        <v>6</v>
      </c>
      <c r="AF202" s="3" t="s">
        <v>1433</v>
      </c>
      <c r="AS202" s="3" t="s">
        <v>17</v>
      </c>
      <c r="AT202" s="3" t="s">
        <v>780</v>
      </c>
      <c r="AU202" s="3" t="s">
        <v>629</v>
      </c>
    </row>
    <row r="203" spans="1:48" x14ac:dyDescent="0.25">
      <c r="A203" t="s">
        <v>1143</v>
      </c>
      <c r="B203" s="7">
        <v>45821</v>
      </c>
      <c r="C203" s="7" t="s">
        <v>844</v>
      </c>
      <c r="D203" s="4">
        <v>0.52222222222222225</v>
      </c>
      <c r="E203" s="3" t="s">
        <v>631</v>
      </c>
      <c r="F203" s="3" t="s">
        <v>8</v>
      </c>
      <c r="G203" s="3" t="s">
        <v>8</v>
      </c>
      <c r="H203" s="9">
        <v>38.740209456443303</v>
      </c>
      <c r="I203" s="9">
        <v>1.4285083001715899</v>
      </c>
      <c r="J203" s="3">
        <v>1</v>
      </c>
      <c r="K203" s="3">
        <v>1</v>
      </c>
      <c r="L203" s="3">
        <v>0</v>
      </c>
      <c r="M203" s="3">
        <v>0</v>
      </c>
      <c r="N203" s="3" t="s">
        <v>16</v>
      </c>
      <c r="O203" s="3">
        <v>0</v>
      </c>
      <c r="P203" s="3">
        <v>0</v>
      </c>
      <c r="Q203" s="3">
        <v>0</v>
      </c>
      <c r="R203" s="3">
        <v>1</v>
      </c>
      <c r="S203" s="3">
        <v>0</v>
      </c>
      <c r="T203" s="3">
        <v>0</v>
      </c>
      <c r="U203" s="3">
        <v>0</v>
      </c>
      <c r="V203" s="3">
        <v>0</v>
      </c>
      <c r="W203" s="3">
        <v>0</v>
      </c>
      <c r="X203" s="3">
        <v>0</v>
      </c>
      <c r="Y203" s="3">
        <v>0</v>
      </c>
      <c r="Z203" s="3">
        <v>1</v>
      </c>
      <c r="AA203" s="3">
        <v>0</v>
      </c>
      <c r="AB203" s="3">
        <v>0</v>
      </c>
      <c r="AC203" s="3">
        <v>0</v>
      </c>
      <c r="AD203" s="3">
        <v>0</v>
      </c>
      <c r="AE203" s="3" t="s">
        <v>6</v>
      </c>
      <c r="AF203" s="3" t="s">
        <v>1433</v>
      </c>
      <c r="AS203" s="3" t="s">
        <v>17</v>
      </c>
      <c r="AT203" s="3" t="s">
        <v>780</v>
      </c>
      <c r="AU203" s="3" t="s">
        <v>632</v>
      </c>
      <c r="AV203" s="3" t="s">
        <v>249</v>
      </c>
    </row>
    <row r="204" spans="1:48" x14ac:dyDescent="0.25">
      <c r="A204" t="s">
        <v>1196</v>
      </c>
      <c r="B204" s="7">
        <v>45830</v>
      </c>
      <c r="C204" s="7" t="s">
        <v>844</v>
      </c>
      <c r="D204" s="3" t="s">
        <v>6</v>
      </c>
      <c r="E204" s="3" t="s">
        <v>677</v>
      </c>
      <c r="F204" s="3" t="s">
        <v>8</v>
      </c>
      <c r="G204" s="3" t="s">
        <v>8</v>
      </c>
      <c r="H204" s="9">
        <v>39.466680641362402</v>
      </c>
      <c r="I204" s="9">
        <v>3.2797964528550598</v>
      </c>
      <c r="J204" s="3">
        <v>1</v>
      </c>
      <c r="K204" s="3">
        <v>1</v>
      </c>
      <c r="L204" s="3">
        <v>0</v>
      </c>
      <c r="M204" s="3">
        <v>0</v>
      </c>
      <c r="N204" s="3" t="s">
        <v>66</v>
      </c>
      <c r="O204" s="3">
        <v>0</v>
      </c>
      <c r="P204" s="3">
        <v>1</v>
      </c>
      <c r="Q204" s="3">
        <v>0</v>
      </c>
      <c r="R204" s="3">
        <v>0</v>
      </c>
      <c r="S204" s="3">
        <v>0</v>
      </c>
      <c r="T204" s="3">
        <v>0</v>
      </c>
      <c r="U204" s="3">
        <v>0</v>
      </c>
      <c r="V204" s="3">
        <v>0</v>
      </c>
      <c r="W204" s="3">
        <v>0</v>
      </c>
      <c r="X204" s="3">
        <v>0</v>
      </c>
      <c r="Y204" s="3">
        <v>1</v>
      </c>
      <c r="Z204" s="3">
        <v>0</v>
      </c>
      <c r="AA204" s="3">
        <v>0</v>
      </c>
      <c r="AB204" s="3">
        <v>0</v>
      </c>
      <c r="AC204" s="3">
        <v>0</v>
      </c>
      <c r="AD204" s="3">
        <v>0</v>
      </c>
      <c r="AE204" s="3" t="s">
        <v>6</v>
      </c>
      <c r="AF204" s="3">
        <f>SUM(AH204:AL204)</f>
        <v>0</v>
      </c>
      <c r="AS204" s="3" t="s">
        <v>577</v>
      </c>
      <c r="AT204" s="3" t="s">
        <v>681</v>
      </c>
      <c r="AU204" s="3" t="s">
        <v>681</v>
      </c>
      <c r="AV204" s="3" t="s">
        <v>714</v>
      </c>
    </row>
    <row r="205" spans="1:48" x14ac:dyDescent="0.25">
      <c r="A205" t="s">
        <v>1202</v>
      </c>
      <c r="B205" s="7">
        <v>45839</v>
      </c>
      <c r="C205" s="7" t="s">
        <v>844</v>
      </c>
      <c r="D205" s="3" t="s">
        <v>6</v>
      </c>
      <c r="E205" s="3" t="s">
        <v>684</v>
      </c>
      <c r="F205" s="3" t="s">
        <v>24</v>
      </c>
      <c r="G205" s="3" t="s">
        <v>20</v>
      </c>
      <c r="H205" s="9">
        <v>41.536429187868201</v>
      </c>
      <c r="I205" s="9">
        <v>2.4522456362080201</v>
      </c>
      <c r="J205" s="3">
        <v>1</v>
      </c>
      <c r="K205" s="3">
        <v>1</v>
      </c>
      <c r="L205" s="3">
        <v>0</v>
      </c>
      <c r="M205" s="3">
        <v>0</v>
      </c>
      <c r="N205" s="3" t="s">
        <v>16</v>
      </c>
      <c r="O205" s="3">
        <v>0</v>
      </c>
      <c r="P205" s="3">
        <v>0</v>
      </c>
      <c r="Q205" s="3">
        <v>0</v>
      </c>
      <c r="R205" s="3">
        <v>0</v>
      </c>
      <c r="S205" s="3">
        <v>0</v>
      </c>
      <c r="T205" s="3">
        <v>1</v>
      </c>
      <c r="U205" s="3">
        <v>0</v>
      </c>
      <c r="V205" s="3">
        <v>0</v>
      </c>
      <c r="W205" s="3">
        <v>0</v>
      </c>
      <c r="X205" s="3">
        <v>0</v>
      </c>
      <c r="Y205" s="3">
        <v>0</v>
      </c>
      <c r="Z205" s="3">
        <v>1</v>
      </c>
      <c r="AA205" s="3">
        <v>0</v>
      </c>
      <c r="AB205" s="3">
        <v>0</v>
      </c>
      <c r="AC205" s="3">
        <v>0</v>
      </c>
      <c r="AD205" s="3">
        <v>0</v>
      </c>
      <c r="AE205" s="3" t="s">
        <v>6</v>
      </c>
      <c r="AF205" s="3" t="s">
        <v>1433</v>
      </c>
      <c r="AS205" s="3" t="s">
        <v>233</v>
      </c>
      <c r="AT205" s="3" t="s">
        <v>796</v>
      </c>
      <c r="AU205" s="3" t="s">
        <v>685</v>
      </c>
    </row>
    <row r="206" spans="1:48" x14ac:dyDescent="0.25">
      <c r="A206" t="s">
        <v>1203</v>
      </c>
      <c r="B206" s="7">
        <v>45838</v>
      </c>
      <c r="C206" s="7" t="s">
        <v>844</v>
      </c>
      <c r="D206" s="3" t="s">
        <v>6</v>
      </c>
      <c r="E206" s="3" t="s">
        <v>686</v>
      </c>
      <c r="F206" s="3" t="s">
        <v>24</v>
      </c>
      <c r="G206" s="3" t="s">
        <v>20</v>
      </c>
      <c r="H206" s="9">
        <v>41.535786352757498</v>
      </c>
      <c r="I206" s="9">
        <v>2.4506959386871499</v>
      </c>
      <c r="J206" s="3">
        <v>1</v>
      </c>
      <c r="K206" s="3">
        <v>1</v>
      </c>
      <c r="L206" s="3">
        <v>0</v>
      </c>
      <c r="M206" s="3">
        <v>0</v>
      </c>
      <c r="N206" s="3" t="s">
        <v>16</v>
      </c>
      <c r="O206" s="3">
        <v>0</v>
      </c>
      <c r="P206" s="3">
        <v>0</v>
      </c>
      <c r="Q206" s="3">
        <v>0</v>
      </c>
      <c r="R206" s="3">
        <v>1</v>
      </c>
      <c r="S206" s="3">
        <v>0</v>
      </c>
      <c r="T206" s="3">
        <v>0</v>
      </c>
      <c r="U206" s="3">
        <v>0</v>
      </c>
      <c r="V206" s="3">
        <v>0</v>
      </c>
      <c r="W206" s="3">
        <v>0</v>
      </c>
      <c r="X206" s="3">
        <v>0</v>
      </c>
      <c r="Y206" s="3">
        <v>0</v>
      </c>
      <c r="Z206" s="3">
        <v>0</v>
      </c>
      <c r="AA206" s="3">
        <v>0</v>
      </c>
      <c r="AB206" s="3">
        <v>0</v>
      </c>
      <c r="AC206" s="3">
        <v>0</v>
      </c>
      <c r="AD206" s="3">
        <v>1</v>
      </c>
      <c r="AE206" s="3" t="s">
        <v>6</v>
      </c>
      <c r="AF206" s="3" t="s">
        <v>1433</v>
      </c>
      <c r="AS206" s="3" t="s">
        <v>17</v>
      </c>
      <c r="AT206" s="3" t="s">
        <v>780</v>
      </c>
      <c r="AU206" s="3" t="s">
        <v>687</v>
      </c>
    </row>
    <row r="207" spans="1:48" x14ac:dyDescent="0.25">
      <c r="A207" t="s">
        <v>1204</v>
      </c>
      <c r="B207" s="7">
        <v>45836</v>
      </c>
      <c r="C207" s="7" t="s">
        <v>844</v>
      </c>
      <c r="D207" s="3" t="s">
        <v>6</v>
      </c>
      <c r="E207" s="3" t="s">
        <v>688</v>
      </c>
      <c r="F207" s="3" t="s">
        <v>24</v>
      </c>
      <c r="G207" s="3" t="s">
        <v>20</v>
      </c>
      <c r="H207" s="9">
        <v>41.404204503150297</v>
      </c>
      <c r="I207" s="9">
        <v>2.2188150427652</v>
      </c>
      <c r="J207" s="3">
        <v>1</v>
      </c>
      <c r="K207" s="3">
        <v>1</v>
      </c>
      <c r="L207" s="3">
        <v>0</v>
      </c>
      <c r="M207" s="3">
        <v>0</v>
      </c>
      <c r="N207" s="3" t="s">
        <v>16</v>
      </c>
      <c r="O207" s="3">
        <v>0</v>
      </c>
      <c r="P207" s="3">
        <v>0</v>
      </c>
      <c r="Q207" s="3">
        <v>0</v>
      </c>
      <c r="R207" s="3">
        <v>0</v>
      </c>
      <c r="S207" s="3">
        <v>0</v>
      </c>
      <c r="T207" s="3">
        <v>1</v>
      </c>
      <c r="U207" s="3">
        <v>0</v>
      </c>
      <c r="V207" s="3">
        <v>0</v>
      </c>
      <c r="W207" s="3">
        <v>0</v>
      </c>
      <c r="X207" s="3">
        <v>0</v>
      </c>
      <c r="Y207" s="3">
        <v>0</v>
      </c>
      <c r="Z207" s="3">
        <v>0</v>
      </c>
      <c r="AA207" s="3">
        <v>0</v>
      </c>
      <c r="AB207" s="3">
        <v>0</v>
      </c>
      <c r="AC207" s="3">
        <v>0</v>
      </c>
      <c r="AD207" s="3">
        <v>1</v>
      </c>
      <c r="AE207" s="3" t="s">
        <v>6</v>
      </c>
      <c r="AF207" s="3" t="s">
        <v>1433</v>
      </c>
      <c r="AS207" s="3" t="s">
        <v>17</v>
      </c>
      <c r="AT207" s="3" t="s">
        <v>776</v>
      </c>
      <c r="AU207" s="3" t="s">
        <v>689</v>
      </c>
      <c r="AV207" s="3" t="s">
        <v>692</v>
      </c>
    </row>
    <row r="208" spans="1:48" x14ac:dyDescent="0.25">
      <c r="A208" t="s">
        <v>1207</v>
      </c>
      <c r="B208" s="7">
        <v>45843</v>
      </c>
      <c r="C208" s="7" t="s">
        <v>844</v>
      </c>
      <c r="D208" s="3" t="s">
        <v>6</v>
      </c>
      <c r="E208" s="3" t="s">
        <v>64</v>
      </c>
      <c r="F208" s="3" t="s">
        <v>25</v>
      </c>
      <c r="G208" s="3" t="s">
        <v>19</v>
      </c>
      <c r="H208" s="9">
        <v>38.018655606931802</v>
      </c>
      <c r="I208" s="9">
        <v>-0.65242763660236203</v>
      </c>
      <c r="J208" s="3">
        <v>1</v>
      </c>
      <c r="K208" s="3">
        <v>1</v>
      </c>
      <c r="L208" s="3">
        <v>0</v>
      </c>
      <c r="M208" s="3">
        <v>0</v>
      </c>
      <c r="N208" s="3" t="s">
        <v>66</v>
      </c>
      <c r="O208" s="3">
        <v>1</v>
      </c>
      <c r="P208" s="3">
        <v>0</v>
      </c>
      <c r="Q208" s="3">
        <v>0</v>
      </c>
      <c r="R208" s="3">
        <v>0</v>
      </c>
      <c r="S208" s="3">
        <v>0</v>
      </c>
      <c r="T208" s="3">
        <v>0</v>
      </c>
      <c r="U208" s="3">
        <v>1</v>
      </c>
      <c r="V208" s="3">
        <v>0</v>
      </c>
      <c r="W208" s="3">
        <v>0</v>
      </c>
      <c r="X208" s="3">
        <v>0</v>
      </c>
      <c r="Y208" s="3">
        <v>0</v>
      </c>
      <c r="Z208" s="3">
        <v>0</v>
      </c>
      <c r="AA208" s="3">
        <v>0</v>
      </c>
      <c r="AB208" s="3">
        <v>0</v>
      </c>
      <c r="AC208" s="3">
        <v>0</v>
      </c>
      <c r="AD208" s="3">
        <v>0</v>
      </c>
      <c r="AE208" s="3" t="s">
        <v>6</v>
      </c>
      <c r="AF208" s="3">
        <f>SUM(AH208:AL208)</f>
        <v>0</v>
      </c>
      <c r="AS208" s="3" t="s">
        <v>17</v>
      </c>
      <c r="AT208" s="3" t="s">
        <v>777</v>
      </c>
      <c r="AU208" s="3" t="s">
        <v>695</v>
      </c>
      <c r="AV208" s="3" t="s">
        <v>696</v>
      </c>
    </row>
    <row r="209" spans="1:48" x14ac:dyDescent="0.25">
      <c r="A209" t="s">
        <v>1208</v>
      </c>
      <c r="B209" s="7">
        <v>45830</v>
      </c>
      <c r="C209" s="7" t="s">
        <v>844</v>
      </c>
      <c r="D209" s="3" t="s">
        <v>6</v>
      </c>
      <c r="E209" s="3" t="s">
        <v>134</v>
      </c>
      <c r="F209" s="3" t="s">
        <v>8</v>
      </c>
      <c r="G209" s="3" t="s">
        <v>8</v>
      </c>
      <c r="J209" s="3">
        <v>1</v>
      </c>
      <c r="K209" s="3">
        <v>1</v>
      </c>
      <c r="L209" s="3">
        <v>0</v>
      </c>
      <c r="M209" s="3">
        <v>0</v>
      </c>
      <c r="N209" s="3" t="s">
        <v>16</v>
      </c>
      <c r="O209" s="3">
        <v>0</v>
      </c>
      <c r="P209" s="3">
        <v>0</v>
      </c>
      <c r="Q209" s="3">
        <v>0</v>
      </c>
      <c r="R209" s="3">
        <v>1</v>
      </c>
      <c r="S209" s="3">
        <v>0</v>
      </c>
      <c r="T209" s="3">
        <v>0</v>
      </c>
      <c r="U209" s="3">
        <v>0</v>
      </c>
      <c r="V209" s="3">
        <v>0</v>
      </c>
      <c r="W209" s="3">
        <v>0</v>
      </c>
      <c r="X209" s="3">
        <v>0</v>
      </c>
      <c r="Y209" s="3">
        <v>0</v>
      </c>
      <c r="Z209" s="3">
        <v>1</v>
      </c>
      <c r="AA209" s="3">
        <v>0</v>
      </c>
      <c r="AB209" s="3">
        <v>0</v>
      </c>
      <c r="AC209" s="3">
        <v>0</v>
      </c>
      <c r="AD209" s="3">
        <v>0</v>
      </c>
      <c r="AE209" s="3" t="s">
        <v>6</v>
      </c>
      <c r="AF209" s="3" t="s">
        <v>1433</v>
      </c>
      <c r="AS209" s="3" t="s">
        <v>17</v>
      </c>
      <c r="AT209" s="3" t="s">
        <v>776</v>
      </c>
      <c r="AU209" s="3" t="s">
        <v>697</v>
      </c>
      <c r="AV209" s="3" t="s">
        <v>698</v>
      </c>
    </row>
    <row r="210" spans="1:48" x14ac:dyDescent="0.25">
      <c r="A210" t="s">
        <v>1210</v>
      </c>
      <c r="B210" s="7">
        <v>45465</v>
      </c>
      <c r="C210" s="7" t="s">
        <v>844</v>
      </c>
      <c r="D210" s="3" t="s">
        <v>6</v>
      </c>
      <c r="E210" s="3" t="s">
        <v>700</v>
      </c>
      <c r="F210" s="3" t="s">
        <v>25</v>
      </c>
      <c r="G210" s="3" t="s">
        <v>19</v>
      </c>
      <c r="H210" s="9">
        <v>38.1801543288326</v>
      </c>
      <c r="I210" s="9">
        <v>-0.56312822050300204</v>
      </c>
      <c r="J210" s="3">
        <v>1</v>
      </c>
      <c r="K210" s="3">
        <v>1</v>
      </c>
      <c r="L210" s="3">
        <v>0</v>
      </c>
      <c r="M210" s="3">
        <v>0</v>
      </c>
      <c r="N210" s="3" t="s">
        <v>16</v>
      </c>
      <c r="O210" s="3">
        <v>0</v>
      </c>
      <c r="P210" s="3">
        <v>0</v>
      </c>
      <c r="Q210" s="3">
        <v>0</v>
      </c>
      <c r="R210" s="3">
        <v>0</v>
      </c>
      <c r="S210" s="3">
        <v>1</v>
      </c>
      <c r="T210" s="3">
        <v>0</v>
      </c>
      <c r="U210" s="3">
        <v>0</v>
      </c>
      <c r="V210" s="3">
        <v>0</v>
      </c>
      <c r="W210" s="3">
        <v>0</v>
      </c>
      <c r="X210" s="3">
        <v>0</v>
      </c>
      <c r="Y210" s="3">
        <v>0</v>
      </c>
      <c r="Z210" s="3">
        <v>1</v>
      </c>
      <c r="AA210" s="3">
        <v>0</v>
      </c>
      <c r="AB210" s="3">
        <v>0</v>
      </c>
      <c r="AC210" s="3">
        <v>0</v>
      </c>
      <c r="AD210" s="3">
        <v>0</v>
      </c>
      <c r="AE210" s="3" t="s">
        <v>6</v>
      </c>
      <c r="AF210" s="3" t="s">
        <v>1433</v>
      </c>
      <c r="AS210" s="3" t="s">
        <v>775</v>
      </c>
      <c r="AT210" s="3" t="s">
        <v>81</v>
      </c>
      <c r="AU210" s="3" t="s">
        <v>701</v>
      </c>
      <c r="AV210" s="3" t="s">
        <v>316</v>
      </c>
    </row>
    <row r="211" spans="1:48" x14ac:dyDescent="0.25">
      <c r="A211" t="s">
        <v>1211</v>
      </c>
      <c r="B211" s="7">
        <v>45487</v>
      </c>
      <c r="C211" s="7" t="s">
        <v>844</v>
      </c>
      <c r="D211" s="3" t="s">
        <v>6</v>
      </c>
      <c r="E211" s="3" t="s">
        <v>74</v>
      </c>
      <c r="F211" s="3" t="s">
        <v>23</v>
      </c>
      <c r="G211" s="3" t="s">
        <v>23</v>
      </c>
      <c r="H211" s="9">
        <v>37.392828824748499</v>
      </c>
      <c r="I211" s="9">
        <v>-1.5975640149150601</v>
      </c>
      <c r="J211" s="3">
        <v>1</v>
      </c>
      <c r="K211" s="3">
        <v>1</v>
      </c>
      <c r="L211" s="3">
        <v>0</v>
      </c>
      <c r="M211" s="3">
        <v>0</v>
      </c>
      <c r="N211" s="3" t="s">
        <v>66</v>
      </c>
      <c r="O211" s="3">
        <v>0</v>
      </c>
      <c r="P211" s="3">
        <v>1</v>
      </c>
      <c r="Q211" s="3">
        <v>0</v>
      </c>
      <c r="R211" s="3">
        <v>0</v>
      </c>
      <c r="S211" s="3">
        <v>0</v>
      </c>
      <c r="T211" s="3">
        <v>0</v>
      </c>
      <c r="U211" s="3">
        <v>1</v>
      </c>
      <c r="V211" s="3">
        <v>0</v>
      </c>
      <c r="W211" s="3">
        <v>0</v>
      </c>
      <c r="X211" s="3">
        <v>0</v>
      </c>
      <c r="Y211" s="3">
        <v>0</v>
      </c>
      <c r="Z211" s="3">
        <v>0</v>
      </c>
      <c r="AA211" s="3">
        <v>0</v>
      </c>
      <c r="AB211" s="3">
        <v>0</v>
      </c>
      <c r="AC211" s="3">
        <v>0</v>
      </c>
      <c r="AD211" s="3">
        <v>0</v>
      </c>
      <c r="AE211" s="3" t="s">
        <v>6</v>
      </c>
      <c r="AF211" s="3">
        <f>SUM(AH211:AL211)</f>
        <v>0</v>
      </c>
      <c r="AS211" s="3" t="s">
        <v>775</v>
      </c>
      <c r="AT211" s="3" t="s">
        <v>81</v>
      </c>
      <c r="AU211" s="3" t="s">
        <v>703</v>
      </c>
      <c r="AV211" s="3" t="s">
        <v>702</v>
      </c>
    </row>
    <row r="212" spans="1:48" x14ac:dyDescent="0.25">
      <c r="A212" t="s">
        <v>1212</v>
      </c>
      <c r="B212" s="7">
        <v>45492</v>
      </c>
      <c r="C212" s="7" t="s">
        <v>844</v>
      </c>
      <c r="D212" s="3" t="s">
        <v>6</v>
      </c>
      <c r="E212" s="3" t="s">
        <v>328</v>
      </c>
      <c r="F212" s="3" t="s">
        <v>23</v>
      </c>
      <c r="G212" s="3" t="s">
        <v>23</v>
      </c>
      <c r="H212" s="9">
        <v>37.505520621878198</v>
      </c>
      <c r="I212" s="9">
        <v>-1.40689925663621</v>
      </c>
      <c r="J212" s="3">
        <v>1</v>
      </c>
      <c r="K212" s="3">
        <v>1</v>
      </c>
      <c r="L212" s="3">
        <v>0</v>
      </c>
      <c r="M212" s="3">
        <v>0</v>
      </c>
      <c r="N212" s="3" t="s">
        <v>16</v>
      </c>
      <c r="O212" s="3">
        <v>0</v>
      </c>
      <c r="P212" s="3">
        <v>0</v>
      </c>
      <c r="Q212" s="3">
        <v>0</v>
      </c>
      <c r="R212" s="3">
        <v>1</v>
      </c>
      <c r="S212" s="3">
        <v>0</v>
      </c>
      <c r="T212" s="3">
        <v>0</v>
      </c>
      <c r="U212" s="3">
        <v>0</v>
      </c>
      <c r="V212" s="3">
        <v>0</v>
      </c>
      <c r="W212" s="3">
        <v>0</v>
      </c>
      <c r="X212" s="3">
        <v>0</v>
      </c>
      <c r="Y212" s="3">
        <v>0</v>
      </c>
      <c r="Z212" s="3">
        <v>1</v>
      </c>
      <c r="AA212" s="3">
        <v>0</v>
      </c>
      <c r="AB212" s="3">
        <v>0</v>
      </c>
      <c r="AC212" s="3">
        <v>0</v>
      </c>
      <c r="AD212" s="3">
        <v>0</v>
      </c>
      <c r="AE212" s="3" t="s">
        <v>6</v>
      </c>
      <c r="AF212" s="3" t="s">
        <v>1433</v>
      </c>
      <c r="AS212" s="3" t="s">
        <v>775</v>
      </c>
      <c r="AT212" s="3" t="s">
        <v>81</v>
      </c>
      <c r="AU212" s="3" t="s">
        <v>705</v>
      </c>
      <c r="AV212" s="3" t="s">
        <v>706</v>
      </c>
    </row>
    <row r="213" spans="1:48" x14ac:dyDescent="0.25">
      <c r="A213" t="s">
        <v>1214</v>
      </c>
      <c r="B213" s="7">
        <v>45499</v>
      </c>
      <c r="C213" s="7" t="s">
        <v>844</v>
      </c>
      <c r="D213" s="3" t="s">
        <v>6</v>
      </c>
      <c r="E213" s="3" t="s">
        <v>128</v>
      </c>
      <c r="F213" s="3" t="s">
        <v>23</v>
      </c>
      <c r="G213" s="3" t="s">
        <v>23</v>
      </c>
      <c r="H213" s="9">
        <v>37.556577499086004</v>
      </c>
      <c r="I213" s="9">
        <v>-0.96710258860355103</v>
      </c>
      <c r="J213" s="3">
        <v>1</v>
      </c>
      <c r="K213" s="3">
        <v>1</v>
      </c>
      <c r="L213" s="3">
        <v>0</v>
      </c>
      <c r="M213" s="3">
        <v>0</v>
      </c>
      <c r="N213" s="3" t="s">
        <v>16</v>
      </c>
      <c r="O213" s="3">
        <v>0</v>
      </c>
      <c r="P213" s="3">
        <v>0</v>
      </c>
      <c r="Q213" s="3">
        <v>0</v>
      </c>
      <c r="R213" s="3">
        <v>1</v>
      </c>
      <c r="S213" s="3">
        <v>0</v>
      </c>
      <c r="T213" s="3">
        <v>0</v>
      </c>
      <c r="U213" s="3">
        <v>0</v>
      </c>
      <c r="V213" s="3">
        <v>0</v>
      </c>
      <c r="W213" s="3">
        <v>0</v>
      </c>
      <c r="X213" s="3">
        <v>0</v>
      </c>
      <c r="Y213" s="3">
        <v>0</v>
      </c>
      <c r="Z213" s="3">
        <v>1</v>
      </c>
      <c r="AA213" s="3">
        <v>0</v>
      </c>
      <c r="AB213" s="3">
        <v>0</v>
      </c>
      <c r="AC213" s="3">
        <v>0</v>
      </c>
      <c r="AD213" s="3">
        <v>0</v>
      </c>
      <c r="AE213" s="3" t="s">
        <v>6</v>
      </c>
      <c r="AF213" s="3" t="s">
        <v>1433</v>
      </c>
      <c r="AS213" s="3" t="s">
        <v>775</v>
      </c>
      <c r="AT213" s="3" t="s">
        <v>81</v>
      </c>
      <c r="AU213" s="3" t="s">
        <v>708</v>
      </c>
    </row>
    <row r="214" spans="1:48" x14ac:dyDescent="0.25">
      <c r="A214" t="s">
        <v>1215</v>
      </c>
      <c r="B214" s="7">
        <v>45480</v>
      </c>
      <c r="C214" s="7" t="s">
        <v>844</v>
      </c>
      <c r="D214" s="3" t="s">
        <v>6</v>
      </c>
      <c r="F214" s="3" t="s">
        <v>25</v>
      </c>
      <c r="G214" s="3" t="s">
        <v>19</v>
      </c>
      <c r="H214" s="9">
        <v>38.549122408396698</v>
      </c>
      <c r="I214" s="9">
        <v>9.8065713921237599E-2</v>
      </c>
      <c r="J214" s="3">
        <v>1</v>
      </c>
      <c r="K214" s="3">
        <v>1</v>
      </c>
      <c r="L214" s="3">
        <v>0</v>
      </c>
      <c r="M214" s="3">
        <v>0</v>
      </c>
      <c r="N214" s="3" t="s">
        <v>66</v>
      </c>
      <c r="O214" s="3">
        <v>0</v>
      </c>
      <c r="P214" s="3">
        <v>1</v>
      </c>
      <c r="Q214" s="3">
        <v>0</v>
      </c>
      <c r="R214" s="3">
        <v>0</v>
      </c>
      <c r="S214" s="3">
        <v>0</v>
      </c>
      <c r="T214" s="3">
        <v>0</v>
      </c>
      <c r="U214" s="3">
        <v>1</v>
      </c>
      <c r="V214" s="3">
        <v>0</v>
      </c>
      <c r="W214" s="3">
        <v>0</v>
      </c>
      <c r="X214" s="3">
        <v>0</v>
      </c>
      <c r="Y214" s="3">
        <v>0</v>
      </c>
      <c r="Z214" s="3">
        <v>0</v>
      </c>
      <c r="AA214" s="3">
        <v>0</v>
      </c>
      <c r="AB214" s="3">
        <v>0</v>
      </c>
      <c r="AC214" s="3">
        <v>0</v>
      </c>
      <c r="AD214" s="3">
        <v>0</v>
      </c>
      <c r="AE214" s="3" t="s">
        <v>6</v>
      </c>
      <c r="AF214" s="3">
        <f>SUM(AH214:AL214)</f>
        <v>0</v>
      </c>
      <c r="AS214" s="3" t="s">
        <v>775</v>
      </c>
      <c r="AT214" s="3" t="s">
        <v>81</v>
      </c>
      <c r="AU214" s="3" t="s">
        <v>709</v>
      </c>
    </row>
    <row r="215" spans="1:48" x14ac:dyDescent="0.25">
      <c r="A215" t="s">
        <v>1216</v>
      </c>
      <c r="B215" s="7">
        <v>45803</v>
      </c>
      <c r="C215" s="7" t="s">
        <v>842</v>
      </c>
      <c r="D215" s="3" t="s">
        <v>6</v>
      </c>
      <c r="E215" s="3" t="s">
        <v>131</v>
      </c>
      <c r="F215" s="3" t="s">
        <v>8</v>
      </c>
      <c r="G215" s="3" t="s">
        <v>8</v>
      </c>
      <c r="H215" s="9">
        <v>38.959645490571098</v>
      </c>
      <c r="I215" s="9">
        <v>1.53101671416745</v>
      </c>
      <c r="J215" s="3">
        <v>1</v>
      </c>
      <c r="K215" s="3">
        <v>1</v>
      </c>
      <c r="L215" s="3">
        <v>0</v>
      </c>
      <c r="M215" s="3">
        <v>0</v>
      </c>
      <c r="N215" s="3" t="s">
        <v>16</v>
      </c>
      <c r="O215" s="3">
        <v>0</v>
      </c>
      <c r="P215" s="3">
        <v>0</v>
      </c>
      <c r="Q215" s="3">
        <v>0</v>
      </c>
      <c r="R215" s="3">
        <v>0</v>
      </c>
      <c r="S215" s="3">
        <v>0</v>
      </c>
      <c r="T215" s="3">
        <v>1</v>
      </c>
      <c r="U215" s="3">
        <v>0</v>
      </c>
      <c r="V215" s="3">
        <v>0</v>
      </c>
      <c r="W215" s="3">
        <v>0</v>
      </c>
      <c r="X215" s="3">
        <v>0</v>
      </c>
      <c r="Y215" s="3">
        <v>0</v>
      </c>
      <c r="Z215" s="3">
        <v>1</v>
      </c>
      <c r="AA215" s="3">
        <v>0</v>
      </c>
      <c r="AB215" s="3">
        <v>0</v>
      </c>
      <c r="AC215" s="3">
        <v>0</v>
      </c>
      <c r="AD215" s="3">
        <v>0</v>
      </c>
      <c r="AE215" s="3" t="s">
        <v>6</v>
      </c>
      <c r="AF215" s="3" t="s">
        <v>1433</v>
      </c>
      <c r="AS215" s="3" t="s">
        <v>775</v>
      </c>
      <c r="AT215" s="3" t="s">
        <v>81</v>
      </c>
      <c r="AU215" s="3" t="s">
        <v>710</v>
      </c>
    </row>
    <row r="216" spans="1:48" x14ac:dyDescent="0.25">
      <c r="A216" t="s">
        <v>1217</v>
      </c>
      <c r="B216" s="7">
        <v>45805</v>
      </c>
      <c r="C216" s="7" t="s">
        <v>842</v>
      </c>
      <c r="D216" s="3" t="s">
        <v>6</v>
      </c>
      <c r="E216" s="3" t="s">
        <v>134</v>
      </c>
      <c r="F216" s="3" t="s">
        <v>8</v>
      </c>
      <c r="G216" s="3" t="s">
        <v>8</v>
      </c>
      <c r="H216" s="9">
        <v>39.890303703477997</v>
      </c>
      <c r="I216" s="9">
        <v>4.0813475658571798</v>
      </c>
      <c r="J216" s="3">
        <v>1</v>
      </c>
      <c r="K216" s="3">
        <v>0</v>
      </c>
      <c r="L216" s="3">
        <v>1</v>
      </c>
      <c r="M216" s="3">
        <v>0</v>
      </c>
      <c r="N216" s="3" t="s">
        <v>66</v>
      </c>
      <c r="O216" s="3">
        <v>1</v>
      </c>
      <c r="P216" s="3">
        <v>0</v>
      </c>
      <c r="Q216" s="3">
        <v>0</v>
      </c>
      <c r="R216" s="3">
        <v>0</v>
      </c>
      <c r="S216" s="3">
        <v>0</v>
      </c>
      <c r="T216" s="3">
        <v>0</v>
      </c>
      <c r="U216" s="3">
        <v>1</v>
      </c>
      <c r="V216" s="3">
        <v>0</v>
      </c>
      <c r="W216" s="3">
        <v>0</v>
      </c>
      <c r="X216" s="3">
        <v>0</v>
      </c>
      <c r="Y216" s="3">
        <v>0</v>
      </c>
      <c r="Z216" s="3">
        <v>0</v>
      </c>
      <c r="AA216" s="3">
        <v>0</v>
      </c>
      <c r="AB216" s="3">
        <v>0</v>
      </c>
      <c r="AC216" s="3">
        <v>0</v>
      </c>
      <c r="AD216" s="3">
        <v>0</v>
      </c>
      <c r="AE216" s="3" t="s">
        <v>6</v>
      </c>
      <c r="AF216" s="3">
        <f>SUM(AH216:AL216)</f>
        <v>0</v>
      </c>
      <c r="AS216" s="3" t="s">
        <v>775</v>
      </c>
      <c r="AT216" s="3" t="s">
        <v>81</v>
      </c>
      <c r="AU216" s="3" t="s">
        <v>711</v>
      </c>
    </row>
    <row r="217" spans="1:48" x14ac:dyDescent="0.25">
      <c r="A217" t="s">
        <v>1218</v>
      </c>
      <c r="B217" s="7">
        <v>45849</v>
      </c>
      <c r="C217" s="7" t="s">
        <v>844</v>
      </c>
      <c r="D217" s="3" t="s">
        <v>6</v>
      </c>
      <c r="E217" s="3" t="s">
        <v>121</v>
      </c>
      <c r="F217" s="3" t="s">
        <v>59</v>
      </c>
      <c r="G217" s="3" t="s">
        <v>20</v>
      </c>
      <c r="H217" s="9">
        <v>41.691565206225498</v>
      </c>
      <c r="I217" s="9">
        <v>2.8304039205287101</v>
      </c>
      <c r="J217" s="3">
        <v>1</v>
      </c>
      <c r="K217" s="3">
        <v>1</v>
      </c>
      <c r="L217" s="3">
        <v>0</v>
      </c>
      <c r="M217" s="3">
        <v>0</v>
      </c>
      <c r="N217" s="3" t="s">
        <v>66</v>
      </c>
      <c r="O217" s="3">
        <v>0</v>
      </c>
      <c r="P217" s="3">
        <v>1</v>
      </c>
      <c r="Q217" s="3">
        <v>0</v>
      </c>
      <c r="R217" s="3">
        <v>0</v>
      </c>
      <c r="S217" s="3">
        <v>0</v>
      </c>
      <c r="T217" s="3">
        <v>0</v>
      </c>
      <c r="U217" s="3">
        <v>1</v>
      </c>
      <c r="V217" s="3">
        <v>0</v>
      </c>
      <c r="W217" s="3">
        <v>0</v>
      </c>
      <c r="X217" s="3">
        <v>0</v>
      </c>
      <c r="Y217" s="3">
        <v>0</v>
      </c>
      <c r="Z217" s="3">
        <v>0</v>
      </c>
      <c r="AA217" s="3">
        <v>0</v>
      </c>
      <c r="AB217" s="3">
        <v>0</v>
      </c>
      <c r="AC217" s="3">
        <v>0</v>
      </c>
      <c r="AD217" s="3">
        <v>0</v>
      </c>
      <c r="AE217" s="3" t="s">
        <v>6</v>
      </c>
      <c r="AF217" s="3">
        <f>SUM(AH217:AL217)</f>
        <v>0</v>
      </c>
      <c r="AS217" s="3" t="s">
        <v>775</v>
      </c>
      <c r="AT217" s="3" t="s">
        <v>81</v>
      </c>
      <c r="AU217" s="3" t="s">
        <v>713</v>
      </c>
      <c r="AV217" s="3" t="s">
        <v>241</v>
      </c>
    </row>
    <row r="218" spans="1:48" x14ac:dyDescent="0.25">
      <c r="A218" t="s">
        <v>1220</v>
      </c>
      <c r="B218" s="7">
        <v>45514</v>
      </c>
      <c r="C218" s="7" t="s">
        <v>844</v>
      </c>
      <c r="D218" s="3" t="s">
        <v>6</v>
      </c>
      <c r="E218" s="3" t="s">
        <v>715</v>
      </c>
      <c r="F218" s="3" t="s">
        <v>47</v>
      </c>
      <c r="G218" s="3" t="s">
        <v>21</v>
      </c>
      <c r="H218" s="9">
        <v>37.129925778481599</v>
      </c>
      <c r="I218" s="9">
        <v>-1.8285593264052</v>
      </c>
      <c r="J218" s="3">
        <v>1</v>
      </c>
      <c r="K218" s="3">
        <v>1</v>
      </c>
      <c r="L218" s="3">
        <v>0</v>
      </c>
      <c r="M218" s="3">
        <v>0</v>
      </c>
      <c r="N218" s="3" t="s">
        <v>66</v>
      </c>
      <c r="O218" s="3">
        <v>0</v>
      </c>
      <c r="P218" s="3">
        <v>0</v>
      </c>
      <c r="Q218" s="3">
        <v>1</v>
      </c>
      <c r="R218" s="3">
        <v>0</v>
      </c>
      <c r="S218" s="3">
        <v>0</v>
      </c>
      <c r="T218" s="3">
        <v>0</v>
      </c>
      <c r="U218" s="3">
        <v>0</v>
      </c>
      <c r="V218" s="3">
        <v>0</v>
      </c>
      <c r="W218" s="3">
        <v>0</v>
      </c>
      <c r="X218" s="3">
        <v>0</v>
      </c>
      <c r="Y218" s="3">
        <v>1</v>
      </c>
      <c r="Z218" s="3">
        <v>0</v>
      </c>
      <c r="AA218" s="3">
        <v>0</v>
      </c>
      <c r="AB218" s="3">
        <v>0</v>
      </c>
      <c r="AC218" s="3">
        <v>0</v>
      </c>
      <c r="AD218" s="3">
        <v>0</v>
      </c>
      <c r="AE218" s="3" t="s">
        <v>6</v>
      </c>
      <c r="AF218" s="3">
        <f>SUM(AH218:AL218)</f>
        <v>0</v>
      </c>
      <c r="AS218" s="3" t="s">
        <v>17</v>
      </c>
      <c r="AT218" s="3" t="s">
        <v>781</v>
      </c>
      <c r="AU218" s="3" t="s">
        <v>716</v>
      </c>
      <c r="AV218" s="3" t="s">
        <v>316</v>
      </c>
    </row>
    <row r="219" spans="1:48" x14ac:dyDescent="0.25">
      <c r="A219" t="s">
        <v>1222</v>
      </c>
      <c r="B219" s="7">
        <v>44633</v>
      </c>
      <c r="C219" s="7" t="s">
        <v>842</v>
      </c>
      <c r="D219" s="3" t="s">
        <v>6</v>
      </c>
      <c r="E219" s="3" t="s">
        <v>91</v>
      </c>
      <c r="F219" s="3" t="s">
        <v>59</v>
      </c>
      <c r="G219" s="3" t="s">
        <v>20</v>
      </c>
      <c r="H219" s="9">
        <v>42.373797852649602</v>
      </c>
      <c r="I219" s="9">
        <v>3.18187193802423</v>
      </c>
      <c r="J219" s="3">
        <v>1</v>
      </c>
      <c r="K219" s="3">
        <v>1</v>
      </c>
      <c r="L219" s="3">
        <v>0</v>
      </c>
      <c r="M219" s="3">
        <v>0</v>
      </c>
      <c r="N219" s="3" t="s">
        <v>16</v>
      </c>
      <c r="O219" s="3">
        <v>0</v>
      </c>
      <c r="P219" s="3">
        <v>0</v>
      </c>
      <c r="Q219" s="3">
        <v>0</v>
      </c>
      <c r="R219" s="3">
        <v>0</v>
      </c>
      <c r="S219" s="3">
        <v>1</v>
      </c>
      <c r="T219" s="3">
        <v>0</v>
      </c>
      <c r="U219" s="3">
        <v>0</v>
      </c>
      <c r="V219" s="3">
        <v>0</v>
      </c>
      <c r="W219" s="3">
        <v>0</v>
      </c>
      <c r="X219" s="3">
        <v>0</v>
      </c>
      <c r="Y219" s="3">
        <v>0</v>
      </c>
      <c r="Z219" s="3">
        <v>1</v>
      </c>
      <c r="AA219" s="3">
        <v>0</v>
      </c>
      <c r="AB219" s="3">
        <v>0</v>
      </c>
      <c r="AC219" s="3">
        <v>0</v>
      </c>
      <c r="AD219" s="3">
        <v>0</v>
      </c>
      <c r="AE219" s="3" t="s">
        <v>6</v>
      </c>
      <c r="AF219" s="3" t="s">
        <v>1433</v>
      </c>
      <c r="AS219" s="3" t="s">
        <v>17</v>
      </c>
      <c r="AT219" s="3" t="s">
        <v>776</v>
      </c>
      <c r="AU219" s="3" t="s">
        <v>719</v>
      </c>
      <c r="AV219" s="3" t="s">
        <v>316</v>
      </c>
    </row>
    <row r="220" spans="1:48" x14ac:dyDescent="0.25">
      <c r="A220" t="s">
        <v>1223</v>
      </c>
      <c r="B220" s="7">
        <v>45827</v>
      </c>
      <c r="C220" s="7" t="s">
        <v>844</v>
      </c>
      <c r="D220" s="3" t="s">
        <v>6</v>
      </c>
      <c r="E220" s="3" t="s">
        <v>609</v>
      </c>
      <c r="F220" s="3" t="s">
        <v>59</v>
      </c>
      <c r="G220" s="3" t="s">
        <v>20</v>
      </c>
      <c r="H220" s="9">
        <v>42.280832206013102</v>
      </c>
      <c r="I220" s="9">
        <v>3.2770603609483202</v>
      </c>
      <c r="J220" s="3">
        <v>1</v>
      </c>
      <c r="K220" s="3">
        <v>1</v>
      </c>
      <c r="L220" s="3">
        <v>0</v>
      </c>
      <c r="M220" s="3">
        <v>0</v>
      </c>
      <c r="N220" s="3" t="s">
        <v>16</v>
      </c>
      <c r="O220" s="3">
        <v>0</v>
      </c>
      <c r="P220" s="3">
        <v>0</v>
      </c>
      <c r="Q220" s="3">
        <v>0</v>
      </c>
      <c r="R220" s="3">
        <v>0</v>
      </c>
      <c r="S220" s="3">
        <v>1</v>
      </c>
      <c r="T220" s="3">
        <v>0</v>
      </c>
      <c r="U220" s="3">
        <v>0</v>
      </c>
      <c r="V220" s="3">
        <v>0</v>
      </c>
      <c r="W220" s="3">
        <v>0</v>
      </c>
      <c r="X220" s="3">
        <v>0</v>
      </c>
      <c r="Y220" s="3">
        <v>0</v>
      </c>
      <c r="Z220" s="3">
        <v>1</v>
      </c>
      <c r="AA220" s="3">
        <v>0</v>
      </c>
      <c r="AB220" s="3">
        <v>0</v>
      </c>
      <c r="AC220" s="3">
        <v>0</v>
      </c>
      <c r="AD220" s="3">
        <v>0</v>
      </c>
      <c r="AE220" s="3" t="s">
        <v>6</v>
      </c>
      <c r="AF220" s="3" t="s">
        <v>1433</v>
      </c>
      <c r="AS220" s="3" t="s">
        <v>17</v>
      </c>
      <c r="AT220" s="3" t="s">
        <v>776</v>
      </c>
      <c r="AU220" s="3" t="s">
        <v>720</v>
      </c>
      <c r="AV220" s="3" t="s">
        <v>249</v>
      </c>
    </row>
    <row r="221" spans="1:48" x14ac:dyDescent="0.25">
      <c r="A221" t="s">
        <v>1227</v>
      </c>
      <c r="B221" s="7">
        <v>45504</v>
      </c>
      <c r="C221" s="7" t="s">
        <v>844</v>
      </c>
      <c r="D221" s="3" t="s">
        <v>6</v>
      </c>
      <c r="E221" s="3" t="s">
        <v>381</v>
      </c>
      <c r="F221" s="3" t="s">
        <v>24</v>
      </c>
      <c r="G221" s="3" t="s">
        <v>20</v>
      </c>
      <c r="H221" s="9">
        <v>41.416555816168803</v>
      </c>
      <c r="I221" s="9">
        <v>2.2318697451304801</v>
      </c>
      <c r="J221" s="3">
        <v>1</v>
      </c>
      <c r="K221" s="3">
        <v>1</v>
      </c>
      <c r="L221" s="3">
        <v>0</v>
      </c>
      <c r="M221" s="3">
        <v>0</v>
      </c>
      <c r="N221" s="3" t="s">
        <v>66</v>
      </c>
      <c r="O221" s="3">
        <v>0</v>
      </c>
      <c r="P221" s="3">
        <v>1</v>
      </c>
      <c r="Q221" s="3">
        <v>0</v>
      </c>
      <c r="R221" s="3">
        <v>0</v>
      </c>
      <c r="S221" s="3">
        <v>0</v>
      </c>
      <c r="T221" s="3">
        <v>0</v>
      </c>
      <c r="U221" s="3">
        <v>1</v>
      </c>
      <c r="V221" s="3">
        <v>0</v>
      </c>
      <c r="W221" s="3">
        <v>0</v>
      </c>
      <c r="X221" s="3">
        <v>0</v>
      </c>
      <c r="Y221" s="3">
        <v>0</v>
      </c>
      <c r="Z221" s="3">
        <v>0</v>
      </c>
      <c r="AA221" s="3">
        <v>0</v>
      </c>
      <c r="AB221" s="3">
        <v>0</v>
      </c>
      <c r="AC221" s="3">
        <v>0</v>
      </c>
      <c r="AD221" s="3">
        <v>0</v>
      </c>
      <c r="AE221" s="3" t="s">
        <v>6</v>
      </c>
      <c r="AF221" s="3">
        <f>SUM(AH221:AL221)</f>
        <v>0</v>
      </c>
      <c r="AS221" s="3" t="s">
        <v>17</v>
      </c>
      <c r="AT221" s="3" t="s">
        <v>776</v>
      </c>
      <c r="AU221" s="3" t="s">
        <v>725</v>
      </c>
    </row>
    <row r="222" spans="1:48" x14ac:dyDescent="0.25">
      <c r="A222" t="s">
        <v>1228</v>
      </c>
      <c r="B222" s="7">
        <v>43707</v>
      </c>
      <c r="C222" s="7" t="s">
        <v>844</v>
      </c>
      <c r="D222" s="3" t="s">
        <v>6</v>
      </c>
      <c r="E222" s="3" t="s">
        <v>726</v>
      </c>
      <c r="F222" s="3" t="s">
        <v>24</v>
      </c>
      <c r="G222" s="3" t="s">
        <v>20</v>
      </c>
      <c r="H222" s="9">
        <v>41.5250331077456</v>
      </c>
      <c r="I222" s="9">
        <v>2.4682865176832798</v>
      </c>
      <c r="J222" s="3">
        <v>1</v>
      </c>
      <c r="K222" s="3">
        <v>1</v>
      </c>
      <c r="L222" s="3">
        <v>0</v>
      </c>
      <c r="M222" s="3">
        <v>0</v>
      </c>
      <c r="N222" s="3" t="s">
        <v>66</v>
      </c>
      <c r="O222" s="3">
        <v>0</v>
      </c>
      <c r="P222" s="3">
        <v>1</v>
      </c>
      <c r="Q222" s="3">
        <v>0</v>
      </c>
      <c r="R222" s="3">
        <v>0</v>
      </c>
      <c r="S222" s="3">
        <v>0</v>
      </c>
      <c r="T222" s="3">
        <v>0</v>
      </c>
      <c r="U222" s="3">
        <v>1</v>
      </c>
      <c r="V222" s="3">
        <v>0</v>
      </c>
      <c r="W222" s="3">
        <v>0</v>
      </c>
      <c r="X222" s="3">
        <v>0</v>
      </c>
      <c r="Y222" s="3">
        <v>0</v>
      </c>
      <c r="Z222" s="3">
        <v>0</v>
      </c>
      <c r="AA222" s="3">
        <v>0</v>
      </c>
      <c r="AB222" s="3">
        <v>0</v>
      </c>
      <c r="AC222" s="3">
        <v>0</v>
      </c>
      <c r="AD222" s="3">
        <v>0</v>
      </c>
      <c r="AE222" s="3" t="s">
        <v>6</v>
      </c>
      <c r="AF222" s="3">
        <f>SUM(AH222:AL222)</f>
        <v>0</v>
      </c>
      <c r="AS222" s="3" t="s">
        <v>17</v>
      </c>
      <c r="AT222" s="3" t="s">
        <v>776</v>
      </c>
      <c r="AU222" s="3" t="s">
        <v>727</v>
      </c>
      <c r="AV222" s="3" t="s">
        <v>615</v>
      </c>
    </row>
    <row r="223" spans="1:48" x14ac:dyDescent="0.25">
      <c r="A223" t="s">
        <v>1229</v>
      </c>
      <c r="B223" s="7">
        <v>45495</v>
      </c>
      <c r="C223" s="7" t="s">
        <v>844</v>
      </c>
      <c r="D223" s="3" t="s">
        <v>6</v>
      </c>
      <c r="E223" s="3" t="s">
        <v>135</v>
      </c>
      <c r="F223" s="3" t="s">
        <v>8</v>
      </c>
      <c r="G223" s="3" t="s">
        <v>8</v>
      </c>
      <c r="J223" s="3">
        <v>1</v>
      </c>
      <c r="K223" s="3">
        <v>1</v>
      </c>
      <c r="L223" s="3">
        <v>0</v>
      </c>
      <c r="M223" s="3">
        <v>0</v>
      </c>
      <c r="N223" s="3" t="s">
        <v>16</v>
      </c>
      <c r="O223" s="3">
        <v>0</v>
      </c>
      <c r="P223" s="3">
        <v>0</v>
      </c>
      <c r="Q223" s="3">
        <v>0</v>
      </c>
      <c r="R223" s="3">
        <v>0</v>
      </c>
      <c r="S223" s="3">
        <v>1</v>
      </c>
      <c r="T223" s="3">
        <v>0</v>
      </c>
      <c r="U223" s="3">
        <v>0</v>
      </c>
      <c r="V223" s="3">
        <v>0</v>
      </c>
      <c r="W223" s="3">
        <v>0</v>
      </c>
      <c r="X223" s="3">
        <v>0</v>
      </c>
      <c r="Y223" s="3">
        <v>0</v>
      </c>
      <c r="Z223" s="3">
        <v>1</v>
      </c>
      <c r="AA223" s="3">
        <v>0</v>
      </c>
      <c r="AB223" s="3">
        <v>0</v>
      </c>
      <c r="AC223" s="3">
        <v>0</v>
      </c>
      <c r="AD223" s="3">
        <v>0</v>
      </c>
      <c r="AE223" s="3" t="s">
        <v>6</v>
      </c>
      <c r="AF223" s="3" t="s">
        <v>1433</v>
      </c>
      <c r="AS223" s="3" t="s">
        <v>17</v>
      </c>
      <c r="AT223" s="3" t="s">
        <v>776</v>
      </c>
      <c r="AU223" s="3" t="s">
        <v>728</v>
      </c>
      <c r="AV223" s="3" t="s">
        <v>732</v>
      </c>
    </row>
    <row r="224" spans="1:48" x14ac:dyDescent="0.25">
      <c r="A224" t="s">
        <v>1230</v>
      </c>
      <c r="B224" s="7">
        <v>45120</v>
      </c>
      <c r="C224" s="7" t="s">
        <v>844</v>
      </c>
      <c r="D224" s="3" t="s">
        <v>6</v>
      </c>
      <c r="E224" s="3" t="s">
        <v>729</v>
      </c>
      <c r="F224" s="3" t="s">
        <v>6</v>
      </c>
      <c r="G224" s="3" t="s">
        <v>6</v>
      </c>
      <c r="J224" s="3">
        <v>1</v>
      </c>
      <c r="K224" s="3">
        <v>1</v>
      </c>
      <c r="L224" s="3">
        <v>0</v>
      </c>
      <c r="M224" s="3">
        <v>0</v>
      </c>
      <c r="N224" s="3" t="s">
        <v>16</v>
      </c>
      <c r="O224" s="3">
        <v>0</v>
      </c>
      <c r="P224" s="3">
        <v>0</v>
      </c>
      <c r="Q224" s="3">
        <v>0</v>
      </c>
      <c r="R224" s="3">
        <v>0</v>
      </c>
      <c r="S224" s="3">
        <v>1</v>
      </c>
      <c r="T224" s="3">
        <v>0</v>
      </c>
      <c r="U224" s="3">
        <v>0</v>
      </c>
      <c r="V224" s="3">
        <v>0</v>
      </c>
      <c r="W224" s="3">
        <v>0</v>
      </c>
      <c r="X224" s="3">
        <v>0</v>
      </c>
      <c r="Y224" s="3">
        <v>0</v>
      </c>
      <c r="Z224" s="3">
        <v>1</v>
      </c>
      <c r="AA224" s="3">
        <v>0</v>
      </c>
      <c r="AB224" s="3">
        <v>0</v>
      </c>
      <c r="AC224" s="3">
        <v>0</v>
      </c>
      <c r="AD224" s="3">
        <v>0</v>
      </c>
      <c r="AE224" s="3" t="s">
        <v>6</v>
      </c>
      <c r="AF224" s="3" t="s">
        <v>1433</v>
      </c>
      <c r="AS224" s="3" t="s">
        <v>17</v>
      </c>
      <c r="AT224" s="3" t="s">
        <v>776</v>
      </c>
      <c r="AU224" s="3" t="s">
        <v>730</v>
      </c>
      <c r="AV224" s="3" t="s">
        <v>731</v>
      </c>
    </row>
    <row r="225" spans="1:48" x14ac:dyDescent="0.25">
      <c r="A225" t="s">
        <v>1231</v>
      </c>
      <c r="B225" s="7">
        <v>45804</v>
      </c>
      <c r="C225" s="7" t="s">
        <v>842</v>
      </c>
      <c r="D225" s="3" t="s">
        <v>6</v>
      </c>
      <c r="E225" s="3" t="s">
        <v>232</v>
      </c>
      <c r="F225" s="3" t="s">
        <v>24</v>
      </c>
      <c r="G225" s="3" t="s">
        <v>20</v>
      </c>
      <c r="H225" s="9">
        <v>41.172413428148303</v>
      </c>
      <c r="I225" s="9">
        <v>1.5097765921978701</v>
      </c>
      <c r="J225" s="3">
        <v>1</v>
      </c>
      <c r="K225" s="3">
        <v>1</v>
      </c>
      <c r="L225" s="3">
        <v>0</v>
      </c>
      <c r="M225" s="3">
        <v>0</v>
      </c>
      <c r="N225" s="3" t="s">
        <v>16</v>
      </c>
      <c r="O225" s="3">
        <v>0</v>
      </c>
      <c r="P225" s="3">
        <v>0</v>
      </c>
      <c r="Q225" s="3">
        <v>0</v>
      </c>
      <c r="R225" s="3">
        <v>0</v>
      </c>
      <c r="S225" s="3">
        <v>0</v>
      </c>
      <c r="T225" s="3">
        <v>1</v>
      </c>
      <c r="U225" s="3">
        <v>0</v>
      </c>
      <c r="V225" s="3">
        <v>0</v>
      </c>
      <c r="W225" s="3">
        <v>0</v>
      </c>
      <c r="X225" s="3">
        <v>0</v>
      </c>
      <c r="Y225" s="3">
        <v>0</v>
      </c>
      <c r="Z225" s="3">
        <v>0</v>
      </c>
      <c r="AA225" s="3">
        <v>0</v>
      </c>
      <c r="AB225" s="3">
        <v>0</v>
      </c>
      <c r="AC225" s="3">
        <v>0</v>
      </c>
      <c r="AD225" s="3">
        <v>1</v>
      </c>
      <c r="AE225" s="3" t="s">
        <v>6</v>
      </c>
      <c r="AF225" s="3" t="s">
        <v>1433</v>
      </c>
      <c r="AS225" s="3" t="s">
        <v>17</v>
      </c>
      <c r="AT225" s="3" t="s">
        <v>776</v>
      </c>
      <c r="AU225" s="3" t="s">
        <v>733</v>
      </c>
      <c r="AV225" s="3" t="s">
        <v>734</v>
      </c>
    </row>
    <row r="226" spans="1:48" x14ac:dyDescent="0.25">
      <c r="A226" t="s">
        <v>1233</v>
      </c>
      <c r="B226" s="7">
        <v>45839</v>
      </c>
      <c r="C226" s="7" t="s">
        <v>844</v>
      </c>
      <c r="D226" s="3" t="s">
        <v>6</v>
      </c>
      <c r="E226" s="3" t="s">
        <v>91</v>
      </c>
      <c r="F226" s="3" t="s">
        <v>59</v>
      </c>
      <c r="G226" s="3" t="s">
        <v>20</v>
      </c>
      <c r="H226" s="9">
        <v>42.3717022275248</v>
      </c>
      <c r="I226" s="9">
        <v>3.1649753182572198</v>
      </c>
      <c r="J226" s="3">
        <v>1</v>
      </c>
      <c r="K226" s="3">
        <v>1</v>
      </c>
      <c r="L226" s="3">
        <v>0</v>
      </c>
      <c r="M226" s="3">
        <v>0</v>
      </c>
      <c r="N226" s="3" t="s">
        <v>66</v>
      </c>
      <c r="O226" s="3">
        <v>0</v>
      </c>
      <c r="P226" s="3">
        <v>1</v>
      </c>
      <c r="Q226" s="3">
        <v>0</v>
      </c>
      <c r="R226" s="3">
        <v>0</v>
      </c>
      <c r="S226" s="3">
        <v>0</v>
      </c>
      <c r="T226" s="3">
        <v>0</v>
      </c>
      <c r="U226" s="3">
        <v>1</v>
      </c>
      <c r="V226" s="3">
        <v>0</v>
      </c>
      <c r="W226" s="3">
        <v>0</v>
      </c>
      <c r="X226" s="3">
        <v>0</v>
      </c>
      <c r="Y226" s="3">
        <v>0</v>
      </c>
      <c r="Z226" s="3">
        <v>0</v>
      </c>
      <c r="AA226" s="3">
        <v>0</v>
      </c>
      <c r="AB226" s="3">
        <v>0</v>
      </c>
      <c r="AC226" s="3">
        <v>0</v>
      </c>
      <c r="AD226" s="3">
        <v>0</v>
      </c>
      <c r="AE226" s="3" t="s">
        <v>6</v>
      </c>
      <c r="AF226" s="3">
        <f>SUM(AH226:AL226)</f>
        <v>0</v>
      </c>
      <c r="AS226" s="3" t="s">
        <v>17</v>
      </c>
      <c r="AT226" s="3" t="s">
        <v>780</v>
      </c>
      <c r="AU226" s="3" t="s">
        <v>737</v>
      </c>
      <c r="AV226" s="3" t="s">
        <v>738</v>
      </c>
    </row>
    <row r="227" spans="1:48" x14ac:dyDescent="0.25">
      <c r="A227" t="s">
        <v>1242</v>
      </c>
      <c r="B227" s="7">
        <v>43322</v>
      </c>
      <c r="C227" s="7" t="s">
        <v>844</v>
      </c>
      <c r="D227" s="3" t="s">
        <v>6</v>
      </c>
      <c r="E227" s="3" t="s">
        <v>745</v>
      </c>
      <c r="F227" s="3" t="s">
        <v>59</v>
      </c>
      <c r="G227" s="3" t="s">
        <v>20</v>
      </c>
      <c r="H227" s="9">
        <v>42.083817957924602</v>
      </c>
      <c r="I227" s="9">
        <v>3.1959773159649099</v>
      </c>
      <c r="J227" s="3">
        <v>1</v>
      </c>
      <c r="K227" s="3">
        <v>1</v>
      </c>
      <c r="L227" s="3">
        <v>0</v>
      </c>
      <c r="M227" s="3">
        <v>0</v>
      </c>
      <c r="N227" s="3" t="s">
        <v>66</v>
      </c>
      <c r="O227" s="3">
        <v>0</v>
      </c>
      <c r="P227" s="3">
        <v>1</v>
      </c>
      <c r="Q227" s="3">
        <v>0</v>
      </c>
      <c r="R227" s="3">
        <v>0</v>
      </c>
      <c r="S227" s="3">
        <v>0</v>
      </c>
      <c r="T227" s="3">
        <v>0</v>
      </c>
      <c r="U227" s="3">
        <v>1</v>
      </c>
      <c r="V227" s="3">
        <v>0</v>
      </c>
      <c r="W227" s="3">
        <v>0</v>
      </c>
      <c r="X227" s="3">
        <v>0</v>
      </c>
      <c r="Y227" s="3">
        <v>0</v>
      </c>
      <c r="Z227" s="3">
        <v>0</v>
      </c>
      <c r="AA227" s="3">
        <v>0</v>
      </c>
      <c r="AB227" s="3">
        <v>0</v>
      </c>
      <c r="AC227" s="3">
        <v>0</v>
      </c>
      <c r="AD227" s="3">
        <v>0</v>
      </c>
      <c r="AE227" s="3" t="s">
        <v>6</v>
      </c>
      <c r="AF227" s="3">
        <f>SUM(AH227:AL227)</f>
        <v>0</v>
      </c>
      <c r="AS227" s="3" t="s">
        <v>17</v>
      </c>
      <c r="AT227" s="3" t="s">
        <v>776</v>
      </c>
      <c r="AU227" s="3" t="s">
        <v>744</v>
      </c>
    </row>
    <row r="228" spans="1:48" x14ac:dyDescent="0.25">
      <c r="A228" t="s">
        <v>1243</v>
      </c>
      <c r="B228" s="7">
        <v>45511</v>
      </c>
      <c r="C228" s="7" t="s">
        <v>844</v>
      </c>
      <c r="D228" s="3" t="s">
        <v>6</v>
      </c>
      <c r="E228" s="3" t="s">
        <v>746</v>
      </c>
      <c r="F228" s="3" t="s">
        <v>23</v>
      </c>
      <c r="G228" s="3" t="s">
        <v>23</v>
      </c>
      <c r="H228" s="9">
        <v>37.538440053267401</v>
      </c>
      <c r="I228" s="9">
        <v>-1.15538160525185</v>
      </c>
      <c r="J228" s="3">
        <v>1</v>
      </c>
      <c r="K228" s="3">
        <v>1</v>
      </c>
      <c r="L228" s="3">
        <v>0</v>
      </c>
      <c r="M228" s="3">
        <v>0</v>
      </c>
      <c r="N228" s="3" t="s">
        <v>66</v>
      </c>
      <c r="O228" s="3">
        <v>0</v>
      </c>
      <c r="P228" s="3">
        <v>1</v>
      </c>
      <c r="Q228" s="3">
        <v>0</v>
      </c>
      <c r="R228" s="3">
        <v>0</v>
      </c>
      <c r="S228" s="3">
        <v>0</v>
      </c>
      <c r="T228" s="3">
        <v>0</v>
      </c>
      <c r="U228" s="3">
        <v>1</v>
      </c>
      <c r="V228" s="3">
        <v>0</v>
      </c>
      <c r="W228" s="3">
        <v>0</v>
      </c>
      <c r="X228" s="3">
        <v>0</v>
      </c>
      <c r="Y228" s="3">
        <v>0</v>
      </c>
      <c r="Z228" s="3">
        <v>0</v>
      </c>
      <c r="AA228" s="3">
        <v>0</v>
      </c>
      <c r="AB228" s="3">
        <v>0</v>
      </c>
      <c r="AC228" s="3">
        <v>0</v>
      </c>
      <c r="AD228" s="3">
        <v>0</v>
      </c>
      <c r="AE228" s="3" t="s">
        <v>6</v>
      </c>
      <c r="AF228" s="3">
        <f>SUM(AH228:AL228)</f>
        <v>0</v>
      </c>
      <c r="AS228" s="3" t="s">
        <v>17</v>
      </c>
      <c r="AT228" s="3" t="s">
        <v>776</v>
      </c>
      <c r="AU228" s="3" t="s">
        <v>747</v>
      </c>
      <c r="AV228" s="3" t="s">
        <v>463</v>
      </c>
    </row>
    <row r="229" spans="1:48" x14ac:dyDescent="0.25">
      <c r="A229" t="s">
        <v>1245</v>
      </c>
      <c r="B229" s="7">
        <v>45802</v>
      </c>
      <c r="C229" s="7" t="s">
        <v>842</v>
      </c>
      <c r="D229" s="3" t="s">
        <v>6</v>
      </c>
      <c r="E229" s="3" t="s">
        <v>749</v>
      </c>
      <c r="F229" s="3" t="s">
        <v>59</v>
      </c>
      <c r="G229" s="3" t="s">
        <v>20</v>
      </c>
      <c r="H229" s="9">
        <v>41.789938641311799</v>
      </c>
      <c r="I229" s="9">
        <v>3.0486584489317399</v>
      </c>
      <c r="J229" s="3">
        <v>1</v>
      </c>
      <c r="K229" s="3">
        <v>1</v>
      </c>
      <c r="L229" s="3">
        <v>0</v>
      </c>
      <c r="M229" s="3">
        <v>0</v>
      </c>
      <c r="N229" s="3" t="s">
        <v>16</v>
      </c>
      <c r="O229" s="3">
        <v>0</v>
      </c>
      <c r="P229" s="3">
        <v>0</v>
      </c>
      <c r="Q229" s="3">
        <v>0</v>
      </c>
      <c r="R229" s="3">
        <v>1</v>
      </c>
      <c r="S229" s="3">
        <v>0</v>
      </c>
      <c r="T229" s="3">
        <v>0</v>
      </c>
      <c r="U229" s="3">
        <v>0</v>
      </c>
      <c r="V229" s="3">
        <v>0</v>
      </c>
      <c r="W229" s="3">
        <v>0</v>
      </c>
      <c r="X229" s="3">
        <v>0</v>
      </c>
      <c r="Y229" s="3">
        <v>0</v>
      </c>
      <c r="Z229" s="3">
        <v>1</v>
      </c>
      <c r="AA229" s="3">
        <v>0</v>
      </c>
      <c r="AB229" s="3">
        <v>0</v>
      </c>
      <c r="AC229" s="3">
        <v>0</v>
      </c>
      <c r="AD229" s="3">
        <v>0</v>
      </c>
      <c r="AE229" s="3" t="s">
        <v>6</v>
      </c>
      <c r="AF229" s="3" t="s">
        <v>1433</v>
      </c>
      <c r="AS229" s="3" t="s">
        <v>17</v>
      </c>
      <c r="AT229" s="3" t="s">
        <v>780</v>
      </c>
      <c r="AU229" s="3" t="s">
        <v>750</v>
      </c>
      <c r="AV229" s="3" t="s">
        <v>249</v>
      </c>
    </row>
    <row r="230" spans="1:48" x14ac:dyDescent="0.25">
      <c r="A230" t="s">
        <v>1246</v>
      </c>
      <c r="B230" s="7">
        <v>45490</v>
      </c>
      <c r="C230" s="7" t="s">
        <v>844</v>
      </c>
      <c r="D230" s="3" t="s">
        <v>6</v>
      </c>
      <c r="E230" s="3" t="s">
        <v>746</v>
      </c>
      <c r="F230" s="3" t="s">
        <v>23</v>
      </c>
      <c r="G230" s="3" t="s">
        <v>23</v>
      </c>
      <c r="H230" s="9">
        <v>37.538727506231901</v>
      </c>
      <c r="I230" s="9">
        <v>-1.1420211915282701</v>
      </c>
      <c r="J230" s="3">
        <v>1</v>
      </c>
      <c r="K230" s="3">
        <v>1</v>
      </c>
      <c r="L230" s="3">
        <v>0</v>
      </c>
      <c r="M230" s="3">
        <v>0</v>
      </c>
      <c r="N230" s="3" t="s">
        <v>66</v>
      </c>
      <c r="O230" s="3">
        <v>0</v>
      </c>
      <c r="P230" s="3">
        <v>1</v>
      </c>
      <c r="Q230" s="3">
        <v>0</v>
      </c>
      <c r="R230" s="3">
        <v>0</v>
      </c>
      <c r="S230" s="3">
        <v>0</v>
      </c>
      <c r="T230" s="3">
        <v>0</v>
      </c>
      <c r="U230" s="3">
        <v>1</v>
      </c>
      <c r="V230" s="3">
        <v>0</v>
      </c>
      <c r="W230" s="3">
        <v>0</v>
      </c>
      <c r="X230" s="3">
        <v>0</v>
      </c>
      <c r="Y230" s="3">
        <v>0</v>
      </c>
      <c r="Z230" s="3">
        <v>0</v>
      </c>
      <c r="AA230" s="3">
        <v>0</v>
      </c>
      <c r="AB230" s="3">
        <v>0</v>
      </c>
      <c r="AC230" s="3">
        <v>0</v>
      </c>
      <c r="AD230" s="3">
        <v>0</v>
      </c>
      <c r="AE230" s="3" t="s">
        <v>6</v>
      </c>
      <c r="AF230" s="3">
        <f>SUM(AH230:AL230)</f>
        <v>0</v>
      </c>
      <c r="AS230" s="3" t="s">
        <v>775</v>
      </c>
      <c r="AT230" s="3" t="s">
        <v>81</v>
      </c>
      <c r="AU230" s="3" t="s">
        <v>751</v>
      </c>
    </row>
    <row r="231" spans="1:48" x14ac:dyDescent="0.25">
      <c r="A231" t="s">
        <v>1248</v>
      </c>
      <c r="B231" s="7">
        <v>45857</v>
      </c>
      <c r="C231" s="7" t="s">
        <v>844</v>
      </c>
      <c r="D231" s="3" t="s">
        <v>6</v>
      </c>
      <c r="E231" s="3" t="s">
        <v>123</v>
      </c>
      <c r="F231" s="3" t="s">
        <v>23</v>
      </c>
      <c r="G231" s="3" t="s">
        <v>23</v>
      </c>
      <c r="H231" s="9">
        <v>37.555210363721898</v>
      </c>
      <c r="I231" s="9">
        <v>-1.17961890509547</v>
      </c>
      <c r="J231" s="3">
        <v>1</v>
      </c>
      <c r="K231" s="3">
        <v>1</v>
      </c>
      <c r="L231" s="3">
        <v>0</v>
      </c>
      <c r="M231" s="3">
        <v>0</v>
      </c>
      <c r="N231" s="3" t="s">
        <v>66</v>
      </c>
      <c r="O231" s="3">
        <v>0</v>
      </c>
      <c r="P231" s="3">
        <v>1</v>
      </c>
      <c r="Q231" s="3">
        <v>0</v>
      </c>
      <c r="R231" s="3">
        <v>0</v>
      </c>
      <c r="S231" s="3">
        <v>0</v>
      </c>
      <c r="T231" s="3">
        <v>0</v>
      </c>
      <c r="U231" s="3">
        <v>1</v>
      </c>
      <c r="V231" s="3">
        <v>0</v>
      </c>
      <c r="W231" s="3">
        <v>0</v>
      </c>
      <c r="X231" s="3">
        <v>0</v>
      </c>
      <c r="Y231" s="3">
        <v>0</v>
      </c>
      <c r="Z231" s="3">
        <v>0</v>
      </c>
      <c r="AA231" s="3">
        <v>0</v>
      </c>
      <c r="AB231" s="3">
        <v>0</v>
      </c>
      <c r="AC231" s="3">
        <v>0</v>
      </c>
      <c r="AD231" s="3">
        <v>0</v>
      </c>
      <c r="AE231" s="3" t="s">
        <v>6</v>
      </c>
      <c r="AF231" s="3">
        <f>SUM(AH231:AL231)</f>
        <v>0</v>
      </c>
      <c r="AS231" s="3" t="s">
        <v>17</v>
      </c>
      <c r="AT231" s="3" t="s">
        <v>776</v>
      </c>
      <c r="AU231" s="3" t="s">
        <v>755</v>
      </c>
    </row>
    <row r="232" spans="1:48" x14ac:dyDescent="0.25">
      <c r="A232" t="s">
        <v>1250</v>
      </c>
      <c r="B232" s="7">
        <v>42385</v>
      </c>
      <c r="C232" s="7" t="s">
        <v>841</v>
      </c>
      <c r="D232" s="3" t="s">
        <v>6</v>
      </c>
      <c r="E232" s="3" t="s">
        <v>758</v>
      </c>
      <c r="F232" s="3" t="s">
        <v>25</v>
      </c>
      <c r="G232" s="3" t="s">
        <v>19</v>
      </c>
      <c r="H232" s="9">
        <v>38.631684695294602</v>
      </c>
      <c r="I232" s="9">
        <v>7.7434680130772995E-2</v>
      </c>
      <c r="J232" s="3">
        <v>1</v>
      </c>
      <c r="K232" s="3">
        <v>1</v>
      </c>
      <c r="L232" s="3">
        <v>0</v>
      </c>
      <c r="M232" s="3">
        <v>0</v>
      </c>
      <c r="N232" s="3" t="s">
        <v>16</v>
      </c>
      <c r="O232" s="3">
        <v>0</v>
      </c>
      <c r="P232" s="3">
        <v>0</v>
      </c>
      <c r="Q232" s="3">
        <v>0</v>
      </c>
      <c r="R232" s="3">
        <v>0</v>
      </c>
      <c r="S232" s="3">
        <v>1</v>
      </c>
      <c r="T232" s="3">
        <v>0</v>
      </c>
      <c r="U232" s="3">
        <v>0</v>
      </c>
      <c r="V232" s="3">
        <v>0</v>
      </c>
      <c r="W232" s="3">
        <v>0</v>
      </c>
      <c r="X232" s="3">
        <v>0</v>
      </c>
      <c r="Y232" s="3">
        <v>0</v>
      </c>
      <c r="Z232" s="3">
        <v>1</v>
      </c>
      <c r="AA232" s="3">
        <v>0</v>
      </c>
      <c r="AB232" s="3">
        <v>0</v>
      </c>
      <c r="AC232" s="3">
        <v>0</v>
      </c>
      <c r="AD232" s="3">
        <v>0</v>
      </c>
      <c r="AE232" s="3" t="s">
        <v>6</v>
      </c>
      <c r="AF232" s="3" t="s">
        <v>1433</v>
      </c>
      <c r="AS232" s="3" t="s">
        <v>775</v>
      </c>
      <c r="AT232" s="3" t="s">
        <v>759</v>
      </c>
      <c r="AU232" s="3" t="s">
        <v>275</v>
      </c>
      <c r="AV232" s="3" t="s">
        <v>253</v>
      </c>
    </row>
    <row r="233" spans="1:48" x14ac:dyDescent="0.25">
      <c r="A233" t="s">
        <v>1250</v>
      </c>
      <c r="B233" s="7">
        <v>45498</v>
      </c>
      <c r="C233" s="7" t="s">
        <v>844</v>
      </c>
      <c r="D233" s="4">
        <v>0.34375</v>
      </c>
      <c r="E233" s="3" t="s">
        <v>137</v>
      </c>
      <c r="F233" s="3" t="s">
        <v>78</v>
      </c>
      <c r="G233" s="3" t="s">
        <v>19</v>
      </c>
      <c r="H233" s="9">
        <v>40.093420614610103</v>
      </c>
      <c r="I233" s="9">
        <v>0.148048879069416</v>
      </c>
      <c r="J233" s="3">
        <v>1</v>
      </c>
      <c r="K233" s="3">
        <v>1</v>
      </c>
      <c r="L233" s="3">
        <v>0</v>
      </c>
      <c r="M233" s="3">
        <v>0</v>
      </c>
      <c r="N233" s="3" t="s">
        <v>66</v>
      </c>
      <c r="O233" s="3">
        <v>0</v>
      </c>
      <c r="P233" s="3">
        <v>0</v>
      </c>
      <c r="Q233" s="3">
        <v>1</v>
      </c>
      <c r="R233" s="3">
        <v>0</v>
      </c>
      <c r="S233" s="3">
        <v>0</v>
      </c>
      <c r="T233" s="3">
        <v>0</v>
      </c>
      <c r="U233" s="3">
        <v>1</v>
      </c>
      <c r="V233" s="3">
        <v>0</v>
      </c>
      <c r="W233" s="3">
        <v>0</v>
      </c>
      <c r="X233" s="3">
        <v>0</v>
      </c>
      <c r="Y233" s="3">
        <v>0</v>
      </c>
      <c r="Z233" s="3">
        <v>0</v>
      </c>
      <c r="AA233" s="3">
        <v>0</v>
      </c>
      <c r="AB233" s="3">
        <v>0</v>
      </c>
      <c r="AC233" s="3">
        <v>0</v>
      </c>
      <c r="AD233" s="3">
        <v>0</v>
      </c>
      <c r="AE233" s="3" t="s">
        <v>6</v>
      </c>
      <c r="AF233" s="3">
        <f>SUM(AH233:AL233)</f>
        <v>0</v>
      </c>
      <c r="AS233" s="3" t="s">
        <v>775</v>
      </c>
      <c r="AT233" s="3" t="s">
        <v>759</v>
      </c>
      <c r="AU233" s="3" t="s">
        <v>762</v>
      </c>
    </row>
    <row r="234" spans="1:48" x14ac:dyDescent="0.25">
      <c r="A234" t="s">
        <v>1251</v>
      </c>
      <c r="B234" s="7">
        <v>45501</v>
      </c>
      <c r="C234" s="7" t="s">
        <v>844</v>
      </c>
      <c r="D234" s="4">
        <v>0.65555555555555556</v>
      </c>
      <c r="E234" s="3" t="s">
        <v>660</v>
      </c>
      <c r="F234" s="3" t="s">
        <v>8</v>
      </c>
      <c r="G234" s="3" t="s">
        <v>8</v>
      </c>
      <c r="H234" s="9">
        <v>39.853399681415198</v>
      </c>
      <c r="I234" s="9">
        <v>2.8044320374032701</v>
      </c>
      <c r="J234" s="3">
        <v>1</v>
      </c>
      <c r="K234" s="3">
        <v>1</v>
      </c>
      <c r="L234" s="3">
        <v>0</v>
      </c>
      <c r="M234" s="3">
        <v>0</v>
      </c>
      <c r="N234" s="3" t="s">
        <v>66</v>
      </c>
      <c r="O234" s="3">
        <v>0</v>
      </c>
      <c r="P234" s="3">
        <v>1</v>
      </c>
      <c r="Q234" s="3">
        <v>0</v>
      </c>
      <c r="R234" s="3">
        <v>0</v>
      </c>
      <c r="S234" s="3">
        <v>0</v>
      </c>
      <c r="T234" s="3">
        <v>0</v>
      </c>
      <c r="U234" s="3">
        <v>1</v>
      </c>
      <c r="V234" s="3">
        <v>0</v>
      </c>
      <c r="W234" s="3">
        <v>0</v>
      </c>
      <c r="X234" s="3">
        <v>0</v>
      </c>
      <c r="Y234" s="3">
        <v>0</v>
      </c>
      <c r="Z234" s="3">
        <v>0</v>
      </c>
      <c r="AA234" s="3">
        <v>0</v>
      </c>
      <c r="AB234" s="3">
        <v>0</v>
      </c>
      <c r="AC234" s="3">
        <v>0</v>
      </c>
      <c r="AD234" s="3">
        <v>0</v>
      </c>
      <c r="AE234" s="3" t="s">
        <v>6</v>
      </c>
      <c r="AF234" s="3">
        <f>SUM(AH234:AL234)</f>
        <v>0</v>
      </c>
      <c r="AS234" s="3" t="s">
        <v>775</v>
      </c>
      <c r="AT234" s="3" t="s">
        <v>759</v>
      </c>
      <c r="AU234" s="3" t="s">
        <v>763</v>
      </c>
    </row>
    <row r="235" spans="1:48" x14ac:dyDescent="0.25">
      <c r="A235" t="s">
        <v>1253</v>
      </c>
      <c r="B235" s="7">
        <v>45519</v>
      </c>
      <c r="C235" s="7" t="s">
        <v>844</v>
      </c>
      <c r="D235" s="4">
        <v>0.48055555555555557</v>
      </c>
      <c r="E235" s="3" t="s">
        <v>86</v>
      </c>
      <c r="F235" s="3" t="s">
        <v>57</v>
      </c>
      <c r="G235" s="3" t="s">
        <v>21</v>
      </c>
      <c r="H235" s="9">
        <v>36.722035454736201</v>
      </c>
      <c r="I235" s="9">
        <v>-3.5345673776231998</v>
      </c>
      <c r="J235" s="3">
        <v>1</v>
      </c>
      <c r="K235" s="3">
        <v>0</v>
      </c>
      <c r="L235" s="3">
        <v>1</v>
      </c>
      <c r="M235" s="3">
        <v>0</v>
      </c>
      <c r="N235" s="3" t="s">
        <v>16</v>
      </c>
      <c r="O235" s="3">
        <v>0</v>
      </c>
      <c r="P235" s="3">
        <v>0</v>
      </c>
      <c r="Q235" s="3">
        <v>0</v>
      </c>
      <c r="R235" s="3">
        <v>0</v>
      </c>
      <c r="S235" s="3">
        <v>0</v>
      </c>
      <c r="T235" s="3">
        <v>1</v>
      </c>
      <c r="U235" s="3">
        <v>0</v>
      </c>
      <c r="V235" s="3">
        <v>0</v>
      </c>
      <c r="W235" s="3">
        <v>0</v>
      </c>
      <c r="X235" s="3">
        <v>0</v>
      </c>
      <c r="Y235" s="3">
        <v>0</v>
      </c>
      <c r="Z235" s="3">
        <v>0</v>
      </c>
      <c r="AA235" s="3">
        <v>0</v>
      </c>
      <c r="AB235" s="3">
        <v>0</v>
      </c>
      <c r="AC235" s="3">
        <v>1</v>
      </c>
      <c r="AD235" s="3">
        <v>0</v>
      </c>
      <c r="AE235" s="3" t="s">
        <v>6</v>
      </c>
      <c r="AF235" s="3" t="s">
        <v>1433</v>
      </c>
      <c r="AS235" s="3" t="s">
        <v>775</v>
      </c>
      <c r="AT235" s="3" t="s">
        <v>759</v>
      </c>
      <c r="AU235" s="3" t="s">
        <v>766</v>
      </c>
      <c r="AV235" s="3" t="s">
        <v>767</v>
      </c>
    </row>
    <row r="236" spans="1:48" x14ac:dyDescent="0.25">
      <c r="A236" t="s">
        <v>1254</v>
      </c>
      <c r="B236" s="7">
        <v>45534</v>
      </c>
      <c r="C236" s="7" t="s">
        <v>844</v>
      </c>
      <c r="D236" s="4">
        <v>0.65763888888888888</v>
      </c>
      <c r="E236" s="3" t="s">
        <v>130</v>
      </c>
      <c r="F236" s="3" t="s">
        <v>59</v>
      </c>
      <c r="G236" s="3" t="s">
        <v>20</v>
      </c>
      <c r="H236" s="9">
        <v>42.337429410749998</v>
      </c>
      <c r="I236" s="9">
        <v>3.2755654234548199</v>
      </c>
      <c r="J236" s="3">
        <v>1</v>
      </c>
      <c r="K236" s="3">
        <v>1</v>
      </c>
      <c r="L236" s="3">
        <v>0</v>
      </c>
      <c r="M236" s="3">
        <v>0</v>
      </c>
      <c r="N236" s="3" t="s">
        <v>16</v>
      </c>
      <c r="O236" s="3">
        <v>0</v>
      </c>
      <c r="P236" s="3">
        <v>0</v>
      </c>
      <c r="Q236" s="3">
        <v>0</v>
      </c>
      <c r="R236" s="3">
        <v>0</v>
      </c>
      <c r="S236" s="3">
        <v>1</v>
      </c>
      <c r="T236" s="3">
        <v>0</v>
      </c>
      <c r="U236" s="3">
        <v>0</v>
      </c>
      <c r="V236" s="3">
        <v>0</v>
      </c>
      <c r="W236" s="3">
        <v>0</v>
      </c>
      <c r="X236" s="3">
        <v>0</v>
      </c>
      <c r="Y236" s="3">
        <v>0</v>
      </c>
      <c r="Z236" s="3">
        <v>1</v>
      </c>
      <c r="AA236" s="3">
        <v>0</v>
      </c>
      <c r="AB236" s="3">
        <v>0</v>
      </c>
      <c r="AC236" s="3">
        <v>0</v>
      </c>
      <c r="AD236" s="3">
        <v>0</v>
      </c>
      <c r="AE236" s="3" t="s">
        <v>6</v>
      </c>
      <c r="AF236" s="3" t="s">
        <v>1433</v>
      </c>
      <c r="AS236" s="3" t="s">
        <v>775</v>
      </c>
      <c r="AT236" s="3" t="s">
        <v>759</v>
      </c>
      <c r="AU236" s="3" t="s">
        <v>768</v>
      </c>
      <c r="AV236" s="3" t="s">
        <v>286</v>
      </c>
    </row>
    <row r="237" spans="1:48" x14ac:dyDescent="0.25">
      <c r="A237" t="s">
        <v>1255</v>
      </c>
      <c r="B237" s="7">
        <v>45805</v>
      </c>
      <c r="C237" s="7" t="s">
        <v>842</v>
      </c>
      <c r="D237" s="4">
        <v>0.54861111111111105</v>
      </c>
      <c r="E237" s="3" t="s">
        <v>769</v>
      </c>
      <c r="F237" s="3" t="s">
        <v>59</v>
      </c>
      <c r="G237" s="3" t="s">
        <v>20</v>
      </c>
      <c r="H237" s="9">
        <v>42.271003216785303</v>
      </c>
      <c r="I237" s="9">
        <v>3.2848670543665501</v>
      </c>
      <c r="J237" s="3">
        <v>1</v>
      </c>
      <c r="K237" s="3">
        <v>1</v>
      </c>
      <c r="L237" s="3">
        <v>0</v>
      </c>
      <c r="M237" s="3">
        <v>0</v>
      </c>
      <c r="N237" s="3" t="s">
        <v>16</v>
      </c>
      <c r="O237" s="3">
        <v>0</v>
      </c>
      <c r="P237" s="3">
        <v>0</v>
      </c>
      <c r="Q237" s="3">
        <v>0</v>
      </c>
      <c r="R237" s="3">
        <v>0</v>
      </c>
      <c r="S237" s="3">
        <v>0</v>
      </c>
      <c r="T237" s="3">
        <v>1</v>
      </c>
      <c r="U237" s="3">
        <v>0</v>
      </c>
      <c r="V237" s="3">
        <v>0</v>
      </c>
      <c r="W237" s="3">
        <v>0</v>
      </c>
      <c r="X237" s="3">
        <v>0</v>
      </c>
      <c r="Y237" s="3">
        <v>0</v>
      </c>
      <c r="Z237" s="3">
        <v>1</v>
      </c>
      <c r="AA237" s="3">
        <v>0</v>
      </c>
      <c r="AB237" s="3">
        <v>0</v>
      </c>
      <c r="AC237" s="3">
        <v>0</v>
      </c>
      <c r="AD237" s="3">
        <v>0</v>
      </c>
      <c r="AE237" s="3" t="s">
        <v>6</v>
      </c>
      <c r="AF237" s="3" t="s">
        <v>1433</v>
      </c>
      <c r="AS237" s="3" t="s">
        <v>775</v>
      </c>
      <c r="AT237" s="3" t="s">
        <v>759</v>
      </c>
      <c r="AU237" s="3" t="s">
        <v>770</v>
      </c>
    </row>
    <row r="238" spans="1:48" x14ac:dyDescent="0.25">
      <c r="A238" t="s">
        <v>1256</v>
      </c>
      <c r="B238" s="7">
        <v>45838</v>
      </c>
      <c r="C238" s="7" t="s">
        <v>844</v>
      </c>
      <c r="D238" s="4">
        <v>0.72499999999999998</v>
      </c>
      <c r="E238" s="3" t="s">
        <v>771</v>
      </c>
      <c r="F238" s="3" t="s">
        <v>25</v>
      </c>
      <c r="G238" s="3" t="s">
        <v>19</v>
      </c>
      <c r="H238" s="9">
        <v>38.520452137240099</v>
      </c>
      <c r="I238" s="9">
        <v>-0.16796748879586099</v>
      </c>
      <c r="J238" s="3">
        <v>1</v>
      </c>
      <c r="K238" s="3">
        <v>1</v>
      </c>
      <c r="L238" s="3">
        <v>0</v>
      </c>
      <c r="M238" s="3">
        <v>0</v>
      </c>
      <c r="N238" s="3" t="s">
        <v>66</v>
      </c>
      <c r="O238" s="3">
        <v>0</v>
      </c>
      <c r="P238" s="3">
        <v>1</v>
      </c>
      <c r="Q238" s="3">
        <v>0</v>
      </c>
      <c r="R238" s="3">
        <v>0</v>
      </c>
      <c r="S238" s="3">
        <v>0</v>
      </c>
      <c r="T238" s="3">
        <v>0</v>
      </c>
      <c r="U238" s="3">
        <v>1</v>
      </c>
      <c r="V238" s="3">
        <v>0</v>
      </c>
      <c r="W238" s="3">
        <v>0</v>
      </c>
      <c r="X238" s="3">
        <v>0</v>
      </c>
      <c r="Y238" s="3">
        <v>0</v>
      </c>
      <c r="Z238" s="3">
        <v>0</v>
      </c>
      <c r="AA238" s="3">
        <v>0</v>
      </c>
      <c r="AB238" s="3">
        <v>0</v>
      </c>
      <c r="AC238" s="3">
        <v>0</v>
      </c>
      <c r="AD238" s="3">
        <v>0</v>
      </c>
      <c r="AE238" s="3" t="s">
        <v>6</v>
      </c>
      <c r="AF238" s="3">
        <f>SUM(AH238:AL238)</f>
        <v>0</v>
      </c>
      <c r="AS238" s="3" t="s">
        <v>775</v>
      </c>
      <c r="AT238" s="3" t="s">
        <v>759</v>
      </c>
      <c r="AU238" s="3" t="s">
        <v>772</v>
      </c>
    </row>
    <row r="239" spans="1:48" x14ac:dyDescent="0.25">
      <c r="A239" t="s">
        <v>1257</v>
      </c>
      <c r="B239" s="7">
        <v>45854</v>
      </c>
      <c r="C239" s="7" t="s">
        <v>844</v>
      </c>
      <c r="D239" s="4">
        <v>0.44513888888888892</v>
      </c>
      <c r="E239" s="3" t="s">
        <v>71</v>
      </c>
      <c r="F239" s="3" t="s">
        <v>23</v>
      </c>
      <c r="G239" s="3" t="s">
        <v>23</v>
      </c>
      <c r="H239" s="9">
        <v>37.537532391177201</v>
      </c>
      <c r="I239" s="9">
        <v>-1.1320407272267199</v>
      </c>
      <c r="J239" s="3">
        <v>1</v>
      </c>
      <c r="K239" s="3">
        <v>1</v>
      </c>
      <c r="L239" s="3">
        <v>0</v>
      </c>
      <c r="M239" s="3">
        <v>0</v>
      </c>
      <c r="N239" s="3" t="s">
        <v>66</v>
      </c>
      <c r="O239" s="3">
        <v>0</v>
      </c>
      <c r="P239" s="3">
        <v>1</v>
      </c>
      <c r="Q239" s="3">
        <v>0</v>
      </c>
      <c r="R239" s="3">
        <v>0</v>
      </c>
      <c r="S239" s="3">
        <v>0</v>
      </c>
      <c r="T239" s="3">
        <v>0</v>
      </c>
      <c r="U239" s="3">
        <v>1</v>
      </c>
      <c r="V239" s="3">
        <v>0</v>
      </c>
      <c r="W239" s="3">
        <v>0</v>
      </c>
      <c r="X239" s="3">
        <v>0</v>
      </c>
      <c r="Y239" s="3">
        <v>0</v>
      </c>
      <c r="Z239" s="3">
        <v>0</v>
      </c>
      <c r="AA239" s="3">
        <v>0</v>
      </c>
      <c r="AB239" s="3">
        <v>0</v>
      </c>
      <c r="AC239" s="3">
        <v>0</v>
      </c>
      <c r="AD239" s="3">
        <v>0</v>
      </c>
      <c r="AE239" s="3" t="s">
        <v>6</v>
      </c>
      <c r="AF239" s="3">
        <f>SUM(AH239:AL239)</f>
        <v>0</v>
      </c>
      <c r="AS239" s="3" t="s">
        <v>775</v>
      </c>
      <c r="AT239" s="3" t="s">
        <v>759</v>
      </c>
      <c r="AU239" s="3" t="s">
        <v>773</v>
      </c>
      <c r="AV239" s="3" t="s">
        <v>774</v>
      </c>
    </row>
    <row r="240" spans="1:48" x14ac:dyDescent="0.25">
      <c r="A240" t="s">
        <v>1258</v>
      </c>
      <c r="B240" s="7">
        <v>41842</v>
      </c>
      <c r="C240" s="7" t="s">
        <v>844</v>
      </c>
      <c r="D240" s="3" t="s">
        <v>6</v>
      </c>
      <c r="E240" s="3" t="s">
        <v>797</v>
      </c>
      <c r="F240" s="3" t="s">
        <v>25</v>
      </c>
      <c r="G240" s="3" t="s">
        <v>19</v>
      </c>
      <c r="H240" s="9">
        <v>38.727971409107703</v>
      </c>
      <c r="I240" s="9">
        <v>0.19870984828897301</v>
      </c>
      <c r="J240" s="3">
        <v>1</v>
      </c>
      <c r="K240" s="3">
        <v>1</v>
      </c>
      <c r="L240" s="3">
        <v>0</v>
      </c>
      <c r="M240" s="3">
        <v>0</v>
      </c>
      <c r="N240" s="3" t="s">
        <v>66</v>
      </c>
      <c r="O240" s="3">
        <v>0</v>
      </c>
      <c r="P240" s="3">
        <v>1</v>
      </c>
      <c r="Q240" s="3">
        <v>0</v>
      </c>
      <c r="R240" s="3">
        <v>0</v>
      </c>
      <c r="S240" s="3">
        <v>0</v>
      </c>
      <c r="T240" s="3">
        <v>0</v>
      </c>
      <c r="U240" s="3">
        <v>1</v>
      </c>
      <c r="V240" s="3">
        <v>0</v>
      </c>
      <c r="W240" s="3">
        <v>0</v>
      </c>
      <c r="X240" s="3">
        <v>0</v>
      </c>
      <c r="Y240" s="3">
        <v>0</v>
      </c>
      <c r="Z240" s="3">
        <v>0</v>
      </c>
      <c r="AA240" s="3">
        <v>0</v>
      </c>
      <c r="AB240" s="3">
        <v>0</v>
      </c>
      <c r="AC240" s="3">
        <v>0</v>
      </c>
      <c r="AD240" s="3">
        <v>0</v>
      </c>
      <c r="AE240" s="3" t="s">
        <v>6</v>
      </c>
      <c r="AF240" s="3">
        <f>SUM(AH240:AL240)</f>
        <v>0</v>
      </c>
      <c r="AS240" s="3" t="s">
        <v>17</v>
      </c>
      <c r="AT240" s="3" t="s">
        <v>776</v>
      </c>
      <c r="AU240" s="3" t="s">
        <v>798</v>
      </c>
      <c r="AV240" s="3" t="s">
        <v>316</v>
      </c>
    </row>
    <row r="241" spans="1:48" x14ac:dyDescent="0.25">
      <c r="A241" t="s">
        <v>1259</v>
      </c>
      <c r="B241" s="7">
        <v>45865</v>
      </c>
      <c r="C241" s="7" t="s">
        <v>844</v>
      </c>
      <c r="D241" s="4">
        <v>0.62777777777777777</v>
      </c>
      <c r="E241" s="3" t="s">
        <v>723</v>
      </c>
      <c r="F241" s="3" t="s">
        <v>59</v>
      </c>
      <c r="G241" s="3" t="s">
        <v>20</v>
      </c>
      <c r="H241" s="9">
        <v>41.780281251329697</v>
      </c>
      <c r="I241" s="9">
        <v>3.0337537619930499</v>
      </c>
      <c r="J241" s="3">
        <v>1</v>
      </c>
      <c r="K241" s="3">
        <v>1</v>
      </c>
      <c r="L241" s="3">
        <v>0</v>
      </c>
      <c r="M241" s="3">
        <v>0</v>
      </c>
      <c r="N241" s="3" t="s">
        <v>16</v>
      </c>
      <c r="O241" s="3">
        <v>0</v>
      </c>
      <c r="P241" s="3">
        <v>0</v>
      </c>
      <c r="Q241" s="3">
        <v>0</v>
      </c>
      <c r="R241" s="3">
        <v>1</v>
      </c>
      <c r="S241" s="3">
        <v>0</v>
      </c>
      <c r="T241" s="3">
        <v>0</v>
      </c>
      <c r="U241" s="3">
        <v>0</v>
      </c>
      <c r="V241" s="3">
        <v>0</v>
      </c>
      <c r="W241" s="3">
        <v>0</v>
      </c>
      <c r="X241" s="3">
        <v>0</v>
      </c>
      <c r="Y241" s="3">
        <v>0</v>
      </c>
      <c r="Z241" s="3">
        <v>1</v>
      </c>
      <c r="AA241" s="3">
        <v>0</v>
      </c>
      <c r="AB241" s="3">
        <v>0</v>
      </c>
      <c r="AC241" s="3">
        <v>0</v>
      </c>
      <c r="AD241" s="3">
        <v>0</v>
      </c>
      <c r="AE241" s="3" t="s">
        <v>6</v>
      </c>
      <c r="AF241" s="3" t="s">
        <v>1433</v>
      </c>
      <c r="AS241" s="3" t="s">
        <v>17</v>
      </c>
      <c r="AT241" s="3" t="s">
        <v>780</v>
      </c>
      <c r="AU241" s="3" t="s">
        <v>800</v>
      </c>
    </row>
    <row r="242" spans="1:48" x14ac:dyDescent="0.25">
      <c r="A242" t="s">
        <v>1260</v>
      </c>
      <c r="B242" s="7">
        <v>45839</v>
      </c>
      <c r="C242" s="7" t="s">
        <v>844</v>
      </c>
      <c r="D242" s="3" t="s">
        <v>6</v>
      </c>
      <c r="E242" s="3" t="s">
        <v>64</v>
      </c>
      <c r="F242" s="3" t="s">
        <v>25</v>
      </c>
      <c r="G242" s="3" t="s">
        <v>19</v>
      </c>
      <c r="H242" s="9">
        <v>38.018655606931802</v>
      </c>
      <c r="I242" s="9">
        <v>-0.65242763660236203</v>
      </c>
      <c r="J242" s="3">
        <v>1</v>
      </c>
      <c r="K242" s="3">
        <v>1</v>
      </c>
      <c r="L242" s="3">
        <v>0</v>
      </c>
      <c r="M242" s="3">
        <v>0</v>
      </c>
      <c r="N242" s="3" t="s">
        <v>66</v>
      </c>
      <c r="O242" s="3">
        <v>1</v>
      </c>
      <c r="P242" s="3">
        <v>0</v>
      </c>
      <c r="Q242" s="3">
        <v>0</v>
      </c>
      <c r="R242" s="3">
        <v>0</v>
      </c>
      <c r="S242" s="3">
        <v>0</v>
      </c>
      <c r="T242" s="3">
        <v>0</v>
      </c>
      <c r="U242" s="3">
        <v>1</v>
      </c>
      <c r="V242" s="3">
        <v>0</v>
      </c>
      <c r="W242" s="3">
        <v>0</v>
      </c>
      <c r="X242" s="3">
        <v>0</v>
      </c>
      <c r="Y242" s="3">
        <v>0</v>
      </c>
      <c r="Z242" s="3">
        <v>0</v>
      </c>
      <c r="AA242" s="3">
        <v>0</v>
      </c>
      <c r="AB242" s="3">
        <v>0</v>
      </c>
      <c r="AC242" s="3">
        <v>0</v>
      </c>
      <c r="AD242" s="3">
        <v>0</v>
      </c>
      <c r="AE242" s="3" t="s">
        <v>6</v>
      </c>
      <c r="AF242" s="3">
        <f>SUM(AH242:AL242)</f>
        <v>0</v>
      </c>
      <c r="AS242" s="3" t="s">
        <v>17</v>
      </c>
      <c r="AT242" s="3" t="s">
        <v>780</v>
      </c>
      <c r="AU242" s="3" t="s">
        <v>801</v>
      </c>
    </row>
    <row r="243" spans="1:48" x14ac:dyDescent="0.25">
      <c r="A243" t="s">
        <v>1261</v>
      </c>
      <c r="B243" s="7">
        <v>45487</v>
      </c>
      <c r="C243" s="7" t="s">
        <v>844</v>
      </c>
      <c r="D243" s="3" t="s">
        <v>6</v>
      </c>
      <c r="E243" s="3" t="s">
        <v>802</v>
      </c>
      <c r="F243" s="3" t="s">
        <v>25</v>
      </c>
      <c r="G243" s="3" t="s">
        <v>19</v>
      </c>
      <c r="H243" s="9">
        <v>37.894352883848804</v>
      </c>
      <c r="I243" s="9">
        <v>-0.75104544321791999</v>
      </c>
      <c r="J243" s="3">
        <v>1</v>
      </c>
      <c r="K243" s="3">
        <v>1</v>
      </c>
      <c r="L243" s="3">
        <v>0</v>
      </c>
      <c r="M243" s="3">
        <v>0</v>
      </c>
      <c r="N243" s="3" t="s">
        <v>16</v>
      </c>
      <c r="O243" s="3">
        <v>0</v>
      </c>
      <c r="P243" s="3">
        <v>0</v>
      </c>
      <c r="Q243" s="3">
        <v>0</v>
      </c>
      <c r="R243" s="3">
        <v>0</v>
      </c>
      <c r="S243" s="3">
        <v>1</v>
      </c>
      <c r="T243" s="3">
        <v>0</v>
      </c>
      <c r="U243" s="3">
        <v>0</v>
      </c>
      <c r="V243" s="3">
        <v>0</v>
      </c>
      <c r="W243" s="3">
        <v>0</v>
      </c>
      <c r="X243" s="3">
        <v>0</v>
      </c>
      <c r="Y243" s="3">
        <v>0</v>
      </c>
      <c r="Z243" s="3">
        <v>1</v>
      </c>
      <c r="AA243" s="3">
        <v>0</v>
      </c>
      <c r="AB243" s="3">
        <v>0</v>
      </c>
      <c r="AC243" s="3">
        <v>0</v>
      </c>
      <c r="AD243" s="3">
        <v>0</v>
      </c>
      <c r="AE243" s="3" t="s">
        <v>6</v>
      </c>
      <c r="AF243" s="3" t="s">
        <v>1433</v>
      </c>
      <c r="AS243" s="3" t="s">
        <v>17</v>
      </c>
      <c r="AT243" s="3" t="s">
        <v>776</v>
      </c>
      <c r="AU243" s="3" t="s">
        <v>804</v>
      </c>
    </row>
    <row r="244" spans="1:48" x14ac:dyDescent="0.25">
      <c r="A244" t="s">
        <v>1263</v>
      </c>
      <c r="B244" s="7">
        <v>45868</v>
      </c>
      <c r="C244" s="7" t="s">
        <v>844</v>
      </c>
      <c r="D244" s="3" t="s">
        <v>6</v>
      </c>
      <c r="E244" s="3" t="s">
        <v>805</v>
      </c>
      <c r="F244" s="3" t="s">
        <v>24</v>
      </c>
      <c r="G244" s="3" t="s">
        <v>20</v>
      </c>
      <c r="H244" s="9">
        <v>41.3855668196111</v>
      </c>
      <c r="I244" s="9">
        <v>2.2000962090037501</v>
      </c>
      <c r="J244" s="3">
        <v>1</v>
      </c>
      <c r="K244" s="3">
        <v>1</v>
      </c>
      <c r="L244" s="3">
        <v>0</v>
      </c>
      <c r="M244" s="3">
        <v>0</v>
      </c>
      <c r="N244" s="3" t="s">
        <v>16</v>
      </c>
      <c r="O244" s="3">
        <v>0</v>
      </c>
      <c r="P244" s="3">
        <v>0</v>
      </c>
      <c r="Q244" s="3">
        <v>0</v>
      </c>
      <c r="R244" s="3">
        <v>0</v>
      </c>
      <c r="S244" s="3">
        <v>1</v>
      </c>
      <c r="T244" s="3">
        <v>0</v>
      </c>
      <c r="U244" s="3">
        <v>0</v>
      </c>
      <c r="V244" s="3">
        <v>0</v>
      </c>
      <c r="W244" s="3">
        <v>0</v>
      </c>
      <c r="X244" s="3">
        <v>0</v>
      </c>
      <c r="Y244" s="3">
        <v>0</v>
      </c>
      <c r="Z244" s="3">
        <v>1</v>
      </c>
      <c r="AA244" s="3">
        <v>0</v>
      </c>
      <c r="AB244" s="3">
        <v>0</v>
      </c>
      <c r="AC244" s="3">
        <v>0</v>
      </c>
      <c r="AD244" s="3">
        <v>0</v>
      </c>
      <c r="AE244" s="3" t="s">
        <v>6</v>
      </c>
      <c r="AF244" s="3" t="s">
        <v>1433</v>
      </c>
      <c r="AS244" s="3" t="s">
        <v>577</v>
      </c>
      <c r="AT244" s="3" t="s">
        <v>601</v>
      </c>
      <c r="AV244" s="3" t="s">
        <v>806</v>
      </c>
    </row>
    <row r="245" spans="1:48" x14ac:dyDescent="0.25">
      <c r="A245" t="s">
        <v>1265</v>
      </c>
      <c r="B245" s="7">
        <v>45855</v>
      </c>
      <c r="C245" s="7" t="s">
        <v>844</v>
      </c>
      <c r="D245" s="3" t="s">
        <v>6</v>
      </c>
      <c r="E245" s="3" t="s">
        <v>810</v>
      </c>
      <c r="F245" s="3" t="s">
        <v>87</v>
      </c>
      <c r="G245" s="3" t="s">
        <v>19</v>
      </c>
      <c r="H245" s="9">
        <v>39.0470346113676</v>
      </c>
      <c r="I245" s="9">
        <v>-0.19179507189255199</v>
      </c>
      <c r="J245" s="3">
        <v>1</v>
      </c>
      <c r="K245" s="3">
        <v>1</v>
      </c>
      <c r="L245" s="3">
        <v>0</v>
      </c>
      <c r="M245" s="3">
        <v>0</v>
      </c>
      <c r="N245" s="3" t="s">
        <v>66</v>
      </c>
      <c r="O245" s="3">
        <v>0</v>
      </c>
      <c r="P245" s="3">
        <v>1</v>
      </c>
      <c r="Q245" s="3">
        <v>0</v>
      </c>
      <c r="R245" s="3">
        <v>0</v>
      </c>
      <c r="S245" s="3">
        <v>0</v>
      </c>
      <c r="T245" s="3">
        <v>0</v>
      </c>
      <c r="U245" s="3">
        <v>1</v>
      </c>
      <c r="V245" s="3">
        <v>0</v>
      </c>
      <c r="W245" s="3">
        <v>0</v>
      </c>
      <c r="X245" s="3">
        <v>0</v>
      </c>
      <c r="Y245" s="3">
        <v>0</v>
      </c>
      <c r="Z245" s="3">
        <v>0</v>
      </c>
      <c r="AA245" s="3">
        <v>0</v>
      </c>
      <c r="AB245" s="3">
        <v>0</v>
      </c>
      <c r="AC245" s="3">
        <v>0</v>
      </c>
      <c r="AD245" s="3">
        <v>0</v>
      </c>
      <c r="AE245" s="3" t="s">
        <v>6</v>
      </c>
      <c r="AF245" s="3">
        <f>SUM(AH245:AL245)</f>
        <v>0</v>
      </c>
      <c r="AS245" s="3" t="s">
        <v>577</v>
      </c>
      <c r="AT245" s="3" t="s">
        <v>811</v>
      </c>
      <c r="AV245" s="3" t="s">
        <v>812</v>
      </c>
    </row>
    <row r="246" spans="1:48" x14ac:dyDescent="0.25">
      <c r="A246" t="s">
        <v>1267</v>
      </c>
      <c r="B246" s="7">
        <v>45561</v>
      </c>
      <c r="C246" s="7" t="s">
        <v>843</v>
      </c>
      <c r="D246" s="3" t="s">
        <v>6</v>
      </c>
      <c r="E246" s="3" t="s">
        <v>816</v>
      </c>
      <c r="F246" s="3" t="s">
        <v>47</v>
      </c>
      <c r="G246" s="3" t="s">
        <v>21</v>
      </c>
      <c r="H246" s="9">
        <v>36.953335186228401</v>
      </c>
      <c r="I246" s="9">
        <v>-1.8977037115592601</v>
      </c>
      <c r="J246" s="3">
        <v>1</v>
      </c>
      <c r="K246" s="3">
        <v>1</v>
      </c>
      <c r="L246" s="3">
        <v>0</v>
      </c>
      <c r="M246" s="3">
        <v>0</v>
      </c>
      <c r="N246" s="3" t="s">
        <v>66</v>
      </c>
      <c r="O246" s="3">
        <v>0</v>
      </c>
      <c r="P246" s="3">
        <v>1</v>
      </c>
      <c r="Q246" s="3">
        <v>0</v>
      </c>
      <c r="R246" s="3">
        <v>0</v>
      </c>
      <c r="S246" s="3">
        <v>0</v>
      </c>
      <c r="T246" s="3">
        <v>0</v>
      </c>
      <c r="U246" s="3">
        <v>0</v>
      </c>
      <c r="V246" s="3">
        <v>0</v>
      </c>
      <c r="W246" s="3">
        <v>0</v>
      </c>
      <c r="X246" s="3">
        <v>0</v>
      </c>
      <c r="Y246" s="3">
        <v>1</v>
      </c>
      <c r="Z246" s="3">
        <v>0</v>
      </c>
      <c r="AA246" s="3">
        <v>0</v>
      </c>
      <c r="AB246" s="3">
        <v>0</v>
      </c>
      <c r="AC246" s="3">
        <v>0</v>
      </c>
      <c r="AD246" s="3">
        <v>0</v>
      </c>
      <c r="AE246" s="3" t="s">
        <v>6</v>
      </c>
      <c r="AF246" s="3">
        <f>SUM(AH246:AL246)</f>
        <v>0</v>
      </c>
      <c r="AS246" s="3" t="s">
        <v>17</v>
      </c>
      <c r="AT246" s="3" t="s">
        <v>781</v>
      </c>
      <c r="AU246" s="3" t="s">
        <v>817</v>
      </c>
    </row>
    <row r="247" spans="1:48" x14ac:dyDescent="0.25">
      <c r="A247" t="s">
        <v>1268</v>
      </c>
      <c r="B247" s="7">
        <v>44892</v>
      </c>
      <c r="C247" s="7" t="s">
        <v>843</v>
      </c>
      <c r="D247" s="3" t="s">
        <v>6</v>
      </c>
      <c r="F247" s="3" t="s">
        <v>54</v>
      </c>
      <c r="G247" s="3" t="s">
        <v>21</v>
      </c>
      <c r="J247" s="3">
        <v>1</v>
      </c>
      <c r="K247" s="3">
        <v>1</v>
      </c>
      <c r="L247" s="3">
        <v>0</v>
      </c>
      <c r="M247" s="3">
        <v>0</v>
      </c>
      <c r="N247" s="3" t="s">
        <v>16</v>
      </c>
      <c r="O247" s="3">
        <v>0</v>
      </c>
      <c r="P247" s="3">
        <v>0</v>
      </c>
      <c r="Q247" s="3">
        <v>0</v>
      </c>
      <c r="R247" s="3">
        <v>1</v>
      </c>
      <c r="S247" s="3">
        <v>0</v>
      </c>
      <c r="T247" s="3">
        <v>0</v>
      </c>
      <c r="U247" s="3">
        <v>0</v>
      </c>
      <c r="V247" s="3">
        <v>0</v>
      </c>
      <c r="W247" s="3">
        <v>0</v>
      </c>
      <c r="X247" s="3">
        <v>0</v>
      </c>
      <c r="Y247" s="3">
        <v>0</v>
      </c>
      <c r="Z247" s="3">
        <v>1</v>
      </c>
      <c r="AA247" s="3">
        <v>0</v>
      </c>
      <c r="AB247" s="3">
        <v>0</v>
      </c>
      <c r="AC247" s="3">
        <v>0</v>
      </c>
      <c r="AD247" s="3">
        <v>0</v>
      </c>
      <c r="AE247" s="3" t="s">
        <v>6</v>
      </c>
      <c r="AF247" s="3" t="s">
        <v>1433</v>
      </c>
      <c r="AS247" s="3" t="s">
        <v>17</v>
      </c>
      <c r="AT247" s="3" t="s">
        <v>781</v>
      </c>
      <c r="AU247" s="3" t="s">
        <v>818</v>
      </c>
      <c r="AV247" s="3" t="s">
        <v>819</v>
      </c>
    </row>
    <row r="248" spans="1:48" x14ac:dyDescent="0.25">
      <c r="A248" t="s">
        <v>1269</v>
      </c>
      <c r="B248" s="7">
        <v>45503</v>
      </c>
      <c r="C248" s="7" t="s">
        <v>844</v>
      </c>
      <c r="D248" s="3" t="s">
        <v>6</v>
      </c>
      <c r="F248" s="3" t="s">
        <v>23</v>
      </c>
      <c r="G248" s="3" t="s">
        <v>23</v>
      </c>
      <c r="J248" s="3">
        <v>1</v>
      </c>
      <c r="K248" s="3">
        <v>1</v>
      </c>
      <c r="L248" s="3">
        <v>0</v>
      </c>
      <c r="M248" s="3">
        <v>0</v>
      </c>
      <c r="N248" s="3" t="s">
        <v>66</v>
      </c>
      <c r="O248" s="3">
        <v>0</v>
      </c>
      <c r="P248" s="3">
        <v>1</v>
      </c>
      <c r="Q248" s="3">
        <v>0</v>
      </c>
      <c r="R248" s="3">
        <v>0</v>
      </c>
      <c r="S248" s="3">
        <v>0</v>
      </c>
      <c r="T248" s="3">
        <v>0</v>
      </c>
      <c r="U248" s="3">
        <v>1</v>
      </c>
      <c r="V248" s="3">
        <v>0</v>
      </c>
      <c r="W248" s="3">
        <v>0</v>
      </c>
      <c r="X248" s="3">
        <v>0</v>
      </c>
      <c r="Y248" s="3">
        <v>0</v>
      </c>
      <c r="Z248" s="3">
        <v>0</v>
      </c>
      <c r="AA248" s="3">
        <v>0</v>
      </c>
      <c r="AB248" s="3">
        <v>0</v>
      </c>
      <c r="AC248" s="3">
        <v>0</v>
      </c>
      <c r="AD248" s="3">
        <v>0</v>
      </c>
      <c r="AE248" s="3" t="s">
        <v>6</v>
      </c>
      <c r="AF248" s="3">
        <f>SUM(AH248:AL248)</f>
        <v>0</v>
      </c>
      <c r="AS248" s="3" t="s">
        <v>17</v>
      </c>
      <c r="AT248" s="3" t="s">
        <v>781</v>
      </c>
      <c r="AU248" s="3" t="s">
        <v>820</v>
      </c>
      <c r="AV248" s="3" t="s">
        <v>821</v>
      </c>
    </row>
    <row r="249" spans="1:48" x14ac:dyDescent="0.25">
      <c r="A249" t="s">
        <v>1270</v>
      </c>
      <c r="B249" s="7">
        <v>45483</v>
      </c>
      <c r="C249" s="7" t="s">
        <v>844</v>
      </c>
      <c r="D249" s="3" t="s">
        <v>6</v>
      </c>
      <c r="E249" s="3" t="s">
        <v>822</v>
      </c>
      <c r="F249" s="3" t="s">
        <v>23</v>
      </c>
      <c r="G249" s="3" t="s">
        <v>23</v>
      </c>
      <c r="H249" s="9">
        <v>37.569991813277497</v>
      </c>
      <c r="I249" s="9">
        <v>-1.25335819146843</v>
      </c>
      <c r="J249" s="3">
        <v>1</v>
      </c>
      <c r="K249" s="3">
        <v>1</v>
      </c>
      <c r="L249" s="3">
        <v>0</v>
      </c>
      <c r="M249" s="3">
        <v>0</v>
      </c>
      <c r="N249" s="3" t="s">
        <v>16</v>
      </c>
      <c r="O249" s="3">
        <v>0</v>
      </c>
      <c r="P249" s="3">
        <v>0</v>
      </c>
      <c r="Q249" s="3">
        <v>0</v>
      </c>
      <c r="R249" s="3">
        <v>0</v>
      </c>
      <c r="S249" s="3">
        <v>1</v>
      </c>
      <c r="T249" s="3">
        <v>0</v>
      </c>
      <c r="U249" s="3">
        <v>0</v>
      </c>
      <c r="V249" s="3">
        <v>0</v>
      </c>
      <c r="W249" s="3">
        <v>0</v>
      </c>
      <c r="X249" s="3">
        <v>0</v>
      </c>
      <c r="Y249" s="3">
        <v>0</v>
      </c>
      <c r="Z249" s="3">
        <v>0</v>
      </c>
      <c r="AA249" s="3">
        <v>0</v>
      </c>
      <c r="AB249" s="3">
        <v>0</v>
      </c>
      <c r="AC249" s="3">
        <v>0</v>
      </c>
      <c r="AD249" s="3">
        <v>1</v>
      </c>
      <c r="AE249" s="3" t="s">
        <v>6</v>
      </c>
      <c r="AF249" s="3" t="s">
        <v>1433</v>
      </c>
      <c r="AS249" s="3" t="s">
        <v>17</v>
      </c>
      <c r="AT249" s="3" t="s">
        <v>781</v>
      </c>
      <c r="AU249" s="3" t="s">
        <v>824</v>
      </c>
      <c r="AV249" s="3" t="s">
        <v>823</v>
      </c>
    </row>
    <row r="250" spans="1:48" x14ac:dyDescent="0.25">
      <c r="A250" t="s">
        <v>1272</v>
      </c>
      <c r="B250" s="7">
        <v>45495</v>
      </c>
      <c r="C250" s="7" t="s">
        <v>844</v>
      </c>
      <c r="D250" s="3" t="s">
        <v>6</v>
      </c>
      <c r="E250" s="3" t="s">
        <v>828</v>
      </c>
      <c r="F250" s="3" t="s">
        <v>23</v>
      </c>
      <c r="G250" s="3" t="s">
        <v>23</v>
      </c>
      <c r="H250" s="9">
        <v>37.528315622797898</v>
      </c>
      <c r="I250" s="9">
        <v>-1.38085073790905</v>
      </c>
      <c r="J250" s="3">
        <v>1</v>
      </c>
      <c r="K250" s="3">
        <v>1</v>
      </c>
      <c r="L250" s="3">
        <v>0</v>
      </c>
      <c r="M250" s="3">
        <v>0</v>
      </c>
      <c r="N250" s="3" t="s">
        <v>66</v>
      </c>
      <c r="O250" s="3">
        <v>0</v>
      </c>
      <c r="P250" s="3">
        <v>1</v>
      </c>
      <c r="Q250" s="3">
        <v>0</v>
      </c>
      <c r="R250" s="3">
        <v>0</v>
      </c>
      <c r="S250" s="3">
        <v>0</v>
      </c>
      <c r="T250" s="3">
        <v>0</v>
      </c>
      <c r="U250" s="3">
        <v>1</v>
      </c>
      <c r="V250" s="3">
        <v>0</v>
      </c>
      <c r="W250" s="3">
        <v>0</v>
      </c>
      <c r="X250" s="3">
        <v>0</v>
      </c>
      <c r="Y250" s="3">
        <v>0</v>
      </c>
      <c r="Z250" s="3">
        <v>0</v>
      </c>
      <c r="AA250" s="3">
        <v>0</v>
      </c>
      <c r="AB250" s="3">
        <v>0</v>
      </c>
      <c r="AC250" s="3">
        <v>0</v>
      </c>
      <c r="AD250" s="3">
        <v>0</v>
      </c>
      <c r="AE250" s="3" t="s">
        <v>6</v>
      </c>
      <c r="AF250" s="3">
        <f>SUM(AH250:AL250)</f>
        <v>0</v>
      </c>
      <c r="AS250" s="3" t="s">
        <v>17</v>
      </c>
      <c r="AT250" s="3" t="s">
        <v>781</v>
      </c>
      <c r="AU250" s="3" t="s">
        <v>829</v>
      </c>
    </row>
    <row r="251" spans="1:48" x14ac:dyDescent="0.25">
      <c r="A251" t="s">
        <v>1273</v>
      </c>
      <c r="B251" s="7">
        <v>44773</v>
      </c>
      <c r="C251" s="7" t="s">
        <v>844</v>
      </c>
      <c r="D251" s="3" t="s">
        <v>6</v>
      </c>
      <c r="E251" s="3" t="s">
        <v>830</v>
      </c>
      <c r="F251" s="3" t="s">
        <v>25</v>
      </c>
      <c r="G251" s="3" t="s">
        <v>19</v>
      </c>
      <c r="H251" s="9">
        <v>38.081927508602803</v>
      </c>
      <c r="I251" s="9">
        <v>-0.64027365890874499</v>
      </c>
      <c r="J251" s="3">
        <v>1</v>
      </c>
      <c r="K251" s="3">
        <v>1</v>
      </c>
      <c r="L251" s="3">
        <v>0</v>
      </c>
      <c r="M251" s="3">
        <v>0</v>
      </c>
      <c r="N251" s="3" t="s">
        <v>66</v>
      </c>
      <c r="O251" s="3">
        <v>0</v>
      </c>
      <c r="P251" s="3">
        <v>0</v>
      </c>
      <c r="Q251" s="3">
        <v>1</v>
      </c>
      <c r="R251" s="3">
        <v>0</v>
      </c>
      <c r="S251" s="3">
        <v>0</v>
      </c>
      <c r="T251" s="3">
        <v>0</v>
      </c>
      <c r="U251" s="3">
        <v>1</v>
      </c>
      <c r="V251" s="3">
        <v>0</v>
      </c>
      <c r="W251" s="3">
        <v>0</v>
      </c>
      <c r="X251" s="3">
        <v>0</v>
      </c>
      <c r="Y251" s="3">
        <v>0</v>
      </c>
      <c r="Z251" s="3">
        <v>0</v>
      </c>
      <c r="AA251" s="3">
        <v>0</v>
      </c>
      <c r="AB251" s="3">
        <v>0</v>
      </c>
      <c r="AC251" s="3">
        <v>0</v>
      </c>
      <c r="AD251" s="3">
        <v>0</v>
      </c>
      <c r="AE251" s="3" t="s">
        <v>6</v>
      </c>
      <c r="AF251" s="3">
        <f>SUM(AH251:AL251)</f>
        <v>0</v>
      </c>
      <c r="AS251" s="3" t="s">
        <v>17</v>
      </c>
      <c r="AT251" s="3" t="s">
        <v>781</v>
      </c>
      <c r="AU251" s="3" t="s">
        <v>831</v>
      </c>
    </row>
    <row r="252" spans="1:48" x14ac:dyDescent="0.25">
      <c r="A252" t="s">
        <v>1274</v>
      </c>
      <c r="B252" s="7">
        <v>45853</v>
      </c>
      <c r="C252" s="7" t="s">
        <v>844</v>
      </c>
      <c r="D252" s="3" t="s">
        <v>6</v>
      </c>
      <c r="E252" s="3" t="s">
        <v>832</v>
      </c>
      <c r="F252" s="3" t="s">
        <v>833</v>
      </c>
      <c r="G252" s="3" t="s">
        <v>21</v>
      </c>
      <c r="H252" s="9">
        <v>36.181102774173503</v>
      </c>
      <c r="I252" s="9">
        <v>-5.3325007059008698</v>
      </c>
      <c r="J252" s="3">
        <v>1</v>
      </c>
      <c r="K252" s="3">
        <v>1</v>
      </c>
      <c r="L252" s="3">
        <v>0</v>
      </c>
      <c r="M252" s="3">
        <v>0</v>
      </c>
      <c r="N252" s="3" t="s">
        <v>16</v>
      </c>
      <c r="O252" s="3">
        <v>0</v>
      </c>
      <c r="P252" s="3">
        <v>0</v>
      </c>
      <c r="Q252" s="3">
        <v>0</v>
      </c>
      <c r="R252" s="3">
        <v>0</v>
      </c>
      <c r="S252" s="3">
        <v>1</v>
      </c>
      <c r="T252" s="3">
        <v>0</v>
      </c>
      <c r="U252" s="3">
        <v>0</v>
      </c>
      <c r="V252" s="3">
        <v>0</v>
      </c>
      <c r="W252" s="3">
        <v>0</v>
      </c>
      <c r="X252" s="3">
        <v>0</v>
      </c>
      <c r="Y252" s="3">
        <v>0</v>
      </c>
      <c r="Z252" s="3">
        <v>1</v>
      </c>
      <c r="AA252" s="3">
        <v>0</v>
      </c>
      <c r="AB252" s="3">
        <v>0</v>
      </c>
      <c r="AC252" s="3">
        <v>0</v>
      </c>
      <c r="AD252" s="3">
        <v>0</v>
      </c>
      <c r="AE252" s="3" t="s">
        <v>6</v>
      </c>
      <c r="AF252" s="3" t="s">
        <v>1433</v>
      </c>
      <c r="AS252" s="3" t="s">
        <v>17</v>
      </c>
      <c r="AT252" s="3" t="s">
        <v>781</v>
      </c>
      <c r="AU252" s="3" t="s">
        <v>834</v>
      </c>
    </row>
    <row r="253" spans="1:48" x14ac:dyDescent="0.25">
      <c r="A253" t="s">
        <v>1275</v>
      </c>
      <c r="B253" s="7">
        <v>45494</v>
      </c>
      <c r="C253" s="7" t="s">
        <v>844</v>
      </c>
      <c r="D253" s="3" t="s">
        <v>6</v>
      </c>
      <c r="E253" s="3" t="s">
        <v>835</v>
      </c>
      <c r="F253" s="3" t="s">
        <v>25</v>
      </c>
      <c r="G253" s="3" t="s">
        <v>19</v>
      </c>
      <c r="J253" s="3">
        <v>1</v>
      </c>
      <c r="K253" s="3">
        <v>1</v>
      </c>
      <c r="L253" s="3">
        <v>0</v>
      </c>
      <c r="M253" s="3">
        <v>0</v>
      </c>
      <c r="N253" s="3" t="s">
        <v>16</v>
      </c>
      <c r="O253" s="3">
        <v>0</v>
      </c>
      <c r="P253" s="3">
        <v>0</v>
      </c>
      <c r="Q253" s="3">
        <v>0</v>
      </c>
      <c r="R253" s="3">
        <v>0</v>
      </c>
      <c r="S253" s="3">
        <v>1</v>
      </c>
      <c r="T253" s="3">
        <v>0</v>
      </c>
      <c r="U253" s="3">
        <v>0</v>
      </c>
      <c r="V253" s="3">
        <v>0</v>
      </c>
      <c r="W253" s="3">
        <v>0</v>
      </c>
      <c r="X253" s="3">
        <v>0</v>
      </c>
      <c r="Y253" s="3">
        <v>0</v>
      </c>
      <c r="Z253" s="3">
        <v>1</v>
      </c>
      <c r="AA253" s="3">
        <v>0</v>
      </c>
      <c r="AB253" s="3">
        <v>0</v>
      </c>
      <c r="AC253" s="3">
        <v>0</v>
      </c>
      <c r="AD253" s="3">
        <v>0</v>
      </c>
      <c r="AE253" s="3" t="s">
        <v>6</v>
      </c>
      <c r="AF253" s="3" t="s">
        <v>1433</v>
      </c>
      <c r="AS253" s="3" t="s">
        <v>17</v>
      </c>
      <c r="AT253" s="3" t="s">
        <v>781</v>
      </c>
      <c r="AU253" s="3" t="s">
        <v>836</v>
      </c>
      <c r="AV253" s="3" t="s">
        <v>837</v>
      </c>
    </row>
    <row r="254" spans="1:48" x14ac:dyDescent="0.25">
      <c r="A254" t="s">
        <v>1276</v>
      </c>
      <c r="B254" s="7">
        <v>45513</v>
      </c>
      <c r="C254" s="7" t="s">
        <v>844</v>
      </c>
      <c r="D254" s="3" t="s">
        <v>6</v>
      </c>
      <c r="E254" s="3" t="s">
        <v>839</v>
      </c>
      <c r="F254" s="3" t="s">
        <v>8</v>
      </c>
      <c r="G254" s="3" t="s">
        <v>8</v>
      </c>
      <c r="H254" s="9">
        <v>39.888249808660099</v>
      </c>
      <c r="I254" s="9">
        <v>3.1085141534062699</v>
      </c>
      <c r="J254" s="3">
        <v>1</v>
      </c>
      <c r="K254" s="3">
        <v>1</v>
      </c>
      <c r="L254" s="3">
        <v>0</v>
      </c>
      <c r="M254" s="3">
        <v>0</v>
      </c>
      <c r="N254" s="3" t="s">
        <v>66</v>
      </c>
      <c r="O254" s="3">
        <v>0</v>
      </c>
      <c r="P254" s="3">
        <v>1</v>
      </c>
      <c r="Q254" s="3">
        <v>0</v>
      </c>
      <c r="R254" s="3">
        <v>0</v>
      </c>
      <c r="S254" s="3">
        <v>0</v>
      </c>
      <c r="T254" s="3">
        <v>0</v>
      </c>
      <c r="U254" s="3">
        <v>1</v>
      </c>
      <c r="V254" s="3">
        <v>0</v>
      </c>
      <c r="W254" s="3">
        <v>0</v>
      </c>
      <c r="X254" s="3">
        <v>0</v>
      </c>
      <c r="Y254" s="3">
        <v>0</v>
      </c>
      <c r="Z254" s="3">
        <v>0</v>
      </c>
      <c r="AA254" s="3">
        <v>0</v>
      </c>
      <c r="AB254" s="3">
        <v>0</v>
      </c>
      <c r="AC254" s="3">
        <v>0</v>
      </c>
      <c r="AD254" s="3">
        <v>0</v>
      </c>
      <c r="AE254" s="3" t="s">
        <v>6</v>
      </c>
      <c r="AF254" s="3">
        <f>SUM(AH254:AL254)</f>
        <v>0</v>
      </c>
      <c r="AS254" s="3" t="s">
        <v>17</v>
      </c>
      <c r="AT254" s="3" t="s">
        <v>781</v>
      </c>
      <c r="AU254" s="3" t="s">
        <v>838</v>
      </c>
      <c r="AV254" s="3" t="s">
        <v>286</v>
      </c>
    </row>
    <row r="255" spans="1:48" x14ac:dyDescent="0.25">
      <c r="A255" t="s">
        <v>1277</v>
      </c>
      <c r="B255" s="7">
        <v>45869</v>
      </c>
      <c r="C255" s="7" t="s">
        <v>844</v>
      </c>
      <c r="D255" s="3" t="s">
        <v>6</v>
      </c>
      <c r="E255" s="3" t="s">
        <v>723</v>
      </c>
      <c r="F255" s="3" t="s">
        <v>59</v>
      </c>
      <c r="G255" s="3" t="s">
        <v>20</v>
      </c>
      <c r="H255" s="9">
        <v>41.7700434787006</v>
      </c>
      <c r="I255" s="9">
        <v>3.0309861314883602</v>
      </c>
      <c r="J255" s="3">
        <v>1</v>
      </c>
      <c r="K255" s="3">
        <v>1</v>
      </c>
      <c r="L255" s="3">
        <v>0</v>
      </c>
      <c r="M255" s="3">
        <v>0</v>
      </c>
      <c r="N255" s="3" t="s">
        <v>66</v>
      </c>
      <c r="O255" s="3">
        <v>1</v>
      </c>
      <c r="P255" s="3">
        <v>0</v>
      </c>
      <c r="Q255" s="3">
        <v>0</v>
      </c>
      <c r="R255" s="3">
        <v>0</v>
      </c>
      <c r="S255" s="3">
        <v>0</v>
      </c>
      <c r="T255" s="3">
        <v>0</v>
      </c>
      <c r="U255" s="3">
        <v>0</v>
      </c>
      <c r="V255" s="3">
        <v>0</v>
      </c>
      <c r="W255" s="3">
        <v>0</v>
      </c>
      <c r="X255" s="3">
        <v>0</v>
      </c>
      <c r="Y255" s="3">
        <v>1</v>
      </c>
      <c r="Z255" s="3">
        <v>0</v>
      </c>
      <c r="AA255" s="3">
        <v>0</v>
      </c>
      <c r="AB255" s="3">
        <v>0</v>
      </c>
      <c r="AC255" s="3">
        <v>0</v>
      </c>
      <c r="AD255" s="3">
        <v>0</v>
      </c>
      <c r="AE255" s="3" t="s">
        <v>6</v>
      </c>
      <c r="AF255" s="3">
        <f>SUM(AH255:AL255)</f>
        <v>0</v>
      </c>
      <c r="AS255" s="3" t="s">
        <v>17</v>
      </c>
      <c r="AT255" s="3" t="s">
        <v>776</v>
      </c>
      <c r="AU255" s="3" t="s">
        <v>846</v>
      </c>
      <c r="AV255" s="3" t="s">
        <v>847</v>
      </c>
    </row>
    <row r="256" spans="1:48" x14ac:dyDescent="0.25">
      <c r="A256" t="s">
        <v>1278</v>
      </c>
      <c r="B256" s="7">
        <v>45806</v>
      </c>
      <c r="C256" s="7" t="s">
        <v>842</v>
      </c>
      <c r="D256" s="3" t="s">
        <v>6</v>
      </c>
      <c r="E256" s="3" t="s">
        <v>609</v>
      </c>
      <c r="F256" s="3" t="s">
        <v>59</v>
      </c>
      <c r="G256" s="3" t="s">
        <v>20</v>
      </c>
      <c r="H256" s="9">
        <v>42.280813526849101</v>
      </c>
      <c r="I256" s="9">
        <v>3.2769318918251602</v>
      </c>
      <c r="J256" s="3">
        <v>1</v>
      </c>
      <c r="K256" s="3">
        <v>1</v>
      </c>
      <c r="L256" s="3">
        <v>0</v>
      </c>
      <c r="M256" s="3">
        <v>0</v>
      </c>
      <c r="N256" s="3" t="s">
        <v>66</v>
      </c>
      <c r="O256" s="3">
        <v>0</v>
      </c>
      <c r="P256" s="3">
        <v>1</v>
      </c>
      <c r="Q256" s="3">
        <v>0</v>
      </c>
      <c r="R256" s="3">
        <v>0</v>
      </c>
      <c r="S256" s="3">
        <v>0</v>
      </c>
      <c r="T256" s="3">
        <v>0</v>
      </c>
      <c r="U256" s="3">
        <v>1</v>
      </c>
      <c r="V256" s="3">
        <v>0</v>
      </c>
      <c r="W256" s="3">
        <v>0</v>
      </c>
      <c r="X256" s="3">
        <v>0</v>
      </c>
      <c r="Y256" s="3">
        <v>0</v>
      </c>
      <c r="Z256" s="3">
        <v>0</v>
      </c>
      <c r="AA256" s="3">
        <v>0</v>
      </c>
      <c r="AB256" s="3">
        <v>0</v>
      </c>
      <c r="AC256" s="3">
        <v>0</v>
      </c>
      <c r="AD256" s="3">
        <v>0</v>
      </c>
      <c r="AE256" s="3" t="s">
        <v>6</v>
      </c>
      <c r="AF256" s="3">
        <f>SUM(AH256:AL256)</f>
        <v>0</v>
      </c>
      <c r="AS256" s="3" t="s">
        <v>17</v>
      </c>
      <c r="AT256" s="3" t="s">
        <v>776</v>
      </c>
      <c r="AU256" s="3" t="s">
        <v>720</v>
      </c>
      <c r="AV256" s="3" t="s">
        <v>249</v>
      </c>
    </row>
    <row r="257" spans="1:49" x14ac:dyDescent="0.25">
      <c r="A257" t="s">
        <v>1279</v>
      </c>
      <c r="B257" s="7">
        <v>45481</v>
      </c>
      <c r="C257" s="7" t="s">
        <v>844</v>
      </c>
      <c r="D257" s="3" t="s">
        <v>6</v>
      </c>
      <c r="E257" s="3" t="s">
        <v>26</v>
      </c>
      <c r="F257" s="3" t="s">
        <v>78</v>
      </c>
      <c r="G257" s="3" t="s">
        <v>19</v>
      </c>
      <c r="H257" s="9">
        <v>39.8980030651907</v>
      </c>
      <c r="I257" s="9">
        <v>0.68848261399748301</v>
      </c>
      <c r="J257" s="3">
        <v>1</v>
      </c>
      <c r="K257" s="3">
        <v>1</v>
      </c>
      <c r="L257" s="3">
        <v>0</v>
      </c>
      <c r="M257" s="3">
        <v>0</v>
      </c>
      <c r="N257" s="3" t="s">
        <v>66</v>
      </c>
      <c r="O257" s="3">
        <v>0</v>
      </c>
      <c r="P257" s="3">
        <v>1</v>
      </c>
      <c r="Q257" s="3">
        <v>0</v>
      </c>
      <c r="R257" s="3">
        <v>0</v>
      </c>
      <c r="S257" s="3">
        <v>0</v>
      </c>
      <c r="T257" s="3">
        <v>0</v>
      </c>
      <c r="U257" s="3">
        <v>1</v>
      </c>
      <c r="V257" s="3">
        <v>0</v>
      </c>
      <c r="W257" s="3">
        <v>0</v>
      </c>
      <c r="X257" s="3">
        <v>0</v>
      </c>
      <c r="Y257" s="3">
        <v>0</v>
      </c>
      <c r="Z257" s="3">
        <v>0</v>
      </c>
      <c r="AA257" s="3">
        <v>0</v>
      </c>
      <c r="AB257" s="3">
        <v>0</v>
      </c>
      <c r="AC257" s="3">
        <v>0</v>
      </c>
      <c r="AD257" s="3">
        <v>0</v>
      </c>
      <c r="AE257" s="3" t="s">
        <v>6</v>
      </c>
      <c r="AF257" s="3">
        <f>SUM(AH257:AL257)</f>
        <v>0</v>
      </c>
      <c r="AS257" s="3" t="s">
        <v>17</v>
      </c>
      <c r="AT257" s="3" t="s">
        <v>776</v>
      </c>
      <c r="AU257" s="3" t="s">
        <v>849</v>
      </c>
      <c r="AV257" s="3" t="s">
        <v>286</v>
      </c>
    </row>
    <row r="258" spans="1:49" x14ac:dyDescent="0.25">
      <c r="A258" t="s">
        <v>1280</v>
      </c>
      <c r="B258" s="7">
        <v>45835</v>
      </c>
      <c r="C258" s="7" t="s">
        <v>844</v>
      </c>
      <c r="D258" s="3" t="s">
        <v>6</v>
      </c>
      <c r="E258" s="3" t="s">
        <v>749</v>
      </c>
      <c r="F258" s="3" t="s">
        <v>59</v>
      </c>
      <c r="G258" s="3" t="s">
        <v>20</v>
      </c>
      <c r="H258" s="9">
        <v>41.790134458209501</v>
      </c>
      <c r="I258" s="9">
        <v>3.0493001796228998</v>
      </c>
      <c r="J258" s="3">
        <v>1</v>
      </c>
      <c r="K258" s="3">
        <v>1</v>
      </c>
      <c r="L258" s="3">
        <v>0</v>
      </c>
      <c r="M258" s="3">
        <v>0</v>
      </c>
      <c r="N258" s="3" t="s">
        <v>16</v>
      </c>
      <c r="O258" s="3">
        <v>0</v>
      </c>
      <c r="P258" s="3">
        <v>0</v>
      </c>
      <c r="Q258" s="3">
        <v>0</v>
      </c>
      <c r="R258" s="3">
        <v>0</v>
      </c>
      <c r="S258" s="3">
        <v>0</v>
      </c>
      <c r="T258" s="3">
        <v>1</v>
      </c>
      <c r="U258" s="3">
        <v>0</v>
      </c>
      <c r="V258" s="3">
        <v>0</v>
      </c>
      <c r="W258" s="3">
        <v>0</v>
      </c>
      <c r="X258" s="3">
        <v>0</v>
      </c>
      <c r="Y258" s="3">
        <v>0</v>
      </c>
      <c r="Z258" s="3">
        <v>1</v>
      </c>
      <c r="AA258" s="3">
        <v>0</v>
      </c>
      <c r="AB258" s="3">
        <v>0</v>
      </c>
      <c r="AC258" s="3">
        <v>0</v>
      </c>
      <c r="AD258" s="3">
        <v>0</v>
      </c>
      <c r="AE258" s="3" t="s">
        <v>6</v>
      </c>
      <c r="AF258" s="3" t="s">
        <v>1433</v>
      </c>
      <c r="AS258" s="3" t="s">
        <v>17</v>
      </c>
      <c r="AT258" s="3" t="s">
        <v>781</v>
      </c>
      <c r="AU258" s="3" t="s">
        <v>850</v>
      </c>
      <c r="AV258" s="3" t="s">
        <v>246</v>
      </c>
    </row>
    <row r="259" spans="1:49" x14ac:dyDescent="0.25">
      <c r="A259" t="s">
        <v>1281</v>
      </c>
      <c r="B259" s="7">
        <v>45515</v>
      </c>
      <c r="C259" s="7" t="s">
        <v>844</v>
      </c>
      <c r="D259" s="3" t="s">
        <v>6</v>
      </c>
      <c r="E259" s="3" t="s">
        <v>92</v>
      </c>
      <c r="F259" s="3" t="s">
        <v>24</v>
      </c>
      <c r="G259" s="3" t="s">
        <v>20</v>
      </c>
      <c r="H259" s="9">
        <v>41.429857323906397</v>
      </c>
      <c r="I259" s="9">
        <v>2.2395988800271001</v>
      </c>
      <c r="J259" s="3">
        <v>1</v>
      </c>
      <c r="K259" s="3">
        <v>1</v>
      </c>
      <c r="L259" s="3">
        <v>0</v>
      </c>
      <c r="M259" s="3">
        <v>0</v>
      </c>
      <c r="N259" s="3" t="s">
        <v>66</v>
      </c>
      <c r="O259" s="3">
        <v>0</v>
      </c>
      <c r="P259" s="3">
        <v>0</v>
      </c>
      <c r="Q259" s="3">
        <v>1</v>
      </c>
      <c r="R259" s="3">
        <v>0</v>
      </c>
      <c r="S259" s="3">
        <v>0</v>
      </c>
      <c r="T259" s="3">
        <v>0</v>
      </c>
      <c r="U259" s="3">
        <v>1</v>
      </c>
      <c r="V259" s="3">
        <v>0</v>
      </c>
      <c r="W259" s="3">
        <v>0</v>
      </c>
      <c r="X259" s="3">
        <v>0</v>
      </c>
      <c r="Y259" s="3">
        <v>0</v>
      </c>
      <c r="Z259" s="3">
        <v>0</v>
      </c>
      <c r="AA259" s="3">
        <v>0</v>
      </c>
      <c r="AB259" s="3">
        <v>0</v>
      </c>
      <c r="AC259" s="3">
        <v>0</v>
      </c>
      <c r="AD259" s="3">
        <v>0</v>
      </c>
      <c r="AE259" s="3" t="s">
        <v>6</v>
      </c>
      <c r="AF259" s="3">
        <f>SUM(AH259:AL259)</f>
        <v>0</v>
      </c>
      <c r="AS259" s="3" t="s">
        <v>17</v>
      </c>
      <c r="AT259" s="3" t="s">
        <v>781</v>
      </c>
      <c r="AU259" s="3" t="s">
        <v>851</v>
      </c>
      <c r="AV259" s="3" t="s">
        <v>316</v>
      </c>
    </row>
    <row r="260" spans="1:49" x14ac:dyDescent="0.25">
      <c r="A260" t="s">
        <v>1283</v>
      </c>
      <c r="B260" s="7">
        <v>45482</v>
      </c>
      <c r="C260" s="7" t="s">
        <v>844</v>
      </c>
      <c r="D260" s="3" t="s">
        <v>6</v>
      </c>
      <c r="E260" s="3" t="s">
        <v>854</v>
      </c>
      <c r="F260" s="3" t="s">
        <v>25</v>
      </c>
      <c r="G260" s="3" t="s">
        <v>19</v>
      </c>
      <c r="H260" s="9">
        <v>38.250069899520099</v>
      </c>
      <c r="I260" s="9">
        <v>-0.51554988667863799</v>
      </c>
      <c r="J260" s="3">
        <v>1</v>
      </c>
      <c r="K260" s="3">
        <v>1</v>
      </c>
      <c r="L260" s="3">
        <v>0</v>
      </c>
      <c r="M260" s="3">
        <v>0</v>
      </c>
      <c r="N260" s="3" t="s">
        <v>66</v>
      </c>
      <c r="O260" s="3">
        <v>0</v>
      </c>
      <c r="P260" s="3">
        <v>0</v>
      </c>
      <c r="Q260" s="3">
        <v>1</v>
      </c>
      <c r="R260" s="3">
        <v>0</v>
      </c>
      <c r="S260" s="3">
        <v>0</v>
      </c>
      <c r="T260" s="3">
        <v>0</v>
      </c>
      <c r="U260" s="3">
        <v>1</v>
      </c>
      <c r="V260" s="3">
        <v>0</v>
      </c>
      <c r="W260" s="3">
        <v>0</v>
      </c>
      <c r="X260" s="3">
        <v>0</v>
      </c>
      <c r="Y260" s="3">
        <v>0</v>
      </c>
      <c r="Z260" s="3">
        <v>0</v>
      </c>
      <c r="AA260" s="3">
        <v>0</v>
      </c>
      <c r="AB260" s="3">
        <v>0</v>
      </c>
      <c r="AC260" s="3">
        <v>0</v>
      </c>
      <c r="AD260" s="3">
        <v>0</v>
      </c>
      <c r="AE260" s="3" t="s">
        <v>6</v>
      </c>
      <c r="AF260" s="3">
        <f>SUM(AH260:AL260)</f>
        <v>0</v>
      </c>
      <c r="AS260" s="3" t="s">
        <v>17</v>
      </c>
      <c r="AT260" s="3" t="s">
        <v>776</v>
      </c>
      <c r="AU260" s="3" t="s">
        <v>855</v>
      </c>
      <c r="AV260" s="3" t="s">
        <v>856</v>
      </c>
    </row>
    <row r="261" spans="1:49" x14ac:dyDescent="0.25">
      <c r="A261" t="s">
        <v>1284</v>
      </c>
      <c r="B261" s="7">
        <v>45863</v>
      </c>
      <c r="C261" s="7" t="s">
        <v>844</v>
      </c>
      <c r="D261" s="3" t="s">
        <v>6</v>
      </c>
      <c r="E261" s="3" t="s">
        <v>857</v>
      </c>
      <c r="F261" s="3" t="s">
        <v>23</v>
      </c>
      <c r="G261" s="3" t="s">
        <v>23</v>
      </c>
      <c r="H261" s="9">
        <v>37.407575738866697</v>
      </c>
      <c r="I261" s="9">
        <v>-1.5449579388130601</v>
      </c>
      <c r="J261" s="3">
        <v>1</v>
      </c>
      <c r="K261" s="3">
        <v>1</v>
      </c>
      <c r="L261" s="3">
        <v>0</v>
      </c>
      <c r="M261" s="3">
        <v>0</v>
      </c>
      <c r="N261" s="3" t="s">
        <v>16</v>
      </c>
      <c r="O261" s="3">
        <v>0</v>
      </c>
      <c r="P261" s="3">
        <v>0</v>
      </c>
      <c r="Q261" s="3">
        <v>0</v>
      </c>
      <c r="R261" s="3">
        <v>0</v>
      </c>
      <c r="S261" s="3">
        <v>1</v>
      </c>
      <c r="T261" s="3">
        <v>0</v>
      </c>
      <c r="U261" s="3">
        <v>0</v>
      </c>
      <c r="V261" s="3">
        <v>0</v>
      </c>
      <c r="W261" s="3">
        <v>0</v>
      </c>
      <c r="X261" s="3">
        <v>0</v>
      </c>
      <c r="Y261" s="3">
        <v>0</v>
      </c>
      <c r="Z261" s="3">
        <v>1</v>
      </c>
      <c r="AA261" s="3">
        <v>0</v>
      </c>
      <c r="AB261" s="3">
        <v>0</v>
      </c>
      <c r="AC261" s="3">
        <v>0</v>
      </c>
      <c r="AD261" s="3">
        <v>0</v>
      </c>
      <c r="AE261" s="3" t="s">
        <v>6</v>
      </c>
      <c r="AF261" s="3" t="s">
        <v>1433</v>
      </c>
      <c r="AS261" s="3" t="s">
        <v>17</v>
      </c>
      <c r="AT261" s="3" t="s">
        <v>776</v>
      </c>
      <c r="AU261" s="3" t="s">
        <v>858</v>
      </c>
    </row>
    <row r="262" spans="1:49" x14ac:dyDescent="0.25">
      <c r="A262" t="s">
        <v>1285</v>
      </c>
      <c r="B262" s="7">
        <v>43342</v>
      </c>
      <c r="C262" s="7" t="s">
        <v>844</v>
      </c>
      <c r="D262" s="3" t="s">
        <v>6</v>
      </c>
      <c r="F262" s="3" t="s">
        <v>6</v>
      </c>
      <c r="G262" s="3" t="s">
        <v>6</v>
      </c>
      <c r="J262" s="3">
        <v>1</v>
      </c>
      <c r="K262" s="3">
        <v>1</v>
      </c>
      <c r="L262" s="3">
        <v>0</v>
      </c>
      <c r="M262" s="3">
        <v>0</v>
      </c>
      <c r="N262" s="3" t="s">
        <v>16</v>
      </c>
      <c r="O262" s="3">
        <v>0</v>
      </c>
      <c r="P262" s="3">
        <v>0</v>
      </c>
      <c r="Q262" s="3">
        <v>0</v>
      </c>
      <c r="R262" s="3">
        <v>0</v>
      </c>
      <c r="S262" s="3">
        <v>1</v>
      </c>
      <c r="T262" s="3">
        <v>0</v>
      </c>
      <c r="U262" s="3">
        <v>0</v>
      </c>
      <c r="V262" s="3">
        <v>0</v>
      </c>
      <c r="W262" s="3">
        <v>0</v>
      </c>
      <c r="X262" s="3">
        <v>0</v>
      </c>
      <c r="Y262" s="3">
        <v>0</v>
      </c>
      <c r="Z262" s="3">
        <v>1</v>
      </c>
      <c r="AA262" s="3">
        <v>0</v>
      </c>
      <c r="AB262" s="3">
        <v>0</v>
      </c>
      <c r="AC262" s="3">
        <v>0</v>
      </c>
      <c r="AD262" s="3">
        <v>0</v>
      </c>
      <c r="AE262" s="3" t="s">
        <v>6</v>
      </c>
      <c r="AF262" s="3" t="s">
        <v>1433</v>
      </c>
      <c r="AS262" s="3" t="s">
        <v>17</v>
      </c>
      <c r="AT262" s="3" t="s">
        <v>776</v>
      </c>
      <c r="AU262" s="3" t="s">
        <v>859</v>
      </c>
      <c r="AV262" s="3" t="s">
        <v>860</v>
      </c>
    </row>
    <row r="263" spans="1:49" x14ac:dyDescent="0.25">
      <c r="A263" t="s">
        <v>1286</v>
      </c>
      <c r="B263" s="7">
        <v>43315</v>
      </c>
      <c r="C263" s="7" t="s">
        <v>844</v>
      </c>
      <c r="D263" s="3" t="s">
        <v>6</v>
      </c>
      <c r="E263" s="3" t="s">
        <v>115</v>
      </c>
      <c r="F263" s="3" t="s">
        <v>59</v>
      </c>
      <c r="G263" s="3" t="s">
        <v>20</v>
      </c>
      <c r="H263" s="9">
        <v>42.393307365386697</v>
      </c>
      <c r="I263" s="9">
        <v>3.1533045324285398</v>
      </c>
      <c r="J263" s="3">
        <v>1</v>
      </c>
      <c r="K263" s="3">
        <v>1</v>
      </c>
      <c r="L263" s="3">
        <v>0</v>
      </c>
      <c r="M263" s="3">
        <v>0</v>
      </c>
      <c r="N263" s="3" t="s">
        <v>66</v>
      </c>
      <c r="O263" s="3">
        <v>0</v>
      </c>
      <c r="P263" s="3">
        <v>1</v>
      </c>
      <c r="Q263" s="3">
        <v>0</v>
      </c>
      <c r="R263" s="3">
        <v>0</v>
      </c>
      <c r="S263" s="3">
        <v>0</v>
      </c>
      <c r="T263" s="3">
        <v>0</v>
      </c>
      <c r="U263" s="3">
        <v>1</v>
      </c>
      <c r="V263" s="3">
        <v>0</v>
      </c>
      <c r="W263" s="3">
        <v>0</v>
      </c>
      <c r="X263" s="3">
        <v>0</v>
      </c>
      <c r="Y263" s="3">
        <v>0</v>
      </c>
      <c r="Z263" s="3">
        <v>0</v>
      </c>
      <c r="AA263" s="3">
        <v>0</v>
      </c>
      <c r="AB263" s="3">
        <v>0</v>
      </c>
      <c r="AC263" s="3">
        <v>0</v>
      </c>
      <c r="AD263" s="3">
        <v>0</v>
      </c>
      <c r="AE263" s="3" t="s">
        <v>6</v>
      </c>
      <c r="AF263" s="3">
        <f>SUM(AH263:AL263)</f>
        <v>0</v>
      </c>
      <c r="AS263" s="3" t="s">
        <v>17</v>
      </c>
      <c r="AT263" s="3" t="s">
        <v>776</v>
      </c>
      <c r="AU263" s="3" t="s">
        <v>861</v>
      </c>
      <c r="AV263" s="3" t="s">
        <v>862</v>
      </c>
    </row>
    <row r="264" spans="1:49" x14ac:dyDescent="0.25">
      <c r="A264" t="s">
        <v>1287</v>
      </c>
      <c r="B264" s="7">
        <v>43691</v>
      </c>
      <c r="C264" s="7" t="s">
        <v>844</v>
      </c>
      <c r="D264" s="3" t="s">
        <v>6</v>
      </c>
      <c r="F264" s="3" t="s">
        <v>47</v>
      </c>
      <c r="G264" s="3" t="s">
        <v>47</v>
      </c>
      <c r="H264" s="9">
        <v>36.834614554982998</v>
      </c>
      <c r="I264" s="9">
        <v>-2.4823521750093001</v>
      </c>
      <c r="J264" s="3">
        <v>1</v>
      </c>
      <c r="K264" s="3">
        <v>1</v>
      </c>
      <c r="L264" s="3">
        <v>0</v>
      </c>
      <c r="M264" s="3">
        <v>0</v>
      </c>
      <c r="N264" s="3" t="s">
        <v>16</v>
      </c>
      <c r="O264" s="3">
        <v>0</v>
      </c>
      <c r="P264" s="3">
        <v>0</v>
      </c>
      <c r="Q264" s="3">
        <v>0</v>
      </c>
      <c r="R264" s="3">
        <v>0</v>
      </c>
      <c r="S264" s="3">
        <v>1</v>
      </c>
      <c r="T264" s="3">
        <v>0</v>
      </c>
      <c r="U264" s="3">
        <v>0</v>
      </c>
      <c r="V264" s="3">
        <v>0</v>
      </c>
      <c r="W264" s="3">
        <v>0</v>
      </c>
      <c r="X264" s="3">
        <v>0</v>
      </c>
      <c r="Y264" s="3">
        <v>0</v>
      </c>
      <c r="Z264" s="3">
        <v>1</v>
      </c>
      <c r="AA264" s="3">
        <v>0</v>
      </c>
      <c r="AB264" s="3">
        <v>0</v>
      </c>
      <c r="AC264" s="3">
        <v>0</v>
      </c>
      <c r="AD264" s="3">
        <v>0</v>
      </c>
      <c r="AE264" s="3" t="s">
        <v>6</v>
      </c>
      <c r="AF264" s="3" t="s">
        <v>1433</v>
      </c>
      <c r="AS264" s="3" t="s">
        <v>17</v>
      </c>
      <c r="AT264" s="3" t="s">
        <v>776</v>
      </c>
      <c r="AU264" s="3" t="s">
        <v>863</v>
      </c>
      <c r="AV264" s="3" t="s">
        <v>864</v>
      </c>
    </row>
    <row r="265" spans="1:49" x14ac:dyDescent="0.25">
      <c r="A265" t="s">
        <v>1288</v>
      </c>
      <c r="B265" s="7">
        <v>45564</v>
      </c>
      <c r="C265" s="7" t="s">
        <v>843</v>
      </c>
      <c r="D265" s="3" t="s">
        <v>6</v>
      </c>
      <c r="E265" s="3" t="s">
        <v>135</v>
      </c>
      <c r="F265" s="3" t="s">
        <v>8</v>
      </c>
      <c r="G265" s="3" t="s">
        <v>8</v>
      </c>
      <c r="J265" s="3">
        <v>1</v>
      </c>
      <c r="K265" s="3">
        <v>1</v>
      </c>
      <c r="L265" s="3">
        <v>0</v>
      </c>
      <c r="M265" s="3">
        <v>0</v>
      </c>
      <c r="N265" s="3" t="s">
        <v>16</v>
      </c>
      <c r="O265" s="3">
        <v>0</v>
      </c>
      <c r="P265" s="3">
        <v>0</v>
      </c>
      <c r="Q265" s="3">
        <v>0</v>
      </c>
      <c r="R265" s="3">
        <v>1</v>
      </c>
      <c r="S265" s="3">
        <v>0</v>
      </c>
      <c r="T265" s="3">
        <v>0</v>
      </c>
      <c r="U265" s="3">
        <v>0</v>
      </c>
      <c r="V265" s="3">
        <v>0</v>
      </c>
      <c r="W265" s="3">
        <v>0</v>
      </c>
      <c r="X265" s="3">
        <v>0</v>
      </c>
      <c r="Y265" s="3">
        <v>0</v>
      </c>
      <c r="Z265" s="3">
        <v>1</v>
      </c>
      <c r="AA265" s="3">
        <v>0</v>
      </c>
      <c r="AB265" s="3">
        <v>0</v>
      </c>
      <c r="AC265" s="3">
        <v>0</v>
      </c>
      <c r="AD265" s="3">
        <v>0</v>
      </c>
      <c r="AE265" s="3" t="s">
        <v>6</v>
      </c>
      <c r="AF265" s="3" t="s">
        <v>1433</v>
      </c>
      <c r="AS265" s="3" t="s">
        <v>17</v>
      </c>
      <c r="AT265" s="3" t="s">
        <v>776</v>
      </c>
      <c r="AU265" s="3" t="s">
        <v>865</v>
      </c>
      <c r="AV265" s="3" t="s">
        <v>866</v>
      </c>
    </row>
    <row r="266" spans="1:49" x14ac:dyDescent="0.25">
      <c r="A266" t="s">
        <v>1289</v>
      </c>
      <c r="B266" s="7">
        <v>45467</v>
      </c>
      <c r="C266" s="7" t="s">
        <v>844</v>
      </c>
      <c r="D266" s="3" t="s">
        <v>6</v>
      </c>
      <c r="E266" s="3" t="s">
        <v>109</v>
      </c>
      <c r="F266" s="3" t="s">
        <v>57</v>
      </c>
      <c r="G266" s="3" t="s">
        <v>21</v>
      </c>
      <c r="H266" s="9">
        <v>36.732050597531703</v>
      </c>
      <c r="I266" s="9">
        <v>-3.7438035361698301</v>
      </c>
      <c r="J266" s="3">
        <v>1</v>
      </c>
      <c r="K266" s="3">
        <v>1</v>
      </c>
      <c r="L266" s="3">
        <v>0</v>
      </c>
      <c r="M266" s="3">
        <v>0</v>
      </c>
      <c r="N266" s="3" t="s">
        <v>66</v>
      </c>
      <c r="O266" s="3">
        <v>0</v>
      </c>
      <c r="P266" s="3">
        <v>1</v>
      </c>
      <c r="Q266" s="3">
        <v>0</v>
      </c>
      <c r="R266" s="3">
        <v>0</v>
      </c>
      <c r="S266" s="3">
        <v>0</v>
      </c>
      <c r="T266" s="3">
        <v>0</v>
      </c>
      <c r="U266" s="3">
        <v>1</v>
      </c>
      <c r="V266" s="3">
        <v>0</v>
      </c>
      <c r="W266" s="3">
        <v>0</v>
      </c>
      <c r="X266" s="3">
        <v>0</v>
      </c>
      <c r="Y266" s="3">
        <v>0</v>
      </c>
      <c r="Z266" s="3">
        <v>0</v>
      </c>
      <c r="AA266" s="3">
        <v>0</v>
      </c>
      <c r="AB266" s="3">
        <v>0</v>
      </c>
      <c r="AC266" s="3">
        <v>0</v>
      </c>
      <c r="AD266" s="3">
        <v>0</v>
      </c>
      <c r="AE266" s="3" t="s">
        <v>6</v>
      </c>
      <c r="AF266" s="3">
        <f>SUM(AH266:AL266)</f>
        <v>0</v>
      </c>
      <c r="AS266" s="3" t="s">
        <v>17</v>
      </c>
      <c r="AT266" s="3" t="s">
        <v>776</v>
      </c>
      <c r="AU266" s="3" t="s">
        <v>867</v>
      </c>
      <c r="AV266" s="3" t="s">
        <v>868</v>
      </c>
    </row>
    <row r="267" spans="1:49" x14ac:dyDescent="0.25">
      <c r="A267" t="s">
        <v>1290</v>
      </c>
      <c r="B267" s="7">
        <v>45514</v>
      </c>
      <c r="C267" s="7" t="s">
        <v>844</v>
      </c>
      <c r="D267" s="3" t="s">
        <v>6</v>
      </c>
      <c r="E267" s="3" t="s">
        <v>92</v>
      </c>
      <c r="F267" s="3" t="s">
        <v>24</v>
      </c>
      <c r="G267" s="3" t="s">
        <v>20</v>
      </c>
      <c r="H267" s="9">
        <v>41.448042452235903</v>
      </c>
      <c r="I267" s="9">
        <v>2.2535277522550801</v>
      </c>
      <c r="J267" s="3">
        <v>1</v>
      </c>
      <c r="K267" s="3">
        <v>1</v>
      </c>
      <c r="L267" s="3">
        <v>0</v>
      </c>
      <c r="M267" s="3">
        <v>0</v>
      </c>
      <c r="N267" s="3" t="s">
        <v>16</v>
      </c>
      <c r="O267" s="3">
        <v>0</v>
      </c>
      <c r="P267" s="3">
        <v>0</v>
      </c>
      <c r="Q267" s="3">
        <v>0</v>
      </c>
      <c r="R267" s="3">
        <v>0</v>
      </c>
      <c r="S267" s="3">
        <v>1</v>
      </c>
      <c r="T267" s="3">
        <v>0</v>
      </c>
      <c r="U267" s="3">
        <v>0</v>
      </c>
      <c r="V267" s="3">
        <v>0</v>
      </c>
      <c r="W267" s="3">
        <v>0</v>
      </c>
      <c r="X267" s="3">
        <v>0</v>
      </c>
      <c r="Y267" s="3">
        <v>0</v>
      </c>
      <c r="Z267" s="3">
        <v>1</v>
      </c>
      <c r="AA267" s="3">
        <v>0</v>
      </c>
      <c r="AB267" s="3">
        <v>0</v>
      </c>
      <c r="AC267" s="3">
        <v>0</v>
      </c>
      <c r="AD267" s="3">
        <v>0</v>
      </c>
      <c r="AE267" s="3" t="s">
        <v>6</v>
      </c>
      <c r="AF267" s="3" t="s">
        <v>1433</v>
      </c>
      <c r="AS267" s="3" t="s">
        <v>17</v>
      </c>
      <c r="AT267" s="3" t="s">
        <v>776</v>
      </c>
      <c r="AU267" s="3" t="s">
        <v>869</v>
      </c>
      <c r="AV267" s="3" t="s">
        <v>316</v>
      </c>
    </row>
    <row r="268" spans="1:49" x14ac:dyDescent="0.25">
      <c r="A268" t="s">
        <v>1291</v>
      </c>
      <c r="B268" s="7">
        <v>45535</v>
      </c>
      <c r="C268" s="7" t="s">
        <v>844</v>
      </c>
      <c r="D268" s="3" t="s">
        <v>6</v>
      </c>
      <c r="E268" s="3" t="s">
        <v>109</v>
      </c>
      <c r="F268" s="3" t="s">
        <v>57</v>
      </c>
      <c r="G268" s="3" t="s">
        <v>21</v>
      </c>
      <c r="H268" s="9">
        <v>36.725950234717601</v>
      </c>
      <c r="I268" s="9">
        <v>-3.7423887309668502</v>
      </c>
      <c r="J268" s="3">
        <v>1</v>
      </c>
      <c r="K268" s="3">
        <v>1</v>
      </c>
      <c r="L268" s="3">
        <v>0</v>
      </c>
      <c r="M268" s="3">
        <v>0</v>
      </c>
      <c r="N268" s="3" t="s">
        <v>66</v>
      </c>
      <c r="O268" s="3">
        <v>0</v>
      </c>
      <c r="P268" s="3">
        <v>1</v>
      </c>
      <c r="Q268" s="3">
        <v>0</v>
      </c>
      <c r="R268" s="3">
        <v>0</v>
      </c>
      <c r="S268" s="3">
        <v>0</v>
      </c>
      <c r="T268" s="3">
        <v>0</v>
      </c>
      <c r="U268" s="3">
        <v>1</v>
      </c>
      <c r="V268" s="3">
        <v>0</v>
      </c>
      <c r="W268" s="3">
        <v>0</v>
      </c>
      <c r="X268" s="3">
        <v>0</v>
      </c>
      <c r="Y268" s="3">
        <v>0</v>
      </c>
      <c r="Z268" s="3">
        <v>0</v>
      </c>
      <c r="AA268" s="3">
        <v>0</v>
      </c>
      <c r="AB268" s="3">
        <v>0</v>
      </c>
      <c r="AC268" s="3">
        <v>0</v>
      </c>
      <c r="AD268" s="3">
        <v>0</v>
      </c>
      <c r="AE268" s="3" t="s">
        <v>6</v>
      </c>
      <c r="AF268" s="3">
        <f>SUM(AH268:AL268)</f>
        <v>0</v>
      </c>
      <c r="AS268" s="3" t="s">
        <v>17</v>
      </c>
      <c r="AT268" s="3" t="s">
        <v>776</v>
      </c>
      <c r="AU268" s="3" t="s">
        <v>870</v>
      </c>
      <c r="AV268" s="3" t="s">
        <v>316</v>
      </c>
    </row>
    <row r="269" spans="1:49" x14ac:dyDescent="0.25">
      <c r="A269" t="s">
        <v>1292</v>
      </c>
      <c r="B269" s="7">
        <v>45156</v>
      </c>
      <c r="C269" s="7" t="s">
        <v>844</v>
      </c>
      <c r="D269" s="3" t="s">
        <v>6</v>
      </c>
      <c r="E269" s="3" t="s">
        <v>871</v>
      </c>
      <c r="F269" s="3" t="s">
        <v>57</v>
      </c>
      <c r="G269" s="3" t="s">
        <v>21</v>
      </c>
      <c r="H269" s="9">
        <v>36.696428223398499</v>
      </c>
      <c r="I269" s="9">
        <v>-3.4093329179515299</v>
      </c>
      <c r="J269" s="3">
        <v>1</v>
      </c>
      <c r="K269" s="3">
        <v>1</v>
      </c>
      <c r="L269" s="3">
        <v>0</v>
      </c>
      <c r="M269" s="3">
        <v>0</v>
      </c>
      <c r="N269" s="3" t="s">
        <v>66</v>
      </c>
      <c r="O269" s="3">
        <v>0</v>
      </c>
      <c r="P269" s="3">
        <v>1</v>
      </c>
      <c r="Q269" s="3">
        <v>0</v>
      </c>
      <c r="R269" s="3">
        <v>0</v>
      </c>
      <c r="S269" s="3">
        <v>0</v>
      </c>
      <c r="T269" s="3">
        <v>0</v>
      </c>
      <c r="U269" s="3">
        <v>1</v>
      </c>
      <c r="V269" s="3">
        <v>0</v>
      </c>
      <c r="W269" s="3">
        <v>0</v>
      </c>
      <c r="X269" s="3">
        <v>0</v>
      </c>
      <c r="Y269" s="3">
        <v>0</v>
      </c>
      <c r="Z269" s="3">
        <v>0</v>
      </c>
      <c r="AA269" s="3">
        <v>0</v>
      </c>
      <c r="AB269" s="3">
        <v>0</v>
      </c>
      <c r="AC269" s="3">
        <v>0</v>
      </c>
      <c r="AD269" s="3">
        <v>0</v>
      </c>
      <c r="AE269" s="3" t="s">
        <v>6</v>
      </c>
      <c r="AF269" s="3">
        <f>SUM(AH269:AL269)</f>
        <v>0</v>
      </c>
      <c r="AS269" s="3" t="s">
        <v>17</v>
      </c>
      <c r="AT269" s="3" t="s">
        <v>776</v>
      </c>
      <c r="AU269" s="3" t="s">
        <v>872</v>
      </c>
      <c r="AV269" s="3" t="s">
        <v>316</v>
      </c>
    </row>
    <row r="270" spans="1:49" x14ac:dyDescent="0.25">
      <c r="A270" t="s">
        <v>1293</v>
      </c>
      <c r="B270" s="7">
        <v>45538</v>
      </c>
      <c r="C270" s="7" t="s">
        <v>843</v>
      </c>
      <c r="D270" s="3" t="s">
        <v>6</v>
      </c>
      <c r="E270" s="3" t="s">
        <v>109</v>
      </c>
      <c r="F270" s="3" t="s">
        <v>57</v>
      </c>
      <c r="G270" s="3" t="s">
        <v>21</v>
      </c>
      <c r="H270" s="9">
        <v>36.725950234717601</v>
      </c>
      <c r="I270" s="9">
        <v>-3.7423887309668502</v>
      </c>
      <c r="J270" s="3">
        <v>1</v>
      </c>
      <c r="K270" s="3">
        <v>1</v>
      </c>
      <c r="L270" s="3">
        <v>0</v>
      </c>
      <c r="M270" s="3">
        <v>0</v>
      </c>
      <c r="N270" s="3" t="s">
        <v>16</v>
      </c>
      <c r="O270" s="3">
        <v>0</v>
      </c>
      <c r="P270" s="3">
        <v>0</v>
      </c>
      <c r="Q270" s="3">
        <v>0</v>
      </c>
      <c r="R270" s="3">
        <v>0</v>
      </c>
      <c r="S270" s="3">
        <v>1</v>
      </c>
      <c r="T270" s="3">
        <v>0</v>
      </c>
      <c r="U270" s="3">
        <v>0</v>
      </c>
      <c r="V270" s="3">
        <v>0</v>
      </c>
      <c r="W270" s="3">
        <v>0</v>
      </c>
      <c r="X270" s="3">
        <v>0</v>
      </c>
      <c r="Y270" s="3">
        <v>0</v>
      </c>
      <c r="Z270" s="3">
        <v>1</v>
      </c>
      <c r="AA270" s="3">
        <v>0</v>
      </c>
      <c r="AB270" s="3">
        <v>0</v>
      </c>
      <c r="AC270" s="3">
        <v>0</v>
      </c>
      <c r="AD270" s="3">
        <v>0</v>
      </c>
      <c r="AE270" s="3" t="s">
        <v>6</v>
      </c>
      <c r="AF270" s="3" t="s">
        <v>1433</v>
      </c>
      <c r="AS270" s="3" t="s">
        <v>17</v>
      </c>
      <c r="AT270" s="3" t="s">
        <v>776</v>
      </c>
      <c r="AU270" s="3" t="s">
        <v>873</v>
      </c>
      <c r="AV270" s="3" t="s">
        <v>837</v>
      </c>
    </row>
    <row r="271" spans="1:49" x14ac:dyDescent="0.25">
      <c r="A271" t="s">
        <v>1294</v>
      </c>
      <c r="B271" s="7">
        <v>45876</v>
      </c>
      <c r="C271" s="7" t="s">
        <v>844</v>
      </c>
      <c r="D271" s="3" t="s">
        <v>6</v>
      </c>
      <c r="E271" s="3" t="s">
        <v>874</v>
      </c>
      <c r="F271" s="3" t="s">
        <v>24</v>
      </c>
      <c r="G271" s="3" t="s">
        <v>20</v>
      </c>
      <c r="H271" s="9">
        <v>41.462999686796898</v>
      </c>
      <c r="I271" s="9">
        <v>2.2832127500241</v>
      </c>
      <c r="J271" s="3">
        <v>1</v>
      </c>
      <c r="K271" s="3">
        <v>1</v>
      </c>
      <c r="L271" s="3">
        <v>0</v>
      </c>
      <c r="M271" s="3">
        <v>0</v>
      </c>
      <c r="N271" s="3" t="s">
        <v>16</v>
      </c>
      <c r="O271" s="3">
        <v>0</v>
      </c>
      <c r="P271" s="3">
        <v>0</v>
      </c>
      <c r="Q271" s="3">
        <v>0</v>
      </c>
      <c r="R271" s="3">
        <v>0</v>
      </c>
      <c r="S271" s="3">
        <v>1</v>
      </c>
      <c r="T271" s="3">
        <v>0</v>
      </c>
      <c r="U271" s="3">
        <v>0</v>
      </c>
      <c r="V271" s="3">
        <v>0</v>
      </c>
      <c r="W271" s="3">
        <v>0</v>
      </c>
      <c r="X271" s="3">
        <v>0</v>
      </c>
      <c r="Y271" s="3">
        <v>0</v>
      </c>
      <c r="Z271" s="3">
        <v>1</v>
      </c>
      <c r="AA271" s="3">
        <v>0</v>
      </c>
      <c r="AB271" s="3">
        <v>0</v>
      </c>
      <c r="AC271" s="3">
        <v>0</v>
      </c>
      <c r="AD271" s="3">
        <v>0</v>
      </c>
      <c r="AE271" s="3" t="s">
        <v>6</v>
      </c>
      <c r="AF271" s="3" t="s">
        <v>1433</v>
      </c>
      <c r="AS271" s="3" t="s">
        <v>17</v>
      </c>
      <c r="AT271" s="3" t="s">
        <v>776</v>
      </c>
      <c r="AU271" s="3" t="s">
        <v>875</v>
      </c>
      <c r="AV271" s="3" t="s">
        <v>876</v>
      </c>
      <c r="AW271" s="3" t="s">
        <v>613</v>
      </c>
    </row>
    <row r="272" spans="1:49" x14ac:dyDescent="0.25">
      <c r="A272" t="s">
        <v>1295</v>
      </c>
      <c r="B272" s="7">
        <v>45829</v>
      </c>
      <c r="C272" s="7" t="s">
        <v>844</v>
      </c>
      <c r="D272" s="3" t="s">
        <v>6</v>
      </c>
      <c r="E272" s="3" t="s">
        <v>674</v>
      </c>
      <c r="F272" s="3" t="s">
        <v>8</v>
      </c>
      <c r="G272" s="3" t="s">
        <v>8</v>
      </c>
      <c r="H272" s="9">
        <v>39.522758977107102</v>
      </c>
      <c r="I272" s="9">
        <v>2.7354137937271701</v>
      </c>
      <c r="J272" s="3">
        <v>1</v>
      </c>
      <c r="K272" s="3">
        <v>1</v>
      </c>
      <c r="L272" s="3">
        <v>0</v>
      </c>
      <c r="M272" s="3">
        <v>0</v>
      </c>
      <c r="N272" s="3" t="s">
        <v>66</v>
      </c>
      <c r="O272" s="3">
        <v>0</v>
      </c>
      <c r="P272" s="3">
        <v>1</v>
      </c>
      <c r="Q272" s="3">
        <v>0</v>
      </c>
      <c r="R272" s="3">
        <v>0</v>
      </c>
      <c r="S272" s="3">
        <v>0</v>
      </c>
      <c r="T272" s="3">
        <v>0</v>
      </c>
      <c r="U272" s="3">
        <v>1</v>
      </c>
      <c r="V272" s="3">
        <v>0</v>
      </c>
      <c r="W272" s="3">
        <v>0</v>
      </c>
      <c r="X272" s="3">
        <v>0</v>
      </c>
      <c r="Y272" s="3">
        <v>0</v>
      </c>
      <c r="Z272" s="3">
        <v>0</v>
      </c>
      <c r="AA272" s="3">
        <v>0</v>
      </c>
      <c r="AB272" s="3">
        <v>0</v>
      </c>
      <c r="AC272" s="3">
        <v>0</v>
      </c>
      <c r="AD272" s="3">
        <v>0</v>
      </c>
      <c r="AE272" s="3" t="s">
        <v>6</v>
      </c>
      <c r="AF272" s="3">
        <f>SUM(AH272:AL272)</f>
        <v>0</v>
      </c>
      <c r="AS272" s="3" t="s">
        <v>17</v>
      </c>
      <c r="AT272" s="3" t="s">
        <v>781</v>
      </c>
      <c r="AU272" s="3" t="s">
        <v>877</v>
      </c>
      <c r="AV272" s="3" t="s">
        <v>249</v>
      </c>
      <c r="AW272" s="3" t="s">
        <v>613</v>
      </c>
    </row>
    <row r="273" spans="1:48" x14ac:dyDescent="0.25">
      <c r="A273" t="s">
        <v>1296</v>
      </c>
      <c r="B273" s="7">
        <v>45876</v>
      </c>
      <c r="C273" s="7" t="s">
        <v>844</v>
      </c>
      <c r="D273" s="3" t="s">
        <v>6</v>
      </c>
      <c r="E273" s="3" t="s">
        <v>878</v>
      </c>
      <c r="F273" s="3" t="s">
        <v>24</v>
      </c>
      <c r="G273" s="3" t="s">
        <v>20</v>
      </c>
      <c r="H273" s="9">
        <v>41.398050077128801</v>
      </c>
      <c r="I273" s="9">
        <v>2.2123982980852799</v>
      </c>
      <c r="J273" s="3">
        <v>1</v>
      </c>
      <c r="K273" s="3">
        <v>1</v>
      </c>
      <c r="L273" s="3">
        <v>0</v>
      </c>
      <c r="M273" s="3">
        <v>0</v>
      </c>
      <c r="N273" s="3" t="s">
        <v>16</v>
      </c>
      <c r="O273" s="3">
        <v>0</v>
      </c>
      <c r="P273" s="3">
        <v>0</v>
      </c>
      <c r="Q273" s="3">
        <v>0</v>
      </c>
      <c r="R273" s="3">
        <v>0</v>
      </c>
      <c r="S273" s="3">
        <v>0</v>
      </c>
      <c r="T273" s="3">
        <v>1</v>
      </c>
      <c r="U273" s="3">
        <v>0</v>
      </c>
      <c r="V273" s="3">
        <v>0</v>
      </c>
      <c r="W273" s="3">
        <v>0</v>
      </c>
      <c r="X273" s="3">
        <v>0</v>
      </c>
      <c r="Y273" s="3">
        <v>0</v>
      </c>
      <c r="Z273" s="3">
        <v>1</v>
      </c>
      <c r="AA273" s="3">
        <v>0</v>
      </c>
      <c r="AB273" s="3">
        <v>0</v>
      </c>
      <c r="AC273" s="3">
        <v>0</v>
      </c>
      <c r="AD273" s="3">
        <v>0</v>
      </c>
      <c r="AE273" s="3" t="s">
        <v>6</v>
      </c>
      <c r="AF273" s="3" t="s">
        <v>1433</v>
      </c>
      <c r="AS273" s="3" t="s">
        <v>17</v>
      </c>
      <c r="AT273" s="3" t="s">
        <v>781</v>
      </c>
      <c r="AU273" s="3" t="s">
        <v>879</v>
      </c>
      <c r="AV273" s="3" t="s">
        <v>880</v>
      </c>
    </row>
    <row r="274" spans="1:48" x14ac:dyDescent="0.25">
      <c r="A274" t="s">
        <v>1297</v>
      </c>
      <c r="B274" s="7">
        <v>43334</v>
      </c>
      <c r="C274" s="7" t="s">
        <v>844</v>
      </c>
      <c r="D274" s="3" t="s">
        <v>6</v>
      </c>
      <c r="E274" s="3" t="s">
        <v>881</v>
      </c>
      <c r="F274" s="3" t="s">
        <v>59</v>
      </c>
      <c r="G274" s="3" t="s">
        <v>20</v>
      </c>
      <c r="H274" s="9">
        <v>42.283846069486003</v>
      </c>
      <c r="I274" s="9">
        <v>3.3042911433782298</v>
      </c>
      <c r="J274" s="3">
        <v>1</v>
      </c>
      <c r="K274" s="3">
        <v>1</v>
      </c>
      <c r="L274" s="3">
        <v>0</v>
      </c>
      <c r="M274" s="3">
        <v>0</v>
      </c>
      <c r="N274" s="3" t="s">
        <v>16</v>
      </c>
      <c r="O274" s="3">
        <v>0</v>
      </c>
      <c r="P274" s="3">
        <v>0</v>
      </c>
      <c r="Q274" s="3">
        <v>0</v>
      </c>
      <c r="R274" s="3">
        <v>0</v>
      </c>
      <c r="S274" s="3">
        <v>1</v>
      </c>
      <c r="T274" s="3">
        <v>0</v>
      </c>
      <c r="U274" s="3">
        <v>0</v>
      </c>
      <c r="V274" s="3">
        <v>0</v>
      </c>
      <c r="W274" s="3">
        <v>0</v>
      </c>
      <c r="X274" s="3">
        <v>0</v>
      </c>
      <c r="Y274" s="3">
        <v>0</v>
      </c>
      <c r="Z274" s="3">
        <v>1</v>
      </c>
      <c r="AA274" s="3">
        <v>0</v>
      </c>
      <c r="AB274" s="3">
        <v>0</v>
      </c>
      <c r="AC274" s="3">
        <v>0</v>
      </c>
      <c r="AD274" s="3">
        <v>0</v>
      </c>
      <c r="AE274" s="3" t="s">
        <v>6</v>
      </c>
      <c r="AF274" s="3" t="s">
        <v>1433</v>
      </c>
      <c r="AS274" s="3" t="s">
        <v>775</v>
      </c>
      <c r="AT274" s="3" t="s">
        <v>759</v>
      </c>
      <c r="AU274" s="3" t="s">
        <v>882</v>
      </c>
      <c r="AV274" s="3" t="s">
        <v>883</v>
      </c>
    </row>
    <row r="275" spans="1:48" x14ac:dyDescent="0.25">
      <c r="A275" t="s">
        <v>1298</v>
      </c>
      <c r="B275" s="7">
        <v>45886</v>
      </c>
      <c r="C275" s="7" t="s">
        <v>844</v>
      </c>
      <c r="D275" s="3" t="s">
        <v>6</v>
      </c>
      <c r="E275" s="3" t="s">
        <v>881</v>
      </c>
      <c r="F275" s="3" t="s">
        <v>59</v>
      </c>
      <c r="G275" s="3" t="s">
        <v>20</v>
      </c>
      <c r="H275" s="9">
        <v>42.281566998491897</v>
      </c>
      <c r="I275" s="9">
        <v>3.2978183308883899</v>
      </c>
      <c r="J275" s="3">
        <v>1</v>
      </c>
      <c r="K275" s="3">
        <v>1</v>
      </c>
      <c r="L275" s="3">
        <v>0</v>
      </c>
      <c r="M275" s="3">
        <v>0</v>
      </c>
      <c r="N275" s="3" t="s">
        <v>66</v>
      </c>
      <c r="O275" s="3">
        <v>0</v>
      </c>
      <c r="P275" s="3">
        <v>1</v>
      </c>
      <c r="Q275" s="3">
        <v>0</v>
      </c>
      <c r="R275" s="3">
        <v>0</v>
      </c>
      <c r="S275" s="3">
        <v>0</v>
      </c>
      <c r="T275" s="3">
        <v>0</v>
      </c>
      <c r="U275" s="3">
        <v>1</v>
      </c>
      <c r="V275" s="3">
        <v>0</v>
      </c>
      <c r="W275" s="3">
        <v>0</v>
      </c>
      <c r="X275" s="3">
        <v>0</v>
      </c>
      <c r="Y275" s="3">
        <v>0</v>
      </c>
      <c r="Z275" s="3">
        <v>0</v>
      </c>
      <c r="AA275" s="3">
        <v>0</v>
      </c>
      <c r="AB275" s="3">
        <v>0</v>
      </c>
      <c r="AC275" s="3">
        <v>0</v>
      </c>
      <c r="AD275" s="3">
        <v>0</v>
      </c>
      <c r="AE275" s="3" t="s">
        <v>6</v>
      </c>
      <c r="AF275" s="3">
        <f>SUM(AH275:AL275)</f>
        <v>0</v>
      </c>
      <c r="AS275" s="3" t="s">
        <v>17</v>
      </c>
      <c r="AT275" s="3" t="s">
        <v>776</v>
      </c>
      <c r="AU275" s="3" t="s">
        <v>884</v>
      </c>
      <c r="AV275" s="3" t="s">
        <v>883</v>
      </c>
    </row>
    <row r="276" spans="1:48" x14ac:dyDescent="0.25">
      <c r="A276" t="s">
        <v>1299</v>
      </c>
      <c r="B276" s="7">
        <v>45884</v>
      </c>
      <c r="C276" s="7" t="s">
        <v>844</v>
      </c>
      <c r="D276" s="3" t="s">
        <v>6</v>
      </c>
      <c r="F276" s="3" t="s">
        <v>6</v>
      </c>
      <c r="G276" s="3" t="s">
        <v>6</v>
      </c>
      <c r="J276" s="3">
        <v>1</v>
      </c>
      <c r="K276" s="3">
        <v>1</v>
      </c>
      <c r="L276" s="3">
        <v>0</v>
      </c>
      <c r="M276" s="3">
        <v>0</v>
      </c>
      <c r="N276" s="3" t="s">
        <v>16</v>
      </c>
      <c r="O276" s="3">
        <v>0</v>
      </c>
      <c r="P276" s="3">
        <v>0</v>
      </c>
      <c r="Q276" s="3">
        <v>0</v>
      </c>
      <c r="R276" s="3">
        <v>1</v>
      </c>
      <c r="S276" s="3">
        <v>0</v>
      </c>
      <c r="T276" s="3">
        <v>0</v>
      </c>
      <c r="U276" s="3">
        <v>0</v>
      </c>
      <c r="V276" s="3">
        <v>0</v>
      </c>
      <c r="W276" s="3">
        <v>0</v>
      </c>
      <c r="X276" s="3">
        <v>0</v>
      </c>
      <c r="Y276" s="3">
        <v>0</v>
      </c>
      <c r="Z276" s="3">
        <v>1</v>
      </c>
      <c r="AA276" s="3">
        <v>0</v>
      </c>
      <c r="AB276" s="3">
        <v>0</v>
      </c>
      <c r="AC276" s="3">
        <v>0</v>
      </c>
      <c r="AD276" s="3">
        <v>0</v>
      </c>
      <c r="AE276" s="3" t="s">
        <v>6</v>
      </c>
      <c r="AF276" s="3" t="s">
        <v>1433</v>
      </c>
      <c r="AS276" s="3" t="s">
        <v>17</v>
      </c>
      <c r="AT276" s="3" t="s">
        <v>776</v>
      </c>
      <c r="AU276" s="3" t="s">
        <v>885</v>
      </c>
      <c r="AV276" s="3" t="s">
        <v>886</v>
      </c>
    </row>
    <row r="277" spans="1:48" x14ac:dyDescent="0.25">
      <c r="A277" t="s">
        <v>1300</v>
      </c>
      <c r="B277" s="7">
        <v>45842</v>
      </c>
      <c r="C277" s="7" t="s">
        <v>844</v>
      </c>
      <c r="D277" s="3" t="s">
        <v>6</v>
      </c>
      <c r="E277" s="3" t="s">
        <v>887</v>
      </c>
      <c r="F277" s="3" t="s">
        <v>24</v>
      </c>
      <c r="G277" s="3" t="s">
        <v>20</v>
      </c>
      <c r="H277" s="9">
        <v>41.538001674982702</v>
      </c>
      <c r="I277" s="9">
        <v>2.4560709498044999</v>
      </c>
      <c r="J277" s="3">
        <v>1</v>
      </c>
      <c r="K277" s="3">
        <v>1</v>
      </c>
      <c r="L277" s="3">
        <v>0</v>
      </c>
      <c r="M277" s="3">
        <v>0</v>
      </c>
      <c r="N277" s="3" t="s">
        <v>66</v>
      </c>
      <c r="O277" s="3">
        <v>0</v>
      </c>
      <c r="P277" s="3">
        <v>1</v>
      </c>
      <c r="Q277" s="3">
        <v>0</v>
      </c>
      <c r="R277" s="3">
        <v>0</v>
      </c>
      <c r="S277" s="3">
        <v>0</v>
      </c>
      <c r="T277" s="3">
        <v>0</v>
      </c>
      <c r="U277" s="3">
        <v>1</v>
      </c>
      <c r="V277" s="3">
        <v>0</v>
      </c>
      <c r="W277" s="3">
        <v>0</v>
      </c>
      <c r="X277" s="3">
        <v>0</v>
      </c>
      <c r="Y277" s="3">
        <v>0</v>
      </c>
      <c r="Z277" s="3">
        <v>0</v>
      </c>
      <c r="AA277" s="3">
        <v>0</v>
      </c>
      <c r="AB277" s="3">
        <v>0</v>
      </c>
      <c r="AC277" s="3">
        <v>0</v>
      </c>
      <c r="AD277" s="3">
        <v>0</v>
      </c>
      <c r="AE277" s="3" t="s">
        <v>6</v>
      </c>
      <c r="AF277" s="3">
        <f>SUM(AH277:AL277)</f>
        <v>0</v>
      </c>
      <c r="AS277" s="3" t="s">
        <v>17</v>
      </c>
      <c r="AT277" s="3" t="s">
        <v>780</v>
      </c>
      <c r="AU277" s="3" t="s">
        <v>888</v>
      </c>
      <c r="AV277" s="3" t="s">
        <v>889</v>
      </c>
    </row>
    <row r="278" spans="1:48" x14ac:dyDescent="0.25">
      <c r="A278" t="s">
        <v>1301</v>
      </c>
      <c r="B278" s="7">
        <v>45882</v>
      </c>
      <c r="C278" s="7" t="s">
        <v>844</v>
      </c>
      <c r="D278" s="3" t="s">
        <v>6</v>
      </c>
      <c r="E278" s="3" t="s">
        <v>890</v>
      </c>
      <c r="F278" s="3" t="s">
        <v>87</v>
      </c>
      <c r="G278" s="3" t="s">
        <v>19</v>
      </c>
      <c r="H278" s="9">
        <v>39.680757688693902</v>
      </c>
      <c r="I278" s="9">
        <v>-0.201174779520049</v>
      </c>
      <c r="J278" s="3">
        <v>1</v>
      </c>
      <c r="K278" s="3">
        <v>1</v>
      </c>
      <c r="L278" s="3">
        <v>0</v>
      </c>
      <c r="M278" s="3">
        <v>0</v>
      </c>
      <c r="N278" s="3" t="s">
        <v>66</v>
      </c>
      <c r="O278" s="3">
        <v>0</v>
      </c>
      <c r="P278" s="3">
        <v>1</v>
      </c>
      <c r="Q278" s="3">
        <v>0</v>
      </c>
      <c r="R278" s="3">
        <v>0</v>
      </c>
      <c r="S278" s="3">
        <v>0</v>
      </c>
      <c r="T278" s="3">
        <v>0</v>
      </c>
      <c r="U278" s="3">
        <v>1</v>
      </c>
      <c r="V278" s="3">
        <v>0</v>
      </c>
      <c r="W278" s="3">
        <v>0</v>
      </c>
      <c r="X278" s="3">
        <v>0</v>
      </c>
      <c r="Y278" s="3">
        <v>0</v>
      </c>
      <c r="Z278" s="3">
        <v>0</v>
      </c>
      <c r="AA278" s="3">
        <v>0</v>
      </c>
      <c r="AB278" s="3">
        <v>0</v>
      </c>
      <c r="AC278" s="3">
        <v>0</v>
      </c>
      <c r="AD278" s="3">
        <v>0</v>
      </c>
      <c r="AE278" s="3" t="s">
        <v>6</v>
      </c>
      <c r="AF278" s="3">
        <f>SUM(AH278:AL278)</f>
        <v>0</v>
      </c>
      <c r="AS278" s="3" t="s">
        <v>17</v>
      </c>
      <c r="AT278" s="3" t="s">
        <v>780</v>
      </c>
      <c r="AU278" s="3" t="s">
        <v>891</v>
      </c>
      <c r="AV278" s="3" t="s">
        <v>892</v>
      </c>
    </row>
    <row r="279" spans="1:48" x14ac:dyDescent="0.25">
      <c r="A279" t="s">
        <v>1302</v>
      </c>
      <c r="B279" s="7">
        <v>43320</v>
      </c>
      <c r="C279" s="7" t="s">
        <v>844</v>
      </c>
      <c r="D279" s="3" t="s">
        <v>6</v>
      </c>
      <c r="E279" s="3" t="s">
        <v>745</v>
      </c>
      <c r="F279" s="3" t="s">
        <v>59</v>
      </c>
      <c r="G279" s="3" t="s">
        <v>20</v>
      </c>
      <c r="H279" s="9">
        <v>42.0853028417282</v>
      </c>
      <c r="I279" s="9">
        <v>3.1957409639391101</v>
      </c>
      <c r="J279" s="3">
        <v>1</v>
      </c>
      <c r="K279" s="3">
        <v>1</v>
      </c>
      <c r="L279" s="3">
        <v>0</v>
      </c>
      <c r="M279" s="3">
        <v>0</v>
      </c>
      <c r="N279" s="3" t="s">
        <v>66</v>
      </c>
      <c r="O279" s="3">
        <v>0</v>
      </c>
      <c r="P279" s="3">
        <v>1</v>
      </c>
      <c r="Q279" s="3">
        <v>0</v>
      </c>
      <c r="R279" s="3">
        <v>0</v>
      </c>
      <c r="S279" s="3">
        <v>0</v>
      </c>
      <c r="T279" s="3">
        <v>0</v>
      </c>
      <c r="U279" s="3">
        <v>1</v>
      </c>
      <c r="V279" s="3">
        <v>0</v>
      </c>
      <c r="W279" s="3">
        <v>0</v>
      </c>
      <c r="X279" s="3">
        <v>0</v>
      </c>
      <c r="Y279" s="3">
        <v>0</v>
      </c>
      <c r="Z279" s="3">
        <v>0</v>
      </c>
      <c r="AA279" s="3">
        <v>0</v>
      </c>
      <c r="AB279" s="3">
        <v>0</v>
      </c>
      <c r="AC279" s="3">
        <v>0</v>
      </c>
      <c r="AD279" s="3">
        <v>0</v>
      </c>
      <c r="AE279" s="3" t="s">
        <v>6</v>
      </c>
      <c r="AF279" s="3">
        <f>SUM(AH279:AL279)</f>
        <v>0</v>
      </c>
      <c r="AS279" s="3" t="s">
        <v>17</v>
      </c>
      <c r="AT279" s="3" t="s">
        <v>776</v>
      </c>
      <c r="AU279" s="3" t="s">
        <v>893</v>
      </c>
      <c r="AV279" s="3" t="s">
        <v>894</v>
      </c>
    </row>
    <row r="280" spans="1:48" x14ac:dyDescent="0.25">
      <c r="A280" t="s">
        <v>1303</v>
      </c>
      <c r="B280" s="7">
        <v>45887</v>
      </c>
      <c r="C280" s="7" t="s">
        <v>844</v>
      </c>
      <c r="D280" s="3" t="s">
        <v>6</v>
      </c>
      <c r="E280" s="3" t="s">
        <v>328</v>
      </c>
      <c r="F280" s="3" t="s">
        <v>23</v>
      </c>
      <c r="G280" s="3" t="s">
        <v>23</v>
      </c>
      <c r="H280" s="9">
        <v>37.5106787959784</v>
      </c>
      <c r="I280" s="9">
        <v>-1.39927352931897</v>
      </c>
      <c r="J280" s="3">
        <v>1</v>
      </c>
      <c r="K280" s="3">
        <v>1</v>
      </c>
      <c r="L280" s="3">
        <v>0</v>
      </c>
      <c r="M280" s="3">
        <v>0</v>
      </c>
      <c r="N280" s="3" t="s">
        <v>66</v>
      </c>
      <c r="O280" s="3">
        <v>0</v>
      </c>
      <c r="P280" s="3">
        <v>1</v>
      </c>
      <c r="Q280" s="3">
        <v>0</v>
      </c>
      <c r="R280" s="3">
        <v>0</v>
      </c>
      <c r="S280" s="3">
        <v>0</v>
      </c>
      <c r="T280" s="3">
        <v>0</v>
      </c>
      <c r="U280" s="3">
        <v>1</v>
      </c>
      <c r="V280" s="3">
        <v>0</v>
      </c>
      <c r="W280" s="3">
        <v>0</v>
      </c>
      <c r="X280" s="3">
        <v>0</v>
      </c>
      <c r="Y280" s="3">
        <v>0</v>
      </c>
      <c r="Z280" s="3">
        <v>0</v>
      </c>
      <c r="AA280" s="3">
        <v>0</v>
      </c>
      <c r="AB280" s="3">
        <v>0</v>
      </c>
      <c r="AC280" s="3">
        <v>0</v>
      </c>
      <c r="AD280" s="3">
        <v>0</v>
      </c>
      <c r="AE280" s="3" t="s">
        <v>6</v>
      </c>
      <c r="AF280" s="3">
        <f>SUM(AH280:AL280)</f>
        <v>0</v>
      </c>
      <c r="AS280" s="3" t="s">
        <v>17</v>
      </c>
      <c r="AT280" s="3" t="s">
        <v>776</v>
      </c>
      <c r="AU280" s="3" t="s">
        <v>895</v>
      </c>
      <c r="AV280" s="3" t="s">
        <v>896</v>
      </c>
    </row>
    <row r="281" spans="1:48" x14ac:dyDescent="0.25">
      <c r="A281" t="s">
        <v>1305</v>
      </c>
      <c r="B281" s="7">
        <v>43309</v>
      </c>
      <c r="C281" s="7" t="s">
        <v>844</v>
      </c>
      <c r="D281" s="3" t="s">
        <v>6</v>
      </c>
      <c r="E281" s="3" t="s">
        <v>588</v>
      </c>
      <c r="F281" s="3" t="s">
        <v>69</v>
      </c>
      <c r="G281" s="3" t="s">
        <v>20</v>
      </c>
      <c r="H281" s="9">
        <v>41.1749882179978</v>
      </c>
      <c r="I281" s="9">
        <v>1.50784551165226</v>
      </c>
      <c r="J281" s="3">
        <v>1</v>
      </c>
      <c r="K281" s="3">
        <v>1</v>
      </c>
      <c r="L281" s="3">
        <v>0</v>
      </c>
      <c r="M281" s="3">
        <v>0</v>
      </c>
      <c r="N281" s="3" t="s">
        <v>16</v>
      </c>
      <c r="O281" s="3">
        <v>0</v>
      </c>
      <c r="P281" s="3">
        <v>0</v>
      </c>
      <c r="Q281" s="3">
        <v>0</v>
      </c>
      <c r="R281" s="3">
        <v>0</v>
      </c>
      <c r="S281" s="3">
        <v>1</v>
      </c>
      <c r="T281" s="3">
        <v>0</v>
      </c>
      <c r="U281" s="3">
        <v>0</v>
      </c>
      <c r="V281" s="3">
        <v>0</v>
      </c>
      <c r="W281" s="3">
        <v>0</v>
      </c>
      <c r="X281" s="3">
        <v>0</v>
      </c>
      <c r="Y281" s="3">
        <v>0</v>
      </c>
      <c r="Z281" s="3">
        <v>1</v>
      </c>
      <c r="AA281" s="3">
        <v>0</v>
      </c>
      <c r="AB281" s="3">
        <v>0</v>
      </c>
      <c r="AC281" s="3">
        <v>0</v>
      </c>
      <c r="AD281" s="3">
        <v>0</v>
      </c>
      <c r="AE281" s="3" t="s">
        <v>6</v>
      </c>
      <c r="AF281" s="3" t="s">
        <v>1433</v>
      </c>
      <c r="AS281" s="3" t="s">
        <v>17</v>
      </c>
      <c r="AT281" s="3" t="s">
        <v>780</v>
      </c>
      <c r="AU281" s="3" t="s">
        <v>900</v>
      </c>
      <c r="AV281" s="3" t="s">
        <v>901</v>
      </c>
    </row>
    <row r="282" spans="1:48" x14ac:dyDescent="0.25">
      <c r="A282" t="s">
        <v>1306</v>
      </c>
      <c r="B282" s="7">
        <v>43339</v>
      </c>
      <c r="C282" s="7" t="s">
        <v>844</v>
      </c>
      <c r="D282" s="3" t="s">
        <v>6</v>
      </c>
      <c r="E282" s="3" t="s">
        <v>902</v>
      </c>
      <c r="F282" s="3" t="s">
        <v>24</v>
      </c>
      <c r="G282" s="3" t="s">
        <v>20</v>
      </c>
      <c r="H282" s="9">
        <v>41.2307871715388</v>
      </c>
      <c r="I282" s="9">
        <v>1.8011953605748301</v>
      </c>
      <c r="J282" s="3">
        <v>1</v>
      </c>
      <c r="K282" s="3">
        <v>1</v>
      </c>
      <c r="L282" s="3">
        <v>0</v>
      </c>
      <c r="M282" s="3">
        <v>0</v>
      </c>
      <c r="N282" s="3" t="s">
        <v>16</v>
      </c>
      <c r="O282" s="3">
        <v>0</v>
      </c>
      <c r="P282" s="3">
        <v>0</v>
      </c>
      <c r="Q282" s="3">
        <v>0</v>
      </c>
      <c r="R282" s="3">
        <v>0</v>
      </c>
      <c r="S282" s="3">
        <v>1</v>
      </c>
      <c r="T282" s="3">
        <v>0</v>
      </c>
      <c r="U282" s="3">
        <v>0</v>
      </c>
      <c r="V282" s="3">
        <v>0</v>
      </c>
      <c r="W282" s="3">
        <v>0</v>
      </c>
      <c r="X282" s="3">
        <v>0</v>
      </c>
      <c r="Y282" s="3">
        <v>0</v>
      </c>
      <c r="Z282" s="3">
        <v>1</v>
      </c>
      <c r="AA282" s="3">
        <v>0</v>
      </c>
      <c r="AB282" s="3">
        <v>0</v>
      </c>
      <c r="AC282" s="3">
        <v>0</v>
      </c>
      <c r="AD282" s="3">
        <v>0</v>
      </c>
      <c r="AE282" s="3" t="s">
        <v>6</v>
      </c>
      <c r="AF282" s="3" t="s">
        <v>1433</v>
      </c>
      <c r="AS282" s="3" t="s">
        <v>17</v>
      </c>
      <c r="AT282" s="3" t="s">
        <v>776</v>
      </c>
      <c r="AU282" s="3" t="s">
        <v>903</v>
      </c>
      <c r="AV282" s="3" t="s">
        <v>316</v>
      </c>
    </row>
    <row r="283" spans="1:48" x14ac:dyDescent="0.25">
      <c r="A283" t="s">
        <v>1307</v>
      </c>
      <c r="B283" s="7">
        <v>45506</v>
      </c>
      <c r="C283" s="7" t="s">
        <v>844</v>
      </c>
      <c r="D283" s="3" t="s">
        <v>6</v>
      </c>
      <c r="E283" s="3" t="s">
        <v>904</v>
      </c>
      <c r="F283" s="3" t="s">
        <v>47</v>
      </c>
      <c r="G283" s="3" t="s">
        <v>21</v>
      </c>
      <c r="H283" s="9">
        <v>36.936780651395402</v>
      </c>
      <c r="I283" s="9">
        <v>-1.93374610683052</v>
      </c>
      <c r="J283" s="3">
        <v>1</v>
      </c>
      <c r="K283" s="3">
        <v>1</v>
      </c>
      <c r="L283" s="3">
        <v>0</v>
      </c>
      <c r="M283" s="3">
        <v>0</v>
      </c>
      <c r="N283" s="3" t="s">
        <v>66</v>
      </c>
      <c r="O283" s="3">
        <v>0</v>
      </c>
      <c r="P283" s="3">
        <v>1</v>
      </c>
      <c r="Q283" s="3">
        <v>0</v>
      </c>
      <c r="R283" s="3">
        <v>0</v>
      </c>
      <c r="S283" s="3">
        <v>0</v>
      </c>
      <c r="T283" s="3">
        <v>0</v>
      </c>
      <c r="U283" s="3">
        <v>1</v>
      </c>
      <c r="V283" s="3">
        <v>0</v>
      </c>
      <c r="W283" s="3">
        <v>0</v>
      </c>
      <c r="X283" s="3">
        <v>0</v>
      </c>
      <c r="Y283" s="3">
        <v>0</v>
      </c>
      <c r="Z283" s="3">
        <v>0</v>
      </c>
      <c r="AA283" s="3">
        <v>0</v>
      </c>
      <c r="AB283" s="3">
        <v>0</v>
      </c>
      <c r="AC283" s="3">
        <v>0</v>
      </c>
      <c r="AD283" s="3">
        <v>0</v>
      </c>
      <c r="AE283" s="3" t="s">
        <v>6</v>
      </c>
      <c r="AF283" s="3">
        <f>SUM(AH283:AL283)</f>
        <v>0</v>
      </c>
      <c r="AS283" s="3" t="s">
        <v>17</v>
      </c>
      <c r="AT283" s="3" t="s">
        <v>776</v>
      </c>
      <c r="AU283" s="3" t="s">
        <v>905</v>
      </c>
    </row>
    <row r="284" spans="1:48" x14ac:dyDescent="0.25">
      <c r="A284" t="s">
        <v>1308</v>
      </c>
      <c r="B284" s="7">
        <v>44773</v>
      </c>
      <c r="C284" s="7" t="s">
        <v>844</v>
      </c>
      <c r="D284" s="3" t="s">
        <v>6</v>
      </c>
      <c r="E284" s="3" t="s">
        <v>109</v>
      </c>
      <c r="F284" s="3" t="s">
        <v>57</v>
      </c>
      <c r="G284" s="3" t="s">
        <v>21</v>
      </c>
      <c r="H284" s="9">
        <v>36.721990373250698</v>
      </c>
      <c r="I284" s="9">
        <v>-3.7372615269817002</v>
      </c>
      <c r="J284" s="3">
        <v>1</v>
      </c>
      <c r="K284" s="3">
        <v>1</v>
      </c>
      <c r="L284" s="3">
        <v>0</v>
      </c>
      <c r="M284" s="3">
        <v>0</v>
      </c>
      <c r="N284" s="3" t="s">
        <v>66</v>
      </c>
      <c r="O284" s="3">
        <v>0</v>
      </c>
      <c r="P284" s="3">
        <v>1</v>
      </c>
      <c r="Q284" s="3">
        <v>0</v>
      </c>
      <c r="R284" s="3">
        <v>0</v>
      </c>
      <c r="S284" s="3">
        <v>0</v>
      </c>
      <c r="T284" s="3">
        <v>0</v>
      </c>
      <c r="U284" s="3">
        <v>1</v>
      </c>
      <c r="V284" s="3">
        <v>0</v>
      </c>
      <c r="W284" s="3">
        <v>0</v>
      </c>
      <c r="X284" s="3">
        <v>0</v>
      </c>
      <c r="Y284" s="3">
        <v>0</v>
      </c>
      <c r="Z284" s="3">
        <v>0</v>
      </c>
      <c r="AA284" s="3">
        <v>0</v>
      </c>
      <c r="AB284" s="3">
        <v>0</v>
      </c>
      <c r="AC284" s="3">
        <v>0</v>
      </c>
      <c r="AD284" s="3">
        <v>0</v>
      </c>
      <c r="AE284" s="3" t="s">
        <v>6</v>
      </c>
      <c r="AF284" s="3">
        <f>SUM(AH284:AL284)</f>
        <v>0</v>
      </c>
      <c r="AS284" s="3" t="s">
        <v>17</v>
      </c>
      <c r="AT284" s="3" t="s">
        <v>776</v>
      </c>
      <c r="AU284" s="3" t="s">
        <v>907</v>
      </c>
      <c r="AV284" s="3" t="s">
        <v>906</v>
      </c>
    </row>
    <row r="285" spans="1:48" x14ac:dyDescent="0.25">
      <c r="A285" t="s">
        <v>1309</v>
      </c>
      <c r="B285" s="7">
        <v>44800</v>
      </c>
      <c r="C285" s="7" t="s">
        <v>844</v>
      </c>
      <c r="D285" s="3" t="s">
        <v>6</v>
      </c>
      <c r="E285" s="3" t="s">
        <v>423</v>
      </c>
      <c r="F285" s="3" t="s">
        <v>47</v>
      </c>
      <c r="G285" s="3" t="s">
        <v>21</v>
      </c>
      <c r="H285" s="9">
        <v>36.762662539949197</v>
      </c>
      <c r="I285" s="9">
        <v>-2.09430826385546</v>
      </c>
      <c r="J285" s="3">
        <v>1</v>
      </c>
      <c r="K285" s="3">
        <v>1</v>
      </c>
      <c r="L285" s="3">
        <v>0</v>
      </c>
      <c r="M285" s="3">
        <v>0</v>
      </c>
      <c r="N285" s="3" t="s">
        <v>16</v>
      </c>
      <c r="O285" s="3">
        <v>0</v>
      </c>
      <c r="P285" s="3">
        <v>0</v>
      </c>
      <c r="Q285" s="3">
        <v>0</v>
      </c>
      <c r="R285" s="3">
        <v>0</v>
      </c>
      <c r="S285" s="3">
        <v>1</v>
      </c>
      <c r="T285" s="3">
        <v>0</v>
      </c>
      <c r="U285" s="3">
        <v>0</v>
      </c>
      <c r="V285" s="3">
        <v>0</v>
      </c>
      <c r="W285" s="3">
        <v>0</v>
      </c>
      <c r="X285" s="3">
        <v>0</v>
      </c>
      <c r="Y285" s="3">
        <v>0</v>
      </c>
      <c r="Z285" s="3">
        <v>0</v>
      </c>
      <c r="AA285" s="3">
        <v>1</v>
      </c>
      <c r="AB285" s="3">
        <v>0</v>
      </c>
      <c r="AC285" s="3">
        <v>0</v>
      </c>
      <c r="AD285" s="3">
        <v>0</v>
      </c>
      <c r="AE285" s="3" t="s">
        <v>6</v>
      </c>
      <c r="AF285" s="3" t="s">
        <v>1433</v>
      </c>
      <c r="AS285" s="3" t="s">
        <v>17</v>
      </c>
      <c r="AT285" s="3" t="s">
        <v>776</v>
      </c>
      <c r="AU285" s="3" t="s">
        <v>908</v>
      </c>
      <c r="AV285" s="3" t="s">
        <v>909</v>
      </c>
    </row>
    <row r="286" spans="1:48" x14ac:dyDescent="0.25">
      <c r="A286" t="s">
        <v>1310</v>
      </c>
      <c r="B286" s="7">
        <v>45875</v>
      </c>
      <c r="C286" s="7" t="s">
        <v>844</v>
      </c>
      <c r="D286" s="4">
        <v>0.38263888888888892</v>
      </c>
      <c r="E286" s="3" t="s">
        <v>912</v>
      </c>
      <c r="F286" s="3" t="s">
        <v>24</v>
      </c>
      <c r="G286" s="3" t="s">
        <v>20</v>
      </c>
      <c r="H286" s="9">
        <v>41.394905999999999</v>
      </c>
      <c r="I286" s="9">
        <v>2.2081819999999999</v>
      </c>
      <c r="J286" s="3">
        <v>1</v>
      </c>
      <c r="K286" s="3">
        <v>1</v>
      </c>
      <c r="L286" s="3">
        <v>0</v>
      </c>
      <c r="M286" s="3">
        <v>0</v>
      </c>
      <c r="N286" s="3" t="s">
        <v>16</v>
      </c>
      <c r="O286" s="3">
        <v>0</v>
      </c>
      <c r="P286" s="3">
        <v>0</v>
      </c>
      <c r="Q286" s="3">
        <v>0</v>
      </c>
      <c r="R286" s="3">
        <v>0</v>
      </c>
      <c r="S286" s="3">
        <v>1</v>
      </c>
      <c r="T286" s="3">
        <v>0</v>
      </c>
      <c r="U286" s="3">
        <v>0</v>
      </c>
      <c r="V286" s="3">
        <v>0</v>
      </c>
      <c r="W286" s="3">
        <v>0</v>
      </c>
      <c r="X286" s="3">
        <v>0</v>
      </c>
      <c r="Y286" s="3">
        <v>0</v>
      </c>
      <c r="Z286" s="3">
        <v>1</v>
      </c>
      <c r="AA286" s="3">
        <v>0</v>
      </c>
      <c r="AB286" s="3">
        <v>0</v>
      </c>
      <c r="AC286" s="3">
        <v>0</v>
      </c>
      <c r="AD286" s="3">
        <v>0</v>
      </c>
      <c r="AE286" s="3">
        <v>40</v>
      </c>
      <c r="AF286" s="3" t="s">
        <v>1433</v>
      </c>
      <c r="AS286" s="3" t="s">
        <v>775</v>
      </c>
      <c r="AT286" s="3" t="s">
        <v>759</v>
      </c>
      <c r="AU286" s="3" t="s">
        <v>914</v>
      </c>
      <c r="AV286" s="3" t="s">
        <v>913</v>
      </c>
    </row>
    <row r="287" spans="1:48" x14ac:dyDescent="0.25">
      <c r="A287" t="s">
        <v>1311</v>
      </c>
      <c r="B287" s="7">
        <v>45885</v>
      </c>
      <c r="C287" s="7" t="s">
        <v>844</v>
      </c>
      <c r="D287" s="4">
        <v>0.7895833333333333</v>
      </c>
      <c r="F287" s="3" t="s">
        <v>24</v>
      </c>
      <c r="G287" s="3" t="s">
        <v>20</v>
      </c>
      <c r="H287" s="9">
        <v>41.4831</v>
      </c>
      <c r="I287" s="9">
        <v>2.44746</v>
      </c>
      <c r="J287" s="3">
        <v>1</v>
      </c>
      <c r="K287" s="3">
        <v>1</v>
      </c>
      <c r="L287" s="3">
        <v>0</v>
      </c>
      <c r="M287" s="3">
        <v>0</v>
      </c>
      <c r="N287" s="3" t="s">
        <v>16</v>
      </c>
      <c r="O287" s="3">
        <v>0</v>
      </c>
      <c r="P287" s="3">
        <v>0</v>
      </c>
      <c r="Q287" s="3">
        <v>0</v>
      </c>
      <c r="R287" s="3">
        <v>1</v>
      </c>
      <c r="S287" s="3">
        <v>0</v>
      </c>
      <c r="T287" s="3">
        <v>0</v>
      </c>
      <c r="U287" s="3">
        <v>0</v>
      </c>
      <c r="V287" s="3">
        <v>0</v>
      </c>
      <c r="W287" s="3">
        <v>0</v>
      </c>
      <c r="X287" s="3">
        <v>0</v>
      </c>
      <c r="Y287" s="3">
        <v>0</v>
      </c>
      <c r="Z287" s="3">
        <v>1</v>
      </c>
      <c r="AA287" s="3">
        <v>0</v>
      </c>
      <c r="AB287" s="3">
        <v>0</v>
      </c>
      <c r="AC287" s="3">
        <v>0</v>
      </c>
      <c r="AD287" s="3">
        <v>0</v>
      </c>
      <c r="AE287" s="3" t="s">
        <v>6</v>
      </c>
      <c r="AF287" s="3" t="s">
        <v>1433</v>
      </c>
      <c r="AS287" s="3" t="s">
        <v>577</v>
      </c>
      <c r="AT287" s="3" t="s">
        <v>915</v>
      </c>
      <c r="AU287" s="3" t="s">
        <v>915</v>
      </c>
      <c r="AV287" s="3" t="s">
        <v>916</v>
      </c>
    </row>
    <row r="288" spans="1:48" x14ac:dyDescent="0.25">
      <c r="A288" t="s">
        <v>1312</v>
      </c>
      <c r="B288" s="7">
        <v>45933</v>
      </c>
      <c r="C288" s="7" t="s">
        <v>843</v>
      </c>
      <c r="D288" s="4">
        <v>0.75138888888888899</v>
      </c>
      <c r="F288" s="3" t="s">
        <v>24</v>
      </c>
      <c r="G288" s="3" t="s">
        <v>20</v>
      </c>
      <c r="H288" s="9">
        <v>41.3337</v>
      </c>
      <c r="I288" s="9">
        <v>2.4430000000000001</v>
      </c>
      <c r="J288" s="3">
        <v>3</v>
      </c>
      <c r="K288" s="3">
        <v>3</v>
      </c>
      <c r="L288" s="3">
        <v>0</v>
      </c>
      <c r="M288" s="3">
        <v>0</v>
      </c>
      <c r="N288" s="3" t="s">
        <v>16</v>
      </c>
      <c r="O288" s="3">
        <v>0</v>
      </c>
      <c r="P288" s="3">
        <v>0</v>
      </c>
      <c r="Q288" s="3">
        <v>0</v>
      </c>
      <c r="R288" s="3">
        <v>0</v>
      </c>
      <c r="S288" s="3">
        <v>1</v>
      </c>
      <c r="T288" s="3">
        <v>2</v>
      </c>
      <c r="U288" s="3">
        <v>0</v>
      </c>
      <c r="V288" s="3">
        <v>0</v>
      </c>
      <c r="W288" s="3">
        <v>0</v>
      </c>
      <c r="X288" s="3">
        <v>0</v>
      </c>
      <c r="Y288" s="3">
        <v>0</v>
      </c>
      <c r="Z288" s="3">
        <v>3</v>
      </c>
      <c r="AA288" s="3">
        <v>0</v>
      </c>
      <c r="AB288" s="3">
        <v>0</v>
      </c>
      <c r="AC288" s="3">
        <v>0</v>
      </c>
      <c r="AD288" s="3">
        <v>0</v>
      </c>
      <c r="AE288" s="3" t="s">
        <v>6</v>
      </c>
      <c r="AF288" s="3" t="s">
        <v>1433</v>
      </c>
      <c r="AS288" s="3" t="s">
        <v>577</v>
      </c>
      <c r="AT288" s="3" t="s">
        <v>915</v>
      </c>
      <c r="AU288" s="3" t="s">
        <v>915</v>
      </c>
      <c r="AV288" s="3" t="s">
        <v>917</v>
      </c>
    </row>
    <row r="289" spans="1:48" x14ac:dyDescent="0.25">
      <c r="A289" t="s">
        <v>1313</v>
      </c>
      <c r="B289" s="7">
        <v>45933</v>
      </c>
      <c r="C289" s="7" t="s">
        <v>843</v>
      </c>
      <c r="D289" s="4">
        <v>0.92986111111111114</v>
      </c>
      <c r="F289" s="3" t="s">
        <v>24</v>
      </c>
      <c r="G289" s="3" t="s">
        <v>20</v>
      </c>
      <c r="H289" s="9">
        <v>41.350900000000003</v>
      </c>
      <c r="I289" s="9">
        <v>2.4413</v>
      </c>
      <c r="J289" s="3">
        <v>4</v>
      </c>
      <c r="K289" s="3">
        <v>4</v>
      </c>
      <c r="L289" s="3">
        <v>0</v>
      </c>
      <c r="M289" s="3">
        <v>0</v>
      </c>
      <c r="N289" s="3" t="s">
        <v>16</v>
      </c>
      <c r="O289" s="3">
        <v>0</v>
      </c>
      <c r="P289" s="3">
        <v>0</v>
      </c>
      <c r="Q289" s="3">
        <v>0</v>
      </c>
      <c r="R289" s="3">
        <v>0</v>
      </c>
      <c r="S289" s="3">
        <v>2</v>
      </c>
      <c r="T289" s="3">
        <v>2</v>
      </c>
      <c r="U289" s="3">
        <v>0</v>
      </c>
      <c r="V289" s="3">
        <v>0</v>
      </c>
      <c r="W289" s="3">
        <v>0</v>
      </c>
      <c r="X289" s="3">
        <v>0</v>
      </c>
      <c r="Y289" s="3">
        <v>0</v>
      </c>
      <c r="Z289" s="3">
        <v>4</v>
      </c>
      <c r="AA289" s="3">
        <v>0</v>
      </c>
      <c r="AB289" s="3">
        <v>0</v>
      </c>
      <c r="AC289" s="3">
        <v>0</v>
      </c>
      <c r="AD289" s="3">
        <v>0</v>
      </c>
      <c r="AE289" s="3" t="s">
        <v>6</v>
      </c>
      <c r="AF289" s="3" t="s">
        <v>1433</v>
      </c>
      <c r="AS289" s="3" t="s">
        <v>577</v>
      </c>
      <c r="AT289" s="3" t="s">
        <v>915</v>
      </c>
      <c r="AU289" s="3" t="s">
        <v>915</v>
      </c>
      <c r="AV289" s="3" t="s">
        <v>918</v>
      </c>
    </row>
    <row r="290" spans="1:48" x14ac:dyDescent="0.25">
      <c r="A290" t="s">
        <v>1444</v>
      </c>
      <c r="B290" s="7">
        <v>42959</v>
      </c>
      <c r="C290" s="7" t="s">
        <v>844</v>
      </c>
      <c r="D290" s="4">
        <v>0.79166666666666663</v>
      </c>
      <c r="E290" s="3" t="s">
        <v>1447</v>
      </c>
      <c r="F290" s="3" t="s">
        <v>8</v>
      </c>
      <c r="G290" s="3" t="s">
        <v>8</v>
      </c>
      <c r="H290" s="9">
        <v>39.165366666700002</v>
      </c>
      <c r="I290" s="9">
        <v>2.9474027777999998</v>
      </c>
      <c r="J290" s="3">
        <v>1</v>
      </c>
      <c r="K290" s="3">
        <v>1</v>
      </c>
      <c r="L290" s="3">
        <v>0</v>
      </c>
      <c r="M290" s="3">
        <v>0</v>
      </c>
      <c r="N290" s="3" t="s">
        <v>16</v>
      </c>
      <c r="O290" s="3">
        <v>0</v>
      </c>
      <c r="P290" s="3">
        <v>0</v>
      </c>
      <c r="Q290" s="3">
        <v>0</v>
      </c>
      <c r="R290" s="3">
        <v>0</v>
      </c>
      <c r="S290" s="3">
        <v>1</v>
      </c>
      <c r="T290" s="3">
        <v>0</v>
      </c>
      <c r="U290" s="3">
        <v>0</v>
      </c>
      <c r="V290" s="3">
        <v>0</v>
      </c>
      <c r="W290" s="3">
        <v>0</v>
      </c>
      <c r="X290" s="3">
        <v>0</v>
      </c>
      <c r="Y290" s="3">
        <v>0</v>
      </c>
      <c r="Z290" s="3">
        <v>1</v>
      </c>
      <c r="AA290" s="3">
        <v>0</v>
      </c>
      <c r="AB290" s="3">
        <v>0</v>
      </c>
      <c r="AC290" s="3">
        <v>0</v>
      </c>
      <c r="AD290" s="3">
        <v>0</v>
      </c>
      <c r="AE290" s="3" t="s">
        <v>6</v>
      </c>
      <c r="AF290" s="3" t="s">
        <v>1433</v>
      </c>
      <c r="AM290"/>
      <c r="AN290"/>
      <c r="AO290"/>
      <c r="AP290"/>
      <c r="AQ290"/>
      <c r="AR290"/>
      <c r="AS290" s="3" t="s">
        <v>775</v>
      </c>
      <c r="AT290" s="3" t="s">
        <v>759</v>
      </c>
      <c r="AU290" s="3" t="s">
        <v>1445</v>
      </c>
      <c r="AV290" s="3" t="s">
        <v>1446</v>
      </c>
    </row>
    <row r="291" spans="1:48" x14ac:dyDescent="0.25">
      <c r="A291" t="s">
        <v>1448</v>
      </c>
      <c r="B291" s="7">
        <v>45999</v>
      </c>
      <c r="C291" s="7" t="s">
        <v>841</v>
      </c>
      <c r="D291" s="3" t="s">
        <v>6</v>
      </c>
      <c r="E291" s="3" t="s">
        <v>1450</v>
      </c>
      <c r="F291" s="3" t="s">
        <v>25</v>
      </c>
      <c r="G291" s="3" t="s">
        <v>19</v>
      </c>
      <c r="H291" s="9">
        <v>37.966658889945201</v>
      </c>
      <c r="I291" s="9">
        <v>-0.69832829937313001</v>
      </c>
      <c r="J291" s="3">
        <v>1</v>
      </c>
      <c r="K291" s="3">
        <v>1</v>
      </c>
      <c r="L291" s="3">
        <v>0</v>
      </c>
      <c r="M291" s="3">
        <v>0</v>
      </c>
      <c r="N291" s="3" t="s">
        <v>16</v>
      </c>
      <c r="O291" s="3">
        <v>0</v>
      </c>
      <c r="P291" s="3">
        <v>0</v>
      </c>
      <c r="Q291" s="3">
        <v>0</v>
      </c>
      <c r="R291" s="3">
        <v>0</v>
      </c>
      <c r="S291" s="3">
        <v>1</v>
      </c>
      <c r="T291" s="3">
        <v>0</v>
      </c>
      <c r="U291" s="3">
        <v>0</v>
      </c>
      <c r="V291" s="3">
        <v>0</v>
      </c>
      <c r="W291" s="3">
        <v>0</v>
      </c>
      <c r="X291" s="3">
        <v>0</v>
      </c>
      <c r="Y291" s="3">
        <v>0</v>
      </c>
      <c r="Z291" s="3">
        <v>1</v>
      </c>
      <c r="AA291" s="3">
        <v>0</v>
      </c>
      <c r="AB291" s="3">
        <v>0</v>
      </c>
      <c r="AC291" s="3">
        <v>0</v>
      </c>
      <c r="AD291" s="3">
        <v>0</v>
      </c>
      <c r="AE291" s="3" t="s">
        <v>6</v>
      </c>
      <c r="AF291" s="3" t="s">
        <v>1433</v>
      </c>
      <c r="AM291"/>
      <c r="AN291"/>
      <c r="AO291"/>
      <c r="AP291"/>
      <c r="AQ291"/>
      <c r="AR291"/>
      <c r="AS291" s="3" t="s">
        <v>17</v>
      </c>
      <c r="AT291" s="3" t="s">
        <v>780</v>
      </c>
      <c r="AU291" s="3" t="s">
        <v>1449</v>
      </c>
      <c r="AV291" s="3" t="s">
        <v>1451</v>
      </c>
    </row>
    <row r="292" spans="1:48" x14ac:dyDescent="0.25">
      <c r="D292" s="60"/>
      <c r="AU292"/>
    </row>
    <row r="293" spans="1:48" x14ac:dyDescent="0.25">
      <c r="D293" s="60"/>
      <c r="AU293"/>
    </row>
    <row r="294" spans="1:48" x14ac:dyDescent="0.25">
      <c r="D294" s="60"/>
      <c r="AU294"/>
    </row>
    <row r="295" spans="1:48" x14ac:dyDescent="0.25">
      <c r="D295" s="60"/>
      <c r="AU295"/>
    </row>
    <row r="296" spans="1:48" x14ac:dyDescent="0.25">
      <c r="D296" s="60"/>
      <c r="AU296"/>
    </row>
    <row r="297" spans="1:48" x14ac:dyDescent="0.25">
      <c r="D297" s="60"/>
      <c r="AU297"/>
    </row>
    <row r="298" spans="1:48" x14ac:dyDescent="0.25">
      <c r="D298" s="60"/>
      <c r="AU298"/>
    </row>
    <row r="299" spans="1:48" x14ac:dyDescent="0.25">
      <c r="D299" s="60"/>
      <c r="AU299"/>
    </row>
    <row r="300" spans="1:48" x14ac:dyDescent="0.25">
      <c r="D300" s="61"/>
      <c r="AU300"/>
    </row>
    <row r="301" spans="1:48" x14ac:dyDescent="0.25">
      <c r="B301" s="8"/>
    </row>
    <row r="302" spans="1:48" x14ac:dyDescent="0.25">
      <c r="B302" s="8"/>
    </row>
    <row r="303" spans="1:48" x14ac:dyDescent="0.25">
      <c r="B303" s="8"/>
    </row>
    <row r="304" spans="1:48" x14ac:dyDescent="0.25">
      <c r="B304" s="8"/>
      <c r="C304" s="8"/>
    </row>
    <row r="305" spans="2:3" x14ac:dyDescent="0.25">
      <c r="B305" s="8"/>
      <c r="C305" s="8"/>
    </row>
    <row r="306" spans="2:3" x14ac:dyDescent="0.25">
      <c r="B306" s="8"/>
      <c r="C306" s="8"/>
    </row>
    <row r="307" spans="2:3" x14ac:dyDescent="0.25">
      <c r="B307" s="8"/>
      <c r="C307" s="8"/>
    </row>
    <row r="308" spans="2:3" x14ac:dyDescent="0.25">
      <c r="B308" s="8"/>
      <c r="C308" s="8"/>
    </row>
    <row r="309" spans="2:3" x14ac:dyDescent="0.25">
      <c r="B309" s="8"/>
      <c r="C309" s="8"/>
    </row>
    <row r="310" spans="2:3" x14ac:dyDescent="0.25">
      <c r="B310" s="8"/>
      <c r="C310" s="8"/>
    </row>
    <row r="311" spans="2:3" x14ac:dyDescent="0.25">
      <c r="B311" s="8"/>
      <c r="C311" s="8"/>
    </row>
    <row r="312" spans="2:3" x14ac:dyDescent="0.25">
      <c r="B312" s="8"/>
      <c r="C312" s="8"/>
    </row>
    <row r="313" spans="2:3" x14ac:dyDescent="0.25">
      <c r="B313" s="8"/>
      <c r="C313" s="8"/>
    </row>
    <row r="314" spans="2:3" x14ac:dyDescent="0.25">
      <c r="B314" s="8"/>
      <c r="C314" s="8"/>
    </row>
    <row r="315" spans="2:3" x14ac:dyDescent="0.25">
      <c r="B315" s="8"/>
      <c r="C315" s="8"/>
    </row>
    <row r="316" spans="2:3" x14ac:dyDescent="0.25">
      <c r="B316" s="8"/>
      <c r="C316" s="8"/>
    </row>
    <row r="317" spans="2:3" x14ac:dyDescent="0.25">
      <c r="B317" s="8"/>
      <c r="C317" s="8"/>
    </row>
    <row r="318" spans="2:3" x14ac:dyDescent="0.25">
      <c r="B318" s="8"/>
      <c r="C318" s="8"/>
    </row>
    <row r="319" spans="2:3" x14ac:dyDescent="0.25">
      <c r="B319" s="8"/>
      <c r="C319" s="8"/>
    </row>
    <row r="320" spans="2:3" x14ac:dyDescent="0.25">
      <c r="B320" s="8"/>
      <c r="C320" s="8"/>
    </row>
    <row r="321" spans="2:12" x14ac:dyDescent="0.25">
      <c r="B321" s="8"/>
      <c r="C321" s="8"/>
    </row>
    <row r="322" spans="2:12" x14ac:dyDescent="0.25">
      <c r="B322" s="8"/>
      <c r="C322" s="8"/>
    </row>
    <row r="323" spans="2:12" x14ac:dyDescent="0.25">
      <c r="B323" s="8"/>
      <c r="C323" s="8"/>
    </row>
    <row r="324" spans="2:12" x14ac:dyDescent="0.25">
      <c r="B324" s="8"/>
      <c r="C324" s="8"/>
    </row>
    <row r="325" spans="2:12" x14ac:dyDescent="0.25">
      <c r="B325" s="8"/>
      <c r="C325" s="8"/>
    </row>
    <row r="326" spans="2:12" x14ac:dyDescent="0.25">
      <c r="B326" s="8"/>
      <c r="C326" s="8"/>
    </row>
    <row r="327" spans="2:12" x14ac:dyDescent="0.25">
      <c r="B327" s="8"/>
      <c r="C327" s="8"/>
    </row>
    <row r="328" spans="2:12" x14ac:dyDescent="0.25">
      <c r="B328" s="8"/>
      <c r="C328" s="8"/>
    </row>
    <row r="329" spans="2:12" x14ac:dyDescent="0.25">
      <c r="B329" s="8"/>
      <c r="C329" s="8"/>
    </row>
    <row r="330" spans="2:12" x14ac:dyDescent="0.25">
      <c r="B330" s="8"/>
      <c r="C330" s="8"/>
      <c r="K330" s="6"/>
    </row>
    <row r="331" spans="2:12" x14ac:dyDescent="0.25">
      <c r="B331" s="8"/>
      <c r="C331" s="8"/>
      <c r="K331" s="6"/>
    </row>
    <row r="332" spans="2:12" x14ac:dyDescent="0.25">
      <c r="B332" s="8"/>
      <c r="C332" s="8"/>
      <c r="K332" s="6"/>
    </row>
    <row r="333" spans="2:12" x14ac:dyDescent="0.25">
      <c r="B333" s="8"/>
      <c r="C333" s="8"/>
      <c r="K333" s="6"/>
    </row>
    <row r="334" spans="2:12" x14ac:dyDescent="0.25">
      <c r="B334" s="8"/>
      <c r="C334" s="8"/>
      <c r="E334" s="6"/>
      <c r="F334" s="6"/>
      <c r="J334" s="6"/>
      <c r="L334" s="6"/>
    </row>
    <row r="335" spans="2:12" x14ac:dyDescent="0.25">
      <c r="B335" s="8"/>
      <c r="C335" s="8"/>
      <c r="E335" s="6"/>
      <c r="F335" s="6"/>
      <c r="J335" s="6"/>
      <c r="L335" s="6"/>
    </row>
    <row r="336" spans="2:12" x14ac:dyDescent="0.25">
      <c r="B336" s="8"/>
      <c r="C336" s="8"/>
      <c r="E336" s="6"/>
      <c r="F336" s="6"/>
      <c r="J336" s="6"/>
      <c r="L336" s="6"/>
    </row>
    <row r="337" spans="2:12" x14ac:dyDescent="0.25">
      <c r="B337" s="8"/>
      <c r="C337" s="8"/>
      <c r="E337" s="6"/>
      <c r="F337" s="6"/>
      <c r="J337" s="6"/>
      <c r="L337" s="6"/>
    </row>
    <row r="363" spans="4:47" x14ac:dyDescent="0.25">
      <c r="D363" s="4"/>
      <c r="AU363"/>
    </row>
    <row r="364" spans="4:47" x14ac:dyDescent="0.25">
      <c r="D364" s="4"/>
    </row>
    <row r="366" spans="4:47" x14ac:dyDescent="0.25">
      <c r="D366" s="4"/>
    </row>
    <row r="373" spans="4:4" x14ac:dyDescent="0.25">
      <c r="D373" s="4"/>
    </row>
    <row r="383" spans="4:4" x14ac:dyDescent="0.25">
      <c r="D383" s="4"/>
    </row>
    <row r="453" spans="4:4" x14ac:dyDescent="0.25">
      <c r="D453" s="4"/>
    </row>
  </sheetData>
  <autoFilter ref="A1:AX1048406" xr:uid="{48DE8452-AE9C-4322-874B-720AD5518167}">
    <sortState xmlns:xlrd2="http://schemas.microsoft.com/office/spreadsheetml/2017/richdata2" ref="A2:AX1048406">
      <sortCondition ref="A1:A1048406"/>
    </sortState>
  </autoFilter>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CCCDE-22FA-43CD-99AB-066AA7AF8297}">
  <dimension ref="A1:AH23"/>
  <sheetViews>
    <sheetView zoomScale="90" zoomScaleNormal="90" workbookViewId="0">
      <selection activeCell="N29" sqref="N29"/>
    </sheetView>
  </sheetViews>
  <sheetFormatPr baseColWidth="10" defaultRowHeight="15" x14ac:dyDescent="0.25"/>
  <cols>
    <col min="1" max="1" width="5.5703125" style="10" bestFit="1" customWidth="1"/>
    <col min="2" max="13" width="4.7109375" style="21" customWidth="1"/>
    <col min="14" max="14" width="12.85546875" style="44" bestFit="1" customWidth="1"/>
    <col min="15" max="32" width="7.7109375" customWidth="1"/>
    <col min="33" max="33" width="12.5703125" bestFit="1" customWidth="1"/>
    <col min="34" max="34" width="21.42578125" customWidth="1"/>
  </cols>
  <sheetData>
    <row r="1" spans="1:34" s="10" customFormat="1" x14ac:dyDescent="0.25">
      <c r="A1" s="22" t="s">
        <v>517</v>
      </c>
      <c r="B1" s="11" t="s">
        <v>518</v>
      </c>
      <c r="C1" s="12" t="s">
        <v>519</v>
      </c>
      <c r="D1" s="13" t="s">
        <v>520</v>
      </c>
      <c r="E1" s="13" t="s">
        <v>529</v>
      </c>
      <c r="F1" s="13" t="s">
        <v>521</v>
      </c>
      <c r="G1" s="14" t="s">
        <v>522</v>
      </c>
      <c r="H1" s="14" t="s">
        <v>523</v>
      </c>
      <c r="I1" s="14" t="s">
        <v>524</v>
      </c>
      <c r="J1" s="15" t="s">
        <v>525</v>
      </c>
      <c r="K1" s="15" t="s">
        <v>526</v>
      </c>
      <c r="L1" s="15" t="s">
        <v>527</v>
      </c>
      <c r="M1" s="12" t="s">
        <v>528</v>
      </c>
      <c r="N1" s="47" t="s">
        <v>597</v>
      </c>
      <c r="O1" s="49"/>
      <c r="P1" s="49"/>
      <c r="Q1" s="49"/>
      <c r="R1" s="50"/>
      <c r="S1" s="49"/>
      <c r="T1" s="49"/>
      <c r="U1" s="49"/>
      <c r="V1" s="50"/>
      <c r="W1" s="50"/>
      <c r="X1" s="49"/>
      <c r="Y1" s="49"/>
      <c r="Z1" s="49"/>
      <c r="AA1" s="49"/>
      <c r="AB1" s="50"/>
      <c r="AC1" s="50"/>
      <c r="AD1" s="50"/>
      <c r="AE1" s="50"/>
      <c r="AF1" s="50"/>
      <c r="AG1" s="51"/>
      <c r="AH1" s="51"/>
    </row>
    <row r="2" spans="1:34" x14ac:dyDescent="0.25">
      <c r="A2" s="10">
        <v>1987</v>
      </c>
      <c r="B2" s="16">
        <f>SUMIFS(P_violacea_Spain_Med!$J:$J, P_violacea_Spain_Med!$B:$B, "&gt;="&amp;DATE(1987,1,1), P_violacea_Spain_Med!$B:$B, "&lt;="&amp;DATE(1987,1,31))</f>
        <v>0</v>
      </c>
      <c r="C2" s="17">
        <f>SUMIFS(P_violacea_Spain_Med!$J:$J, P_violacea_Spain_Med!$B:$B, "&gt;="&amp;DATE(1987,2,1), P_violacea_Spain_Med!$B:$B, "&lt;="&amp;DATE(1987,2,28))</f>
        <v>0</v>
      </c>
      <c r="D2" s="18">
        <f>SUMIFS(P_violacea_Spain_Med!$J:$J, P_violacea_Spain_Med!$B:$B, "&gt;="&amp;DATE(1987,3,1), P_violacea_Spain_Med!$B:$B, "&lt;="&amp;DATE(1987,3,31))</f>
        <v>0</v>
      </c>
      <c r="E2" s="18">
        <f>SUMIFS(P_violacea_Spain_Med!$J:$J, P_violacea_Spain_Med!$B:$B, "&gt;="&amp;DATE(1987,4,1), P_violacea_Spain_Med!$B:$B, "&lt;="&amp;DATE(1987,4,30))</f>
        <v>0</v>
      </c>
      <c r="F2" s="18">
        <f>SUMIFS(P_violacea_Spain_Med!$J:$J, P_violacea_Spain_Med!$B:$B, "&gt;="&amp;DATE(1987,5,1), P_violacea_Spain_Med!$B:$B, "&lt;="&amp;DATE(1987,5,31))</f>
        <v>0</v>
      </c>
      <c r="G2" s="19">
        <f>SUMIFS(P_violacea_Spain_Med!$J:$J, P_violacea_Spain_Med!$B:$B, "&gt;="&amp;DATE(1987,6,1), P_violacea_Spain_Med!$B:$B, "&lt;="&amp;DATE(1987,6,30))</f>
        <v>0</v>
      </c>
      <c r="H2" s="19">
        <f>SUMIFS(P_violacea_Spain_Med!$J:$J, P_violacea_Spain_Med!$B:$B, "&gt;="&amp;DATE(1987,7,1), P_violacea_Spain_Med!$B:$B, "&lt;="&amp;DATE(1987,7,31))</f>
        <v>1</v>
      </c>
      <c r="I2" s="19">
        <f>SUMIFS(P_violacea_Spain_Med!$J:$J, P_violacea_Spain_Med!$B:$B, "&gt;="&amp;DATE(1987,8,1), P_violacea_Spain_Med!$B:$B, "&lt;="&amp;DATE(1987,8,31))</f>
        <v>0</v>
      </c>
      <c r="J2" s="20">
        <f>SUMIFS(P_violacea_Spain_Med!$J:$J, P_violacea_Spain_Med!$B:$B, "&gt;="&amp;DATE(1987,9,1), P_violacea_Spain_Med!$B:$B, "&lt;="&amp;DATE(1987,9,30))</f>
        <v>0</v>
      </c>
      <c r="K2" s="20">
        <f>SUMIFS(P_violacea_Spain_Med!$J:$J, P_violacea_Spain_Med!$B:$B, "&gt;="&amp;DATE(1987,10,1), P_violacea_Spain_Med!$B:$B, "&lt;="&amp;DATE(1987,10,31))</f>
        <v>0</v>
      </c>
      <c r="L2" s="20">
        <f>SUMIFS(P_violacea_Spain_Med!$J:$J, P_violacea_Spain_Med!$B:$B, "&gt;="&amp;DATE(1987,11,1), P_violacea_Spain_Med!$B:$B, "&lt;="&amp;DATE(1987,11,30))</f>
        <v>0</v>
      </c>
      <c r="M2" s="17">
        <f>SUMIFS(P_violacea_Spain_Med!$J:$J, P_violacea_Spain_Med!$B:$B, "&gt;="&amp;DATE(1987,12,1), P_violacea_Spain_Med!$B:$B, "&lt;="&amp;DATE(1987,12,31))</f>
        <v>0</v>
      </c>
      <c r="N2" s="48">
        <f>SUM($B2:$M2)</f>
        <v>1</v>
      </c>
      <c r="O2" s="21"/>
      <c r="P2" s="21"/>
      <c r="Q2" s="21"/>
      <c r="R2" s="21"/>
      <c r="S2" s="21"/>
      <c r="T2" s="21"/>
      <c r="U2" s="21"/>
      <c r="V2" s="21"/>
      <c r="W2" s="21"/>
      <c r="X2" s="21"/>
      <c r="Y2" s="21"/>
      <c r="Z2" s="21"/>
      <c r="AA2" s="21"/>
      <c r="AB2" s="21"/>
      <c r="AC2" s="21"/>
      <c r="AD2" s="21"/>
      <c r="AE2" s="21"/>
      <c r="AF2" s="21"/>
      <c r="AG2" s="52"/>
      <c r="AH2" s="10"/>
    </row>
    <row r="3" spans="1:34" x14ac:dyDescent="0.25">
      <c r="A3" s="10">
        <v>2005</v>
      </c>
      <c r="B3" s="16">
        <f>SUMIFS(P_violacea_Spain_Med!$J:$J, P_violacea_Spain_Med!$B:$B, "&gt;="&amp;DATE(2005,1,1), P_violacea_Spain_Med!$B:$B, "&lt;="&amp;DATE(2005,1,31))</f>
        <v>0</v>
      </c>
      <c r="C3" s="17">
        <f>SUMIFS(P_violacea_Spain_Med!$J:$J, P_violacea_Spain_Med!$B:$B, "&gt;="&amp;DATE(2005,2,1), P_violacea_Spain_Med!$B:$B, "&lt;="&amp;DATE(2005,2,28))</f>
        <v>0</v>
      </c>
      <c r="D3" s="18">
        <f>SUMIFS(P_violacea_Spain_Med!$J:$J, P_violacea_Spain_Med!$B:$B, "&gt;="&amp;DATE(2005,3,1), P_violacea_Spain_Med!$B:$B, "&lt;="&amp;DATE(2005,3,31))</f>
        <v>0</v>
      </c>
      <c r="E3" s="18">
        <f>SUMIFS(P_violacea_Spain_Med!$J:$J, P_violacea_Spain_Med!$B:$B, "&gt;="&amp;DATE(2005,4,1), P_violacea_Spain_Med!$B:$B, "&lt;="&amp;DATE(2005,4,30))</f>
        <v>0</v>
      </c>
      <c r="F3" s="18">
        <f>SUMIFS(P_violacea_Spain_Med!$J:$J, P_violacea_Spain_Med!$B:$B, "&gt;="&amp;DATE(2005,5,1), P_violacea_Spain_Med!$B:$B, "&lt;="&amp;DATE(2005,5,31))</f>
        <v>0</v>
      </c>
      <c r="G3" s="19">
        <f>SUMIFS(P_violacea_Spain_Med!$J:$J, P_violacea_Spain_Med!$B:$B, "&gt;="&amp;DATE(2005,6,1), P_violacea_Spain_Med!$B:$B, "&lt;="&amp;DATE(2005,6,30))</f>
        <v>0</v>
      </c>
      <c r="H3" s="19">
        <f>SUMIFS(P_violacea_Spain_Med!$J:$J, P_violacea_Spain_Med!$B:$B, "&gt;="&amp;DATE(2005,7,1), P_violacea_Spain_Med!$B:$B, "&lt;="&amp;DATE(2005,7,31))</f>
        <v>0</v>
      </c>
      <c r="I3" s="19">
        <f>SUMIFS(P_violacea_Spain_Med!$J:$J, P_violacea_Spain_Med!$B:$B, "&gt;="&amp;DATE(2005,8,1), P_violacea_Spain_Med!$B:$B, "&lt;="&amp;DATE(2005,8,31))</f>
        <v>1</v>
      </c>
      <c r="J3" s="20">
        <f>SUMIFS(P_violacea_Spain_Med!$J:$J, P_violacea_Spain_Med!$B:$B, "&gt;="&amp;DATE(2005,9,1), P_violacea_Spain_Med!$B:$B, "&lt;="&amp;DATE(2005,9,30))</f>
        <v>0</v>
      </c>
      <c r="K3" s="20">
        <f>SUMIFS(P_violacea_Spain_Med!$J:$J, P_violacea_Spain_Med!$B:$B, "&gt;="&amp;DATE(2005,10,1), P_violacea_Spain_Med!$B:$B, "&lt;="&amp;DATE(2005,10,31))</f>
        <v>0</v>
      </c>
      <c r="L3" s="20">
        <f>SUMIFS(P_violacea_Spain_Med!$J:$J, P_violacea_Spain_Med!$B:$B, "&gt;="&amp;DATE(2005,11,1), P_violacea_Spain_Med!$B:$B, "&lt;="&amp;DATE(2005,11,30))</f>
        <v>0</v>
      </c>
      <c r="M3" s="17">
        <f>SUMIFS(P_violacea_Spain_Med!$J:$J, P_violacea_Spain_Med!$B:$B, "&gt;="&amp;DATE(2005,12,1), P_violacea_Spain_Med!$B:$B, "&lt;="&amp;DATE(2005,12,31))</f>
        <v>0</v>
      </c>
      <c r="N3" s="48">
        <f t="shared" ref="N3:N23" si="0">SUM($B3:$M3)</f>
        <v>1</v>
      </c>
      <c r="O3" s="21"/>
      <c r="P3" s="21"/>
      <c r="Q3" s="21"/>
      <c r="R3" s="21"/>
      <c r="S3" s="21"/>
      <c r="T3" s="21"/>
      <c r="U3" s="21"/>
      <c r="V3" s="21"/>
      <c r="W3" s="21"/>
      <c r="X3" s="21"/>
      <c r="Y3" s="21"/>
      <c r="Z3" s="21"/>
      <c r="AA3" s="21"/>
      <c r="AB3" s="21"/>
      <c r="AC3" s="21"/>
      <c r="AD3" s="21"/>
      <c r="AE3" s="21"/>
      <c r="AF3" s="21"/>
      <c r="AG3" s="52"/>
      <c r="AH3" s="10"/>
    </row>
    <row r="4" spans="1:34" x14ac:dyDescent="0.25">
      <c r="A4" s="10">
        <v>2006</v>
      </c>
      <c r="B4" s="16">
        <f>SUMIFS(P_violacea_Spain_Med!$J:$J, P_violacea_Spain_Med!$B:$B, "&gt;="&amp;DATE(2006,1,1), P_violacea_Spain_Med!$B:$B, "&lt;="&amp;DATE(2006,1,31))</f>
        <v>0</v>
      </c>
      <c r="C4" s="17">
        <f>SUMIFS(P_violacea_Spain_Med!$J:$J, P_violacea_Spain_Med!$B:$B, "&gt;="&amp;DATE(2006,2,1), P_violacea_Spain_Med!$B:$B, "&lt;="&amp;DATE(2006,2,28))</f>
        <v>0</v>
      </c>
      <c r="D4" s="18">
        <f>SUMIFS(P_violacea_Spain_Med!$J:$J, P_violacea_Spain_Med!$B:$B, "&gt;="&amp;DATE(2006,3,1), P_violacea_Spain_Med!$B:$B, "&lt;="&amp;DATE(2006,3,31))</f>
        <v>0</v>
      </c>
      <c r="E4" s="18">
        <f>SUMIFS(P_violacea_Spain_Med!$J:$J, P_violacea_Spain_Med!$B:$B, "&gt;="&amp;DATE(2006,4,1), P_violacea_Spain_Med!$B:$B, "&lt;="&amp;DATE(2006,4,30))</f>
        <v>0</v>
      </c>
      <c r="F4" s="18">
        <f>SUMIFS(P_violacea_Spain_Med!$J:$J, P_violacea_Spain_Med!$B:$B, "&gt;="&amp;DATE(2006,5,1), P_violacea_Spain_Med!$B:$B, "&lt;="&amp;DATE(2006,5,31))</f>
        <v>0</v>
      </c>
      <c r="G4" s="19">
        <f>SUMIFS(P_violacea_Spain_Med!$J:$J, P_violacea_Spain_Med!$B:$B, "&gt;="&amp;DATE(2006,6,1), P_violacea_Spain_Med!$B:$B, "&lt;="&amp;DATE(2006,6,30))</f>
        <v>0</v>
      </c>
      <c r="H4" s="19">
        <f>SUMIFS(P_violacea_Spain_Med!$J:$J, P_violacea_Spain_Med!$B:$B, "&gt;="&amp;DATE(2006,7,1), P_violacea_Spain_Med!$B:$B, "&lt;="&amp;DATE(2006,7,31))</f>
        <v>1</v>
      </c>
      <c r="I4" s="19">
        <f>SUMIFS(P_violacea_Spain_Med!$J:$J, P_violacea_Spain_Med!$B:$B, "&gt;="&amp;DATE(2006,8,1), P_violacea_Spain_Med!$B:$B, "&lt;="&amp;DATE(2006,8,31))</f>
        <v>0</v>
      </c>
      <c r="J4" s="20">
        <f>SUMIFS(P_violacea_Spain_Med!$J:$J, P_violacea_Spain_Med!$B:$B, "&gt;="&amp;DATE(2006,9,1), P_violacea_Spain_Med!$B:$B, "&lt;="&amp;DATE(2006,9,30))</f>
        <v>0</v>
      </c>
      <c r="K4" s="20">
        <f>SUMIFS(P_violacea_Spain_Med!$J:$J, P_violacea_Spain_Med!$B:$B, "&gt;="&amp;DATE(2006,10,1), P_violacea_Spain_Med!$B:$B, "&lt;="&amp;DATE(2006,10,31))</f>
        <v>0</v>
      </c>
      <c r="L4" s="20">
        <f>SUMIFS(P_violacea_Spain_Med!$J:$J, P_violacea_Spain_Med!$B:$B, "&gt;="&amp;DATE(2006,11,1), P_violacea_Spain_Med!$B:$B, "&lt;="&amp;DATE(2006,11,30))</f>
        <v>0</v>
      </c>
      <c r="M4" s="17">
        <f>SUMIFS(P_violacea_Spain_Med!$J:$J, P_violacea_Spain_Med!$B:$B, "&gt;="&amp;DATE(2006,12,1), P_violacea_Spain_Med!$B:$B, "&lt;="&amp;DATE(2006,12,31))</f>
        <v>0</v>
      </c>
      <c r="N4" s="48">
        <f t="shared" si="0"/>
        <v>1</v>
      </c>
      <c r="O4" s="21"/>
      <c r="P4" s="21"/>
      <c r="Q4" s="21"/>
      <c r="R4" s="21"/>
      <c r="S4" s="21"/>
      <c r="T4" s="21"/>
      <c r="U4" s="21"/>
      <c r="V4" s="21"/>
      <c r="W4" s="21"/>
      <c r="X4" s="21"/>
      <c r="Y4" s="21"/>
      <c r="Z4" s="21"/>
      <c r="AA4" s="21"/>
      <c r="AB4" s="21"/>
      <c r="AC4" s="21"/>
      <c r="AD4" s="21"/>
      <c r="AE4" s="21"/>
      <c r="AF4" s="21"/>
      <c r="AG4" s="52"/>
      <c r="AH4" s="10"/>
    </row>
    <row r="5" spans="1:34" x14ac:dyDescent="0.25">
      <c r="A5" s="10">
        <v>2007</v>
      </c>
      <c r="B5" s="16">
        <f>SUMIFS(P_violacea_Spain_Med!$J:$J, P_violacea_Spain_Med!$B:$B, "&gt;="&amp;DATE(2007,1,1), P_violacea_Spain_Med!$B:$B, "&lt;="&amp;DATE(2007,1,31))</f>
        <v>0</v>
      </c>
      <c r="C5" s="17">
        <f>SUMIFS(P_violacea_Spain_Med!$J:$J, P_violacea_Spain_Med!$B:$B, "&gt;="&amp;DATE(2007,2,1), P_violacea_Spain_Med!$B:$B, "&lt;="&amp;DATE(2007,2,28))</f>
        <v>0</v>
      </c>
      <c r="D5" s="18">
        <f>SUMIFS(P_violacea_Spain_Med!$J:$J, P_violacea_Spain_Med!$B:$B, "&gt;="&amp;DATE(2007,3,1), P_violacea_Spain_Med!$B:$B, "&lt;="&amp;DATE(2007,3,31))</f>
        <v>0</v>
      </c>
      <c r="E5" s="18">
        <f>SUMIFS(P_violacea_Spain_Med!$J:$J, P_violacea_Spain_Med!$B:$B, "&gt;="&amp;DATE(2007,4,1), P_violacea_Spain_Med!$B:$B, "&lt;="&amp;DATE(2007,4,30))</f>
        <v>0</v>
      </c>
      <c r="F5" s="18">
        <f>SUMIFS(P_violacea_Spain_Med!$J:$J, P_violacea_Spain_Med!$B:$B, "&gt;="&amp;DATE(2007,5,1), P_violacea_Spain_Med!$B:$B, "&lt;="&amp;DATE(2007,5,31))</f>
        <v>0</v>
      </c>
      <c r="G5" s="19">
        <f>SUMIFS(P_violacea_Spain_Med!$J:$J, P_violacea_Spain_Med!$B:$B, "&gt;="&amp;DATE(2007,6,1), P_violacea_Spain_Med!$B:$B, "&lt;="&amp;DATE(2007,6,30))</f>
        <v>0</v>
      </c>
      <c r="H5" s="19">
        <f>SUMIFS(P_violacea_Spain_Med!$J:$J, P_violacea_Spain_Med!$B:$B, "&gt;="&amp;DATE(2007,7,1), P_violacea_Spain_Med!$B:$B, "&lt;="&amp;DATE(2007,7,31))</f>
        <v>0</v>
      </c>
      <c r="I5" s="19">
        <f>SUMIFS(P_violacea_Spain_Med!$J:$J, P_violacea_Spain_Med!$B:$B, "&gt;="&amp;DATE(2007,8,1), P_violacea_Spain_Med!$B:$B, "&lt;="&amp;DATE(2007,8,31))</f>
        <v>1</v>
      </c>
      <c r="J5" s="20">
        <f>SUMIFS(P_violacea_Spain_Med!$J:$J, P_violacea_Spain_Med!$B:$B, "&gt;="&amp;DATE(2007,9,1), P_violacea_Spain_Med!$B:$B, "&lt;="&amp;DATE(2007,9,30))</f>
        <v>3</v>
      </c>
      <c r="K5" s="20">
        <f>SUMIFS(P_violacea_Spain_Med!$J:$J, P_violacea_Spain_Med!$B:$B, "&gt;="&amp;DATE(2007,10,1), P_violacea_Spain_Med!$B:$B, "&lt;="&amp;DATE(2007,10,31))</f>
        <v>0</v>
      </c>
      <c r="L5" s="20">
        <f>SUMIFS(P_violacea_Spain_Med!$J:$J, P_violacea_Spain_Med!$B:$B, "&gt;="&amp;DATE(2007,11,1), P_violacea_Spain_Med!$B:$B, "&lt;="&amp;DATE(2007,11,30))</f>
        <v>0</v>
      </c>
      <c r="M5" s="17">
        <f>SUMIFS(P_violacea_Spain_Med!$J:$J, P_violacea_Spain_Med!$B:$B, "&gt;="&amp;DATE(2007,12,1), P_violacea_Spain_Med!$B:$B, "&lt;="&amp;DATE(2007,12,31))</f>
        <v>0</v>
      </c>
      <c r="N5" s="48">
        <f t="shared" si="0"/>
        <v>4</v>
      </c>
      <c r="O5" s="21"/>
      <c r="P5" s="21"/>
      <c r="Q5" s="21"/>
      <c r="R5" s="21"/>
      <c r="S5" s="21"/>
      <c r="T5" s="21"/>
      <c r="U5" s="21"/>
      <c r="V5" s="21"/>
      <c r="W5" s="21"/>
      <c r="X5" s="21"/>
      <c r="Y5" s="21"/>
      <c r="Z5" s="21"/>
      <c r="AA5" s="21"/>
      <c r="AB5" s="21"/>
      <c r="AC5" s="21"/>
      <c r="AD5" s="21"/>
      <c r="AE5" s="21"/>
      <c r="AF5" s="21"/>
      <c r="AG5" s="52"/>
      <c r="AH5" s="10"/>
    </row>
    <row r="6" spans="1:34" x14ac:dyDescent="0.25">
      <c r="A6" s="10">
        <v>2008</v>
      </c>
      <c r="B6" s="16">
        <f>SUMIFS(P_violacea_Spain_Med!$J:$J, P_violacea_Spain_Med!$B:$B, "&gt;="&amp;DATE(2008,1,1), P_violacea_Spain_Med!$B:$B, "&lt;="&amp;DATE(2008,1,31))</f>
        <v>0</v>
      </c>
      <c r="C6" s="17">
        <f>SUMIFS(P_violacea_Spain_Med!$J:$J, P_violacea_Spain_Med!$B:$B, "&gt;="&amp;DATE(2008,2,1), P_violacea_Spain_Med!$B:$B, "&lt;="&amp;DATE(2008,2,28))</f>
        <v>0</v>
      </c>
      <c r="D6" s="18">
        <f>SUMIFS(P_violacea_Spain_Med!$J:$J, P_violacea_Spain_Med!$B:$B, "&gt;="&amp;DATE(2008,3,1), P_violacea_Spain_Med!$B:$B, "&lt;="&amp;DATE(2008,3,31))</f>
        <v>0</v>
      </c>
      <c r="E6" s="18">
        <f>SUMIFS(P_violacea_Spain_Med!$J:$J, P_violacea_Spain_Med!$B:$B, "&gt;="&amp;DATE(2008,4,1), P_violacea_Spain_Med!$B:$B, "&lt;="&amp;DATE(2008,4,30))</f>
        <v>0</v>
      </c>
      <c r="F6" s="18">
        <f>SUMIFS(P_violacea_Spain_Med!$J:$J, P_violacea_Spain_Med!$B:$B, "&gt;="&amp;DATE(2008,5,1), P_violacea_Spain_Med!$B:$B, "&lt;="&amp;DATE(2008,5,31))</f>
        <v>0</v>
      </c>
      <c r="G6" s="19">
        <f>SUMIFS(P_violacea_Spain_Med!$J:$J, P_violacea_Spain_Med!$B:$B, "&gt;="&amp;DATE(2008,6,1), P_violacea_Spain_Med!$B:$B, "&lt;="&amp;DATE(2008,6,30))</f>
        <v>0</v>
      </c>
      <c r="H6" s="19">
        <f>SUMIFS(P_violacea_Spain_Med!$J:$J, P_violacea_Spain_Med!$B:$B, "&gt;="&amp;DATE(2008,7,1), P_violacea_Spain_Med!$B:$B, "&lt;="&amp;DATE(2008,7,31))</f>
        <v>0</v>
      </c>
      <c r="I6" s="19">
        <f>SUMIFS(P_violacea_Spain_Med!$J:$J, P_violacea_Spain_Med!$B:$B, "&gt;="&amp;DATE(2008,8,1), P_violacea_Spain_Med!$B:$B, "&lt;="&amp;DATE(2008,8,31))</f>
        <v>0</v>
      </c>
      <c r="J6" s="20">
        <f>SUMIFS(P_violacea_Spain_Med!$J:$J, P_violacea_Spain_Med!$B:$B, "&gt;="&amp;DATE(2008,9,1), P_violacea_Spain_Med!$B:$B, "&lt;="&amp;DATE(2008,9,30))</f>
        <v>0</v>
      </c>
      <c r="K6" s="20">
        <f>SUMIFS(P_violacea_Spain_Med!$J:$J, P_violacea_Spain_Med!$B:$B, "&gt;="&amp;DATE(2008,10,1), P_violacea_Spain_Med!$B:$B, "&lt;="&amp;DATE(2008,10,31))</f>
        <v>0</v>
      </c>
      <c r="L6" s="20">
        <f>SUMIFS(P_violacea_Spain_Med!$J:$J, P_violacea_Spain_Med!$B:$B, "&gt;="&amp;DATE(2008,11,1), P_violacea_Spain_Med!$B:$B, "&lt;="&amp;DATE(2008,11,30))</f>
        <v>0</v>
      </c>
      <c r="M6" s="17">
        <f>SUMIFS(P_violacea_Spain_Med!$J:$J, P_violacea_Spain_Med!$B:$B, "&gt;="&amp;DATE(2008,12,1), P_violacea_Spain_Med!$B:$B, "&lt;="&amp;DATE(2008,12,31))</f>
        <v>0</v>
      </c>
      <c r="N6" s="48">
        <f t="shared" si="0"/>
        <v>0</v>
      </c>
      <c r="O6" s="21"/>
      <c r="P6" s="21"/>
      <c r="Q6" s="21"/>
      <c r="R6" s="21"/>
      <c r="S6" s="21"/>
      <c r="T6" s="21"/>
      <c r="U6" s="21"/>
      <c r="V6" s="21"/>
      <c r="W6" s="21"/>
      <c r="X6" s="21"/>
      <c r="Y6" s="21"/>
      <c r="Z6" s="21"/>
      <c r="AA6" s="21"/>
      <c r="AB6" s="21"/>
      <c r="AC6" s="21"/>
      <c r="AD6" s="21"/>
      <c r="AE6" s="21"/>
      <c r="AF6" s="21"/>
      <c r="AG6" s="52"/>
      <c r="AH6" s="10"/>
    </row>
    <row r="7" spans="1:34" x14ac:dyDescent="0.25">
      <c r="A7" s="10">
        <v>2009</v>
      </c>
      <c r="B7" s="16">
        <f>SUMIFS(P_violacea_Spain_Med!$J:$J, P_violacea_Spain_Med!$B:$B, "&gt;="&amp;DATE(2009,1,1), P_violacea_Spain_Med!$B:$B, "&lt;="&amp;DATE(2009,1,31))</f>
        <v>0</v>
      </c>
      <c r="C7" s="17">
        <f>SUMIFS(P_violacea_Spain_Med!$J:$J, P_violacea_Spain_Med!$B:$B, "&gt;="&amp;DATE(2009,2,1), P_violacea_Spain_Med!$B:$B, "&lt;="&amp;DATE(2009,2,28))</f>
        <v>0</v>
      </c>
      <c r="D7" s="18">
        <f>SUMIFS(P_violacea_Spain_Med!$J:$J, P_violacea_Spain_Med!$B:$B, "&gt;="&amp;DATE(2009,3,1), P_violacea_Spain_Med!$B:$B, "&lt;="&amp;DATE(2009,3,31))</f>
        <v>0</v>
      </c>
      <c r="E7" s="18">
        <f>SUMIFS(P_violacea_Spain_Med!$J:$J, P_violacea_Spain_Med!$B:$B, "&gt;="&amp;DATE(2009,4,1), P_violacea_Spain_Med!$B:$B, "&lt;="&amp;DATE(2009,4,30))</f>
        <v>0</v>
      </c>
      <c r="F7" s="18">
        <f>SUMIFS(P_violacea_Spain_Med!$J:$J, P_violacea_Spain_Med!$B:$B, "&gt;="&amp;DATE(2009,5,1), P_violacea_Spain_Med!$B:$B, "&lt;="&amp;DATE(2009,5,31))</f>
        <v>0</v>
      </c>
      <c r="G7" s="19">
        <f>SUMIFS(P_violacea_Spain_Med!$J:$J, P_violacea_Spain_Med!$B:$B, "&gt;="&amp;DATE(2009,6,1), P_violacea_Spain_Med!$B:$B, "&lt;="&amp;DATE(2009,6,30))</f>
        <v>0</v>
      </c>
      <c r="H7" s="19">
        <f>SUMIFS(P_violacea_Spain_Med!$J:$J, P_violacea_Spain_Med!$B:$B, "&gt;="&amp;DATE(2009,7,1), P_violacea_Spain_Med!$B:$B, "&lt;="&amp;DATE(2009,7,31))</f>
        <v>0</v>
      </c>
      <c r="I7" s="19">
        <f>SUMIFS(P_violacea_Spain_Med!$J:$J, P_violacea_Spain_Med!$B:$B, "&gt;="&amp;DATE(2009,8,1), P_violacea_Spain_Med!$B:$B, "&lt;="&amp;DATE(2009,8,31))</f>
        <v>0</v>
      </c>
      <c r="J7" s="20">
        <f>SUMIFS(P_violacea_Spain_Med!$J:$J, P_violacea_Spain_Med!$B:$B, "&gt;="&amp;DATE(2009,9,1), P_violacea_Spain_Med!$B:$B, "&lt;="&amp;DATE(2009,9,30))</f>
        <v>0</v>
      </c>
      <c r="K7" s="20">
        <f>SUMIFS(P_violacea_Spain_Med!$J:$J, P_violacea_Spain_Med!$B:$B, "&gt;="&amp;DATE(2009,10,1), P_violacea_Spain_Med!$B:$B, "&lt;="&amp;DATE(2009,10,31))</f>
        <v>0</v>
      </c>
      <c r="L7" s="20">
        <f>SUMIFS(P_violacea_Spain_Med!$J:$J, P_violacea_Spain_Med!$B:$B, "&gt;="&amp;DATE(2009,11,1), P_violacea_Spain_Med!$B:$B, "&lt;="&amp;DATE(2009,11,30))</f>
        <v>0</v>
      </c>
      <c r="M7" s="17">
        <f>SUMIFS(P_violacea_Spain_Med!$J:$J, P_violacea_Spain_Med!$B:$B, "&gt;="&amp;DATE(2009,12,1), P_violacea_Spain_Med!$B:$B, "&lt;="&amp;DATE(2009,12,31))</f>
        <v>0</v>
      </c>
      <c r="N7" s="48">
        <f t="shared" si="0"/>
        <v>0</v>
      </c>
      <c r="O7" s="21"/>
      <c r="P7" s="21"/>
      <c r="Q7" s="21"/>
      <c r="R7" s="21"/>
      <c r="S7" s="21"/>
      <c r="T7" s="21"/>
      <c r="U7" s="21"/>
      <c r="V7" s="21"/>
      <c r="W7" s="21"/>
      <c r="X7" s="21"/>
      <c r="Y7" s="21"/>
      <c r="Z7" s="21"/>
      <c r="AA7" s="21"/>
      <c r="AB7" s="21"/>
      <c r="AC7" s="21"/>
      <c r="AD7" s="21"/>
      <c r="AE7" s="21"/>
      <c r="AF7" s="21"/>
      <c r="AG7" s="52"/>
      <c r="AH7" s="10"/>
    </row>
    <row r="8" spans="1:34" x14ac:dyDescent="0.25">
      <c r="A8" s="10">
        <v>2010</v>
      </c>
      <c r="B8" s="16">
        <f>SUMIFS(P_violacea_Spain_Med!$J:$J, P_violacea_Spain_Med!$B:$B, "&gt;="&amp;DATE(2010,1,1), P_violacea_Spain_Med!$B:$B, "&lt;="&amp;DATE(2010,1,31))</f>
        <v>0</v>
      </c>
      <c r="C8" s="17">
        <f>SUMIFS(P_violacea_Spain_Med!$J:$J, P_violacea_Spain_Med!$B:$B, "&gt;="&amp;DATE(2010,2,1), P_violacea_Spain_Med!$B:$B, "&lt;="&amp;DATE(2010,2,28))</f>
        <v>0</v>
      </c>
      <c r="D8" s="18">
        <f>SUMIFS(P_violacea_Spain_Med!$J:$J, P_violacea_Spain_Med!$B:$B, "&gt;="&amp;DATE(2010,3,1), P_violacea_Spain_Med!$B:$B, "&lt;="&amp;DATE(2010,3,31))</f>
        <v>0</v>
      </c>
      <c r="E8" s="18">
        <f>SUMIFS(P_violacea_Spain_Med!$J:$J, P_violacea_Spain_Med!$B:$B, "&gt;="&amp;DATE(2010,4,1), P_violacea_Spain_Med!$B:$B, "&lt;="&amp;DATE(2010,4,30))</f>
        <v>0</v>
      </c>
      <c r="F8" s="18">
        <f>SUMIFS(P_violacea_Spain_Med!$J:$J, P_violacea_Spain_Med!$B:$B, "&gt;="&amp;DATE(2010,5,1), P_violacea_Spain_Med!$B:$B, "&lt;="&amp;DATE(2010,5,31))</f>
        <v>0</v>
      </c>
      <c r="G8" s="19">
        <f>SUMIFS(P_violacea_Spain_Med!$J:$J, P_violacea_Spain_Med!$B:$B, "&gt;="&amp;DATE(2010,6,1), P_violacea_Spain_Med!$B:$B, "&lt;="&amp;DATE(2010,6,30))</f>
        <v>0</v>
      </c>
      <c r="H8" s="19">
        <f>SUMIFS(P_violacea_Spain_Med!$J:$J, P_violacea_Spain_Med!$B:$B, "&gt;="&amp;DATE(2010,7,1), P_violacea_Spain_Med!$B:$B, "&lt;="&amp;DATE(2010,7,31))</f>
        <v>0</v>
      </c>
      <c r="I8" s="19">
        <f>SUMIFS(P_violacea_Spain_Med!$J:$J, P_violacea_Spain_Med!$B:$B, "&gt;="&amp;DATE(2010,8,1), P_violacea_Spain_Med!$B:$B, "&lt;="&amp;DATE(2010,8,31))</f>
        <v>0</v>
      </c>
      <c r="J8" s="20">
        <f>SUMIFS(P_violacea_Spain_Med!$J:$J, P_violacea_Spain_Med!$B:$B, "&gt;="&amp;DATE(2010,9,1), P_violacea_Spain_Med!$B:$B, "&lt;="&amp;DATE(2010,9,30))</f>
        <v>0</v>
      </c>
      <c r="K8" s="20">
        <f>SUMIFS(P_violacea_Spain_Med!$J:$J, P_violacea_Spain_Med!$B:$B, "&gt;="&amp;DATE(2010,10,1), P_violacea_Spain_Med!$B:$B, "&lt;="&amp;DATE(2010,10,31))</f>
        <v>0</v>
      </c>
      <c r="L8" s="20">
        <f>SUMIFS(P_violacea_Spain_Med!$J:$J, P_violacea_Spain_Med!$B:$B, "&gt;="&amp;DATE(2010,11,1), P_violacea_Spain_Med!$B:$B, "&lt;="&amp;DATE(2010,11,30))</f>
        <v>0</v>
      </c>
      <c r="M8" s="17">
        <f>SUMIFS(P_violacea_Spain_Med!$J:$J, P_violacea_Spain_Med!$B:$B, "&gt;="&amp;DATE(2010,12,1), P_violacea_Spain_Med!$B:$B, "&lt;="&amp;DATE(2010,12,31))</f>
        <v>0</v>
      </c>
      <c r="N8" s="48">
        <f t="shared" si="0"/>
        <v>0</v>
      </c>
      <c r="O8" s="21"/>
      <c r="P8" s="21"/>
      <c r="Q8" s="21"/>
      <c r="R8" s="21"/>
      <c r="S8" s="21"/>
      <c r="T8" s="21"/>
      <c r="U8" s="21"/>
      <c r="V8" s="21"/>
      <c r="W8" s="21"/>
      <c r="X8" s="21"/>
      <c r="Y8" s="21"/>
      <c r="Z8" s="21"/>
      <c r="AA8" s="21"/>
      <c r="AB8" s="21"/>
      <c r="AC8" s="21"/>
      <c r="AD8" s="21"/>
      <c r="AE8" s="21"/>
      <c r="AF8" s="21"/>
      <c r="AG8" s="52"/>
      <c r="AH8" s="10"/>
    </row>
    <row r="9" spans="1:34" x14ac:dyDescent="0.25">
      <c r="A9" s="10">
        <v>2011</v>
      </c>
      <c r="B9" s="16">
        <f>SUMIFS(P_violacea_Spain_Med!$J:$J, P_violacea_Spain_Med!$B:$B, "&gt;="&amp;DATE(2011,1,1), P_violacea_Spain_Med!$B:$B, "&lt;="&amp;DATE(2011,1,31))</f>
        <v>0</v>
      </c>
      <c r="C9" s="17">
        <f>SUMIFS(P_violacea_Spain_Med!$J:$J, P_violacea_Spain_Med!$B:$B, "&gt;="&amp;DATE(2011,2,1), P_violacea_Spain_Med!$B:$B, "&lt;="&amp;DATE(2011,2,28))</f>
        <v>0</v>
      </c>
      <c r="D9" s="18">
        <f>SUMIFS(P_violacea_Spain_Med!$J:$J, P_violacea_Spain_Med!$B:$B, "&gt;="&amp;DATE(2011,3,1), P_violacea_Spain_Med!$B:$B, "&lt;="&amp;DATE(2011,3,31))</f>
        <v>0</v>
      </c>
      <c r="E9" s="18">
        <f>SUMIFS(P_violacea_Spain_Med!$J:$J, P_violacea_Spain_Med!$B:$B, "&gt;="&amp;DATE(2011,4,1), P_violacea_Spain_Med!$B:$B, "&lt;="&amp;DATE(2011,4,30))</f>
        <v>0</v>
      </c>
      <c r="F9" s="18">
        <f>SUMIFS(P_violacea_Spain_Med!$J:$J, P_violacea_Spain_Med!$B:$B, "&gt;="&amp;DATE(2011,5,1), P_violacea_Spain_Med!$B:$B, "&lt;="&amp;DATE(2011,5,31))</f>
        <v>1</v>
      </c>
      <c r="G9" s="19">
        <f>SUMIFS(P_violacea_Spain_Med!$J:$J, P_violacea_Spain_Med!$B:$B, "&gt;="&amp;DATE(2011,6,1), P_violacea_Spain_Med!$B:$B, "&lt;="&amp;DATE(2011,6,30))</f>
        <v>0</v>
      </c>
      <c r="H9" s="19">
        <f>SUMIFS(P_violacea_Spain_Med!$J:$J, P_violacea_Spain_Med!$B:$B, "&gt;="&amp;DATE(2011,7,1), P_violacea_Spain_Med!$B:$B, "&lt;="&amp;DATE(2011,7,31))</f>
        <v>2</v>
      </c>
      <c r="I9" s="19">
        <f>SUMIFS(P_violacea_Spain_Med!$J:$J, P_violacea_Spain_Med!$B:$B, "&gt;="&amp;DATE(2011,8,1), P_violacea_Spain_Med!$B:$B, "&lt;="&amp;DATE(2011,8,31))</f>
        <v>1</v>
      </c>
      <c r="J9" s="20">
        <f>SUMIFS(P_violacea_Spain_Med!$J:$J, P_violacea_Spain_Med!$B:$B, "&gt;="&amp;DATE(2011,9,1), P_violacea_Spain_Med!$B:$B, "&lt;="&amp;DATE(2011,9,30))</f>
        <v>0</v>
      </c>
      <c r="K9" s="20">
        <f>SUMIFS(P_violacea_Spain_Med!$J:$J, P_violacea_Spain_Med!$B:$B, "&gt;="&amp;DATE(2011,10,1), P_violacea_Spain_Med!$B:$B, "&lt;="&amp;DATE(2011,10,31))</f>
        <v>0</v>
      </c>
      <c r="L9" s="20">
        <f>SUMIFS(P_violacea_Spain_Med!$J:$J, P_violacea_Spain_Med!$B:$B, "&gt;="&amp;DATE(2011,11,1), P_violacea_Spain_Med!$B:$B, "&lt;="&amp;DATE(2011,11,30))</f>
        <v>0</v>
      </c>
      <c r="M9" s="17">
        <f>SUMIFS(P_violacea_Spain_Med!$J:$J, P_violacea_Spain_Med!$B:$B, "&gt;="&amp;DATE(2011,12,1), P_violacea_Spain_Med!$B:$B, "&lt;="&amp;DATE(2011,12,31))</f>
        <v>0</v>
      </c>
      <c r="N9" s="48">
        <f t="shared" si="0"/>
        <v>4</v>
      </c>
      <c r="O9" s="21"/>
      <c r="P9" s="21"/>
      <c r="Q9" s="21"/>
      <c r="R9" s="21"/>
      <c r="S9" s="21"/>
      <c r="T9" s="21"/>
      <c r="U9" s="21"/>
      <c r="V9" s="21"/>
      <c r="W9" s="21"/>
      <c r="X9" s="21"/>
      <c r="Y9" s="21"/>
      <c r="Z9" s="21"/>
      <c r="AA9" s="21"/>
      <c r="AB9" s="21"/>
      <c r="AC9" s="21"/>
      <c r="AD9" s="21"/>
      <c r="AE9" s="21"/>
      <c r="AF9" s="21"/>
      <c r="AG9" s="52"/>
      <c r="AH9" s="10"/>
    </row>
    <row r="10" spans="1:34" x14ac:dyDescent="0.25">
      <c r="A10" s="10">
        <v>2012</v>
      </c>
      <c r="B10" s="16">
        <f>SUMIFS(P_violacea_Spain_Med!$J:$J, P_violacea_Spain_Med!$B:$B, "&gt;="&amp;DATE(2012,1,1), P_violacea_Spain_Med!$B:$B, "&lt;="&amp;DATE(2012,1,31))</f>
        <v>0</v>
      </c>
      <c r="C10" s="17">
        <f>SUMIFS(P_violacea_Spain_Med!$J:$J, P_violacea_Spain_Med!$B:$B, "&gt;="&amp;DATE(2012,2,1), P_violacea_Spain_Med!$B:$B, "&lt;="&amp;DATE(2012,2,29))</f>
        <v>0</v>
      </c>
      <c r="D10" s="18">
        <f>SUMIFS(P_violacea_Spain_Med!$J:$J, P_violacea_Spain_Med!$B:$B, "&gt;="&amp;DATE(2012,3,1), P_violacea_Spain_Med!$B:$B, "&lt;="&amp;DATE(2012,3,31))</f>
        <v>0</v>
      </c>
      <c r="E10" s="18">
        <f>SUMIFS(P_violacea_Spain_Med!$J:$J, P_violacea_Spain_Med!$B:$B, "&gt;="&amp;DATE(2012,4,1), P_violacea_Spain_Med!$B:$B, "&lt;="&amp;DATE(2012,4,30))</f>
        <v>0</v>
      </c>
      <c r="F10" s="18">
        <f>SUMIFS(P_violacea_Spain_Med!$J:$J, P_violacea_Spain_Med!$B:$B, "&gt;="&amp;DATE(2012,5,1), P_violacea_Spain_Med!$B:$B, "&lt;="&amp;DATE(2012,5,31))</f>
        <v>0</v>
      </c>
      <c r="G10" s="19">
        <f>SUMIFS(P_violacea_Spain_Med!$J:$J, P_violacea_Spain_Med!$B:$B, "&gt;="&amp;DATE(2012,6,1), P_violacea_Spain_Med!$B:$B, "&lt;="&amp;DATE(2012,6,30))</f>
        <v>0</v>
      </c>
      <c r="H10" s="19">
        <f>SUMIFS(P_violacea_Spain_Med!$J:$J, P_violacea_Spain_Med!$B:$B, "&gt;="&amp;DATE(2012,7,1), P_violacea_Spain_Med!$B:$B, "&lt;="&amp;DATE(2012,7,31))</f>
        <v>0</v>
      </c>
      <c r="I10" s="19">
        <f>SUMIFS(P_violacea_Spain_Med!$J:$J, P_violacea_Spain_Med!$B:$B, "&gt;="&amp;DATE(2012,8,1), P_violacea_Spain_Med!$B:$B, "&lt;="&amp;DATE(2012,8,31))</f>
        <v>2</v>
      </c>
      <c r="J10" s="20">
        <f>SUMIFS(P_violacea_Spain_Med!$J:$J, P_violacea_Spain_Med!$B:$B, "&gt;="&amp;DATE(2012,9,1), P_violacea_Spain_Med!$B:$B, "&lt;="&amp;DATE(2012,9,30))</f>
        <v>0</v>
      </c>
      <c r="K10" s="20">
        <f>SUMIFS(P_violacea_Spain_Med!$J:$J, P_violacea_Spain_Med!$B:$B, "&gt;="&amp;DATE(2012,10,1), P_violacea_Spain_Med!$B:$B, "&lt;="&amp;DATE(2012,10,31))</f>
        <v>0</v>
      </c>
      <c r="L10" s="20">
        <f>SUMIFS(P_violacea_Spain_Med!$J:$J, P_violacea_Spain_Med!$B:$B, "&gt;="&amp;DATE(2012,11,1), P_violacea_Spain_Med!$B:$B, "&lt;="&amp;DATE(2012,11,30))</f>
        <v>0</v>
      </c>
      <c r="M10" s="17">
        <f>SUMIFS(P_violacea_Spain_Med!$J:$J, P_violacea_Spain_Med!$B:$B, "&gt;="&amp;DATE(2012,12,1), P_violacea_Spain_Med!$B:$B, "&lt;="&amp;DATE(2012,12,31))</f>
        <v>0</v>
      </c>
      <c r="N10" s="48">
        <f t="shared" si="0"/>
        <v>2</v>
      </c>
      <c r="O10" s="21"/>
      <c r="P10" s="21"/>
      <c r="Q10" s="21"/>
      <c r="R10" s="21"/>
      <c r="S10" s="21"/>
      <c r="T10" s="21"/>
      <c r="U10" s="21"/>
      <c r="V10" s="21"/>
      <c r="W10" s="21"/>
      <c r="X10" s="21"/>
      <c r="Y10" s="21"/>
      <c r="Z10" s="21"/>
      <c r="AA10" s="21"/>
      <c r="AB10" s="21"/>
      <c r="AC10" s="21"/>
      <c r="AD10" s="21"/>
      <c r="AE10" s="21"/>
      <c r="AF10" s="21"/>
      <c r="AG10" s="52"/>
      <c r="AH10" s="10"/>
    </row>
    <row r="11" spans="1:34" x14ac:dyDescent="0.25">
      <c r="A11" s="10">
        <v>2013</v>
      </c>
      <c r="B11" s="16">
        <f>SUMIFS(P_violacea_Spain_Med!$J:$J, P_violacea_Spain_Med!$B:$B, "&gt;="&amp;DATE(2013,1,1), P_violacea_Spain_Med!$B:$B, "&lt;="&amp;DATE(2013,1,31))</f>
        <v>0</v>
      </c>
      <c r="C11" s="17">
        <f>SUMIFS(P_violacea_Spain_Med!$J:$J, P_violacea_Spain_Med!$B:$B, "&gt;="&amp;DATE(2013,2,1), P_violacea_Spain_Med!$B:$B, "&lt;="&amp;DATE(2013,2,28))</f>
        <v>0</v>
      </c>
      <c r="D11" s="18">
        <f>SUMIFS(P_violacea_Spain_Med!$J:$J, P_violacea_Spain_Med!$B:$B, "&gt;="&amp;DATE(2013,3,1), P_violacea_Spain_Med!$B:$B, "&lt;="&amp;DATE(2013,3,31))</f>
        <v>0</v>
      </c>
      <c r="E11" s="18">
        <f>SUMIFS(P_violacea_Spain_Med!$J:$J, P_violacea_Spain_Med!$B:$B, "&gt;="&amp;DATE(2013,4,1), P_violacea_Spain_Med!$B:$B, "&lt;="&amp;DATE(2013,4,30))</f>
        <v>0</v>
      </c>
      <c r="F11" s="18">
        <f>SUMIFS(P_violacea_Spain_Med!$J:$J, P_violacea_Spain_Med!$B:$B, "&gt;="&amp;DATE(2013,5,1), P_violacea_Spain_Med!$B:$B, "&lt;="&amp;DATE(2013,5,31))</f>
        <v>0</v>
      </c>
      <c r="G11" s="19">
        <f>SUMIFS(P_violacea_Spain_Med!$J:$J, P_violacea_Spain_Med!$B:$B, "&gt;="&amp;DATE(2013,6,1), P_violacea_Spain_Med!$B:$B, "&lt;="&amp;DATE(2013,6,30))</f>
        <v>0</v>
      </c>
      <c r="H11" s="19">
        <f>SUMIFS(P_violacea_Spain_Med!$J:$J, P_violacea_Spain_Med!$B:$B, "&gt;="&amp;DATE(2013,7,1), P_violacea_Spain_Med!$B:$B, "&lt;="&amp;DATE(2013,7,31))</f>
        <v>0</v>
      </c>
      <c r="I11" s="19">
        <f>SUMIFS(P_violacea_Spain_Med!$J:$J, P_violacea_Spain_Med!$B:$B, "&gt;="&amp;DATE(2013,8,1), P_violacea_Spain_Med!$B:$B, "&lt;="&amp;DATE(2013,8,31))</f>
        <v>9</v>
      </c>
      <c r="J11" s="20">
        <f>SUMIFS(P_violacea_Spain_Med!$J:$J, P_violacea_Spain_Med!$B:$B, "&gt;="&amp;DATE(2013,9,1), P_violacea_Spain_Med!$B:$B, "&lt;="&amp;DATE(2013,9,30))</f>
        <v>0</v>
      </c>
      <c r="K11" s="20">
        <f>SUMIFS(P_violacea_Spain_Med!$J:$J, P_violacea_Spain_Med!$B:$B, "&gt;="&amp;DATE(2013,10,1), P_violacea_Spain_Med!$B:$B, "&lt;="&amp;DATE(2013,10,31))</f>
        <v>0</v>
      </c>
      <c r="L11" s="20">
        <f>SUMIFS(P_violacea_Spain_Med!$J:$J, P_violacea_Spain_Med!$B:$B, "&gt;="&amp;DATE(2013,11,1), P_violacea_Spain_Med!$B:$B, "&lt;="&amp;DATE(2013,11,30))</f>
        <v>0</v>
      </c>
      <c r="M11" s="17">
        <f>SUMIFS(P_violacea_Spain_Med!$J:$J, P_violacea_Spain_Med!$B:$B, "&gt;="&amp;DATE(2013,12,1), P_violacea_Spain_Med!$B:$B, "&lt;="&amp;DATE(2013,12,31))</f>
        <v>0</v>
      </c>
      <c r="N11" s="48">
        <f t="shared" si="0"/>
        <v>9</v>
      </c>
      <c r="O11" s="21"/>
      <c r="P11" s="21"/>
      <c r="Q11" s="21"/>
      <c r="R11" s="21"/>
      <c r="S11" s="21"/>
      <c r="T11" s="21"/>
      <c r="U11" s="21"/>
      <c r="V11" s="21"/>
      <c r="W11" s="21"/>
      <c r="X11" s="21"/>
      <c r="Y11" s="21"/>
      <c r="Z11" s="21"/>
      <c r="AA11" s="21"/>
      <c r="AB11" s="21"/>
      <c r="AC11" s="21"/>
      <c r="AD11" s="21"/>
      <c r="AE11" s="21"/>
      <c r="AF11" s="21"/>
      <c r="AG11" s="52"/>
      <c r="AH11" s="10"/>
    </row>
    <row r="12" spans="1:34" x14ac:dyDescent="0.25">
      <c r="A12" s="10">
        <v>2014</v>
      </c>
      <c r="B12" s="16">
        <f>SUMIFS(P_violacea_Spain_Med!$J:$J, P_violacea_Spain_Med!$B:$B, "&gt;="&amp;DATE(2014,1,1), P_violacea_Spain_Med!$B:$B, "&lt;="&amp;DATE(2014,1,31))</f>
        <v>0</v>
      </c>
      <c r="C12" s="17">
        <f>SUMIFS(P_violacea_Spain_Med!$J:$J, P_violacea_Spain_Med!$B:$B, "&gt;="&amp;DATE(2014,2,1), P_violacea_Spain_Med!$B:$B, "&lt;="&amp;DATE(2014,2,28))</f>
        <v>0</v>
      </c>
      <c r="D12" s="18">
        <f>SUMIFS(P_violacea_Spain_Med!$J:$J, P_violacea_Spain_Med!$B:$B, "&gt;="&amp;DATE(2014,3,1), P_violacea_Spain_Med!$B:$B, "&lt;="&amp;DATE(2014,3,31))</f>
        <v>0</v>
      </c>
      <c r="E12" s="18">
        <f>SUMIFS(P_violacea_Spain_Med!$J:$J, P_violacea_Spain_Med!$B:$B, "&gt;="&amp;DATE(2014,4,1), P_violacea_Spain_Med!$B:$B, "&lt;="&amp;DATE(2014,4,30))</f>
        <v>0</v>
      </c>
      <c r="F12" s="18">
        <f>SUMIFS(P_violacea_Spain_Med!$J:$J, P_violacea_Spain_Med!$B:$B, "&gt;="&amp;DATE(2014,5,1), P_violacea_Spain_Med!$B:$B, "&lt;="&amp;DATE(2014,5,31))</f>
        <v>0</v>
      </c>
      <c r="G12" s="19">
        <f>SUMIFS(P_violacea_Spain_Med!$J:$J, P_violacea_Spain_Med!$B:$B, "&gt;="&amp;DATE(2014,6,1), P_violacea_Spain_Med!$B:$B, "&lt;="&amp;DATE(2014,6,30))</f>
        <v>0</v>
      </c>
      <c r="H12" s="19">
        <f>SUMIFS(P_violacea_Spain_Med!$J:$J, P_violacea_Spain_Med!$B:$B, "&gt;="&amp;DATE(2014,7,1), P_violacea_Spain_Med!$B:$B, "&lt;="&amp;DATE(2014,7,31))</f>
        <v>1</v>
      </c>
      <c r="I12" s="19">
        <f>SUMIFS(P_violacea_Spain_Med!$J:$J, P_violacea_Spain_Med!$B:$B, "&gt;="&amp;DATE(2014,8,1), P_violacea_Spain_Med!$B:$B, "&lt;="&amp;DATE(2014,8,31))</f>
        <v>0</v>
      </c>
      <c r="J12" s="20">
        <f>SUMIFS(P_violacea_Spain_Med!$J:$J, P_violacea_Spain_Med!$B:$B, "&gt;="&amp;DATE(2014,9,1), P_violacea_Spain_Med!$B:$B, "&lt;="&amp;DATE(2014,9,30))</f>
        <v>0</v>
      </c>
      <c r="K12" s="20">
        <f>SUMIFS(P_violacea_Spain_Med!$J:$J, P_violacea_Spain_Med!$B:$B, "&gt;="&amp;DATE(2014,10,1), P_violacea_Spain_Med!$B:$B, "&lt;="&amp;DATE(2014,10,31))</f>
        <v>0</v>
      </c>
      <c r="L12" s="20">
        <f>SUMIFS(P_violacea_Spain_Med!$J:$J, P_violacea_Spain_Med!$B:$B, "&gt;="&amp;DATE(2014,11,1), P_violacea_Spain_Med!$B:$B, "&lt;="&amp;DATE(2014,11,30))</f>
        <v>0</v>
      </c>
      <c r="M12" s="17">
        <f>SUMIFS(P_violacea_Spain_Med!$J:$J, P_violacea_Spain_Med!$B:$B, "&gt;="&amp;DATE(2014,12,1), P_violacea_Spain_Med!$B:$B, "&lt;="&amp;DATE(2014,12,31))</f>
        <v>0</v>
      </c>
      <c r="N12" s="48">
        <f t="shared" si="0"/>
        <v>1</v>
      </c>
      <c r="O12" s="21"/>
      <c r="P12" s="21"/>
      <c r="Q12" s="21"/>
      <c r="R12" s="21"/>
      <c r="S12" s="21"/>
      <c r="T12" s="21"/>
      <c r="U12" s="21"/>
      <c r="V12" s="21"/>
      <c r="W12" s="21"/>
      <c r="X12" s="21"/>
      <c r="Y12" s="21"/>
      <c r="Z12" s="21"/>
      <c r="AA12" s="21"/>
      <c r="AB12" s="21"/>
      <c r="AC12" s="21"/>
      <c r="AD12" s="21"/>
      <c r="AE12" s="21"/>
      <c r="AF12" s="21"/>
      <c r="AG12" s="52"/>
      <c r="AH12" s="10"/>
    </row>
    <row r="13" spans="1:34" x14ac:dyDescent="0.25">
      <c r="A13" s="10">
        <v>2015</v>
      </c>
      <c r="B13" s="16">
        <f>SUMIFS(P_violacea_Spain_Med!$J:$J, P_violacea_Spain_Med!$B:$B, "&gt;="&amp;DATE(2015,1,1), P_violacea_Spain_Med!$B:$B, "&lt;="&amp;DATE(2015,1,31))</f>
        <v>0</v>
      </c>
      <c r="C13" s="17">
        <f>SUMIFS(P_violacea_Spain_Med!$J:$J, P_violacea_Spain_Med!$B:$B, "&gt;="&amp;DATE(2015,2,1), P_violacea_Spain_Med!$B:$B, "&lt;="&amp;DATE(2015,2,28))</f>
        <v>0</v>
      </c>
      <c r="D13" s="18">
        <f>SUMIFS(P_violacea_Spain_Med!$J:$J, P_violacea_Spain_Med!$B:$B, "&gt;="&amp;DATE(2015,3,1), P_violacea_Spain_Med!$B:$B, "&lt;="&amp;DATE(2015,3,31))</f>
        <v>0</v>
      </c>
      <c r="E13" s="18">
        <f>SUMIFS(P_violacea_Spain_Med!$J:$J, P_violacea_Spain_Med!$B:$B, "&gt;="&amp;DATE(2015,4,1), P_violacea_Spain_Med!$B:$B, "&lt;="&amp;DATE(2015,4,30))</f>
        <v>0</v>
      </c>
      <c r="F13" s="18">
        <f>SUMIFS(P_violacea_Spain_Med!$J:$J, P_violacea_Spain_Med!$B:$B, "&gt;="&amp;DATE(2015,5,1), P_violacea_Spain_Med!$B:$B, "&lt;="&amp;DATE(2015,5,31))</f>
        <v>1</v>
      </c>
      <c r="G13" s="19">
        <f>SUMIFS(P_violacea_Spain_Med!$J:$J, P_violacea_Spain_Med!$B:$B, "&gt;="&amp;DATE(2015,6,1), P_violacea_Spain_Med!$B:$B, "&lt;="&amp;DATE(2015,6,30))</f>
        <v>1</v>
      </c>
      <c r="H13" s="19">
        <f>SUMIFS(P_violacea_Spain_Med!$J:$J, P_violacea_Spain_Med!$B:$B, "&gt;="&amp;DATE(2015,7,1), P_violacea_Spain_Med!$B:$B, "&lt;="&amp;DATE(2015,7,31))</f>
        <v>0</v>
      </c>
      <c r="I13" s="19">
        <f>SUMIFS(P_violacea_Spain_Med!$J:$J, P_violacea_Spain_Med!$B:$B, "&gt;="&amp;DATE(2015,8,1), P_violacea_Spain_Med!$B:$B, "&lt;="&amp;DATE(2015,8,31))</f>
        <v>0</v>
      </c>
      <c r="J13" s="20">
        <f>SUMIFS(P_violacea_Spain_Med!$J:$J, P_violacea_Spain_Med!$B:$B, "&gt;="&amp;DATE(2015,9,1), P_violacea_Spain_Med!$B:$B, "&lt;="&amp;DATE(2015,9,30))</f>
        <v>0</v>
      </c>
      <c r="K13" s="20">
        <f>SUMIFS(P_violacea_Spain_Med!$J:$J, P_violacea_Spain_Med!$B:$B, "&gt;="&amp;DATE(2015,10,1), P_violacea_Spain_Med!$B:$B, "&lt;="&amp;DATE(2015,10,31))</f>
        <v>0</v>
      </c>
      <c r="L13" s="20">
        <f>SUMIFS(P_violacea_Spain_Med!$J:$J, P_violacea_Spain_Med!$B:$B, "&gt;="&amp;DATE(2015,11,1), P_violacea_Spain_Med!$B:$B, "&lt;="&amp;DATE(2015,11,30))</f>
        <v>0</v>
      </c>
      <c r="M13" s="17">
        <f>SUMIFS(P_violacea_Spain_Med!$J:$J, P_violacea_Spain_Med!$B:$B, "&gt;="&amp;DATE(2015,12,1), P_violacea_Spain_Med!$B:$B, "&lt;="&amp;DATE(2015,12,31))</f>
        <v>0</v>
      </c>
      <c r="N13" s="48">
        <f t="shared" si="0"/>
        <v>2</v>
      </c>
      <c r="O13" s="21"/>
      <c r="P13" s="21"/>
      <c r="Q13" s="21"/>
      <c r="R13" s="21"/>
      <c r="S13" s="21"/>
      <c r="T13" s="21"/>
      <c r="U13" s="21"/>
      <c r="V13" s="21"/>
      <c r="W13" s="21"/>
      <c r="X13" s="21"/>
      <c r="Y13" s="21"/>
      <c r="Z13" s="21"/>
      <c r="AA13" s="21"/>
      <c r="AB13" s="21"/>
      <c r="AC13" s="21"/>
      <c r="AD13" s="21"/>
      <c r="AE13" s="21"/>
      <c r="AF13" s="21"/>
      <c r="AG13" s="52"/>
      <c r="AH13" s="10"/>
    </row>
    <row r="14" spans="1:34" x14ac:dyDescent="0.25">
      <c r="A14" s="10">
        <v>2016</v>
      </c>
      <c r="B14" s="16">
        <f>SUMIFS(P_violacea_Spain_Med!$J:$J, P_violacea_Spain_Med!$B:$B, "&gt;="&amp;DATE(2016,1,1), P_violacea_Spain_Med!$B:$B, "&lt;="&amp;DATE(2016,1,31))</f>
        <v>2</v>
      </c>
      <c r="C14" s="17">
        <f>SUMIFS(P_violacea_Spain_Med!$J:$J, P_violacea_Spain_Med!$B:$B, "&gt;="&amp;DATE(2016,2,1), P_violacea_Spain_Med!$B:$B, "&lt;="&amp;DATE(2016,2,29))</f>
        <v>0</v>
      </c>
      <c r="D14" s="18">
        <f>SUMIFS(P_violacea_Spain_Med!$J:$J, P_violacea_Spain_Med!$B:$B, "&gt;="&amp;DATE(2016,3,1), P_violacea_Spain_Med!$B:$B, "&lt;="&amp;DATE(2016,3,31))</f>
        <v>0</v>
      </c>
      <c r="E14" s="18">
        <f>SUMIFS(P_violacea_Spain_Med!$J:$J, P_violacea_Spain_Med!$B:$B, "&gt;="&amp;DATE(2016,4,1), P_violacea_Spain_Med!$B:$B, "&lt;="&amp;DATE(2016,4,30))</f>
        <v>0</v>
      </c>
      <c r="F14" s="18">
        <f>SUMIFS(P_violacea_Spain_Med!$J:$J, P_violacea_Spain_Med!$B:$B, "&gt;="&amp;DATE(2016,5,1), P_violacea_Spain_Med!$B:$B, "&lt;="&amp;DATE(2016,5,31))</f>
        <v>1</v>
      </c>
      <c r="G14" s="19">
        <f>SUMIFS(P_violacea_Spain_Med!$J:$J, P_violacea_Spain_Med!$B:$B, "&gt;="&amp;DATE(2016,6,1), P_violacea_Spain_Med!$B:$B, "&lt;="&amp;DATE(2016,6,30))</f>
        <v>0</v>
      </c>
      <c r="H14" s="19">
        <f>SUMIFS(P_violacea_Spain_Med!$J:$J, P_violacea_Spain_Med!$B:$B, "&gt;="&amp;DATE(2016,7,1), P_violacea_Spain_Med!$B:$B, "&lt;="&amp;DATE(2016,7,31))</f>
        <v>4</v>
      </c>
      <c r="I14" s="19">
        <f>SUMIFS(P_violacea_Spain_Med!$J:$J, P_violacea_Spain_Med!$B:$B, "&gt;="&amp;DATE(2016,8,1), P_violacea_Spain_Med!$B:$B, "&lt;="&amp;DATE(2016,8,31))</f>
        <v>5</v>
      </c>
      <c r="J14" s="20">
        <f>SUMIFS(P_violacea_Spain_Med!$J:$J, P_violacea_Spain_Med!$B:$B, "&gt;="&amp;DATE(2016,9,1), P_violacea_Spain_Med!$B:$B, "&lt;="&amp;DATE(2016,9,30))</f>
        <v>4</v>
      </c>
      <c r="K14" s="20">
        <f>SUMIFS(P_violacea_Spain_Med!$J:$J, P_violacea_Spain_Med!$B:$B, "&gt;="&amp;DATE(2016,10,1), P_violacea_Spain_Med!$B:$B, "&lt;="&amp;DATE(2016,10,31))</f>
        <v>0</v>
      </c>
      <c r="L14" s="20">
        <f>SUMIFS(P_violacea_Spain_Med!$J:$J, P_violacea_Spain_Med!$B:$B, "&gt;="&amp;DATE(2016,11,1), P_violacea_Spain_Med!$B:$B, "&lt;="&amp;DATE(2016,11,30))</f>
        <v>0</v>
      </c>
      <c r="M14" s="17">
        <f>SUMIFS(P_violacea_Spain_Med!$J:$J, P_violacea_Spain_Med!$B:$B, "&gt;="&amp;DATE(2016,12,1), P_violacea_Spain_Med!$B:$B, "&lt;="&amp;DATE(2016,12,31))</f>
        <v>0</v>
      </c>
      <c r="N14" s="48">
        <f t="shared" si="0"/>
        <v>16</v>
      </c>
      <c r="O14" s="21"/>
      <c r="P14" s="21"/>
      <c r="Q14" s="21"/>
      <c r="R14" s="21"/>
      <c r="S14" s="21"/>
      <c r="T14" s="21"/>
      <c r="U14" s="21"/>
      <c r="V14" s="21"/>
      <c r="W14" s="21"/>
      <c r="X14" s="21"/>
      <c r="Y14" s="21"/>
      <c r="Z14" s="21"/>
      <c r="AA14" s="21"/>
      <c r="AB14" s="21"/>
      <c r="AC14" s="21"/>
      <c r="AD14" s="21"/>
      <c r="AE14" s="21"/>
      <c r="AF14" s="21"/>
      <c r="AG14" s="52"/>
      <c r="AH14" s="10"/>
    </row>
    <row r="15" spans="1:34" x14ac:dyDescent="0.25">
      <c r="A15" s="10">
        <v>2017</v>
      </c>
      <c r="B15" s="16">
        <f>SUMIFS(P_violacea_Spain_Med!$J:$J, P_violacea_Spain_Med!$B:$B, "&gt;="&amp;DATE(2017,1,1), P_violacea_Spain_Med!$B:$B, "&lt;="&amp;DATE(2017,1,31))</f>
        <v>0</v>
      </c>
      <c r="C15" s="17">
        <f>SUMIFS(P_violacea_Spain_Med!$J:$J, P_violacea_Spain_Med!$B:$B, "&gt;="&amp;DATE(2017,2,1), P_violacea_Spain_Med!$B:$B, "&lt;="&amp;DATE(2017,2,28))</f>
        <v>0</v>
      </c>
      <c r="D15" s="18">
        <f>SUMIFS(P_violacea_Spain_Med!$J:$J, P_violacea_Spain_Med!$B:$B, "&gt;="&amp;DATE(2017,3,1), P_violacea_Spain_Med!$B:$B, "&lt;="&amp;DATE(2017,3,31))</f>
        <v>0</v>
      </c>
      <c r="E15" s="18">
        <f>SUMIFS(P_violacea_Spain_Med!$J:$J, P_violacea_Spain_Med!$B:$B, "&gt;="&amp;DATE(2017,4,1), P_violacea_Spain_Med!$B:$B, "&lt;="&amp;DATE(2017,4,30))</f>
        <v>0</v>
      </c>
      <c r="F15" s="18">
        <f>SUMIFS(P_violacea_Spain_Med!$J:$J, P_violacea_Spain_Med!$B:$B, "&gt;="&amp;DATE(2017,5,1), P_violacea_Spain_Med!$B:$B, "&lt;="&amp;DATE(2017,5,31))</f>
        <v>0</v>
      </c>
      <c r="G15" s="19">
        <f>SUMIFS(P_violacea_Spain_Med!$J:$J, P_violacea_Spain_Med!$B:$B, "&gt;="&amp;DATE(2017,6,1), P_violacea_Spain_Med!$B:$B, "&lt;="&amp;DATE(2017,6,30))</f>
        <v>1</v>
      </c>
      <c r="H15" s="19">
        <f>SUMIFS(P_violacea_Spain_Med!$J:$J, P_violacea_Spain_Med!$B:$B, "&gt;="&amp;DATE(2017,7,1), P_violacea_Spain_Med!$B:$B, "&lt;="&amp;DATE(2017,7,31))</f>
        <v>1</v>
      </c>
      <c r="I15" s="19">
        <f>SUMIFS(P_violacea_Spain_Med!$J:$J, P_violacea_Spain_Med!$B:$B, "&gt;="&amp;DATE(2017,8,1), P_violacea_Spain_Med!$B:$B, "&lt;="&amp;DATE(2017,8,31))</f>
        <v>4</v>
      </c>
      <c r="J15" s="20">
        <f>SUMIFS(P_violacea_Spain_Med!$J:$J, P_violacea_Spain_Med!$B:$B, "&gt;="&amp;DATE(2017,9,1), P_violacea_Spain_Med!$B:$B, "&lt;="&amp;DATE(2017,9,30))</f>
        <v>0</v>
      </c>
      <c r="K15" s="20">
        <f>SUMIFS(P_violacea_Spain_Med!$J:$J, P_violacea_Spain_Med!$B:$B, "&gt;="&amp;DATE(2017,10,1), P_violacea_Spain_Med!$B:$B, "&lt;="&amp;DATE(2017,10,31))</f>
        <v>0</v>
      </c>
      <c r="L15" s="20">
        <f>SUMIFS(P_violacea_Spain_Med!$J:$J, P_violacea_Spain_Med!$B:$B, "&gt;="&amp;DATE(2017,11,1), P_violacea_Spain_Med!$B:$B, "&lt;="&amp;DATE(2017,11,30))</f>
        <v>0</v>
      </c>
      <c r="M15" s="17">
        <f>SUMIFS(P_violacea_Spain_Med!$J:$J, P_violacea_Spain_Med!$B:$B, "&gt;="&amp;DATE(2017,12,1), P_violacea_Spain_Med!$B:$B, "&lt;="&amp;DATE(2017,12,31))</f>
        <v>0</v>
      </c>
      <c r="N15" s="48">
        <f t="shared" si="0"/>
        <v>6</v>
      </c>
      <c r="O15" s="21"/>
      <c r="P15" s="21"/>
      <c r="Q15" s="21"/>
      <c r="R15" s="21"/>
      <c r="S15" s="21"/>
      <c r="T15" s="21"/>
      <c r="U15" s="21"/>
      <c r="V15" s="21"/>
      <c r="W15" s="21"/>
      <c r="X15" s="21"/>
      <c r="Y15" s="21"/>
      <c r="Z15" s="21"/>
      <c r="AA15" s="21"/>
      <c r="AB15" s="21"/>
      <c r="AC15" s="21"/>
      <c r="AD15" s="21"/>
      <c r="AE15" s="21"/>
      <c r="AF15" s="21"/>
      <c r="AG15" s="52"/>
      <c r="AH15" s="10"/>
    </row>
    <row r="16" spans="1:34" x14ac:dyDescent="0.25">
      <c r="A16" s="10">
        <v>2018</v>
      </c>
      <c r="B16" s="16">
        <f>SUMIFS(P_violacea_Spain_Med!$J:$J, P_violacea_Spain_Med!$B:$B, "&gt;="&amp;DATE(2018,1,1), P_violacea_Spain_Med!$B:$B, "&lt;="&amp;DATE(2018,1,31))</f>
        <v>0</v>
      </c>
      <c r="C16" s="17">
        <f>SUMIFS(P_violacea_Spain_Med!$J:$J, P_violacea_Spain_Med!$B:$B, "&gt;="&amp;DATE(2018,2,1), P_violacea_Spain_Med!$B:$B, "&lt;="&amp;DATE(2018,2,28))</f>
        <v>0</v>
      </c>
      <c r="D16" s="18">
        <f>SUMIFS(P_violacea_Spain_Med!$J:$J, P_violacea_Spain_Med!$B:$B, "&gt;="&amp;DATE(2018,3,1), P_violacea_Spain_Med!$B:$B, "&lt;="&amp;DATE(2018,3,31))</f>
        <v>0</v>
      </c>
      <c r="E16" s="18">
        <f>SUMIFS(P_violacea_Spain_Med!$J:$J, P_violacea_Spain_Med!$B:$B, "&gt;="&amp;DATE(2018,4,1), P_violacea_Spain_Med!$B:$B, "&lt;="&amp;DATE(2018,4,30))</f>
        <v>22</v>
      </c>
      <c r="F16" s="18">
        <f>SUMIFS(P_violacea_Spain_Med!$J:$J, P_violacea_Spain_Med!$B:$B, "&gt;="&amp;DATE(2018,5,1), P_violacea_Spain_Med!$B:$B, "&lt;="&amp;DATE(2018,5,31))</f>
        <v>10</v>
      </c>
      <c r="G16" s="19">
        <f>SUMIFS(P_violacea_Spain_Med!$J:$J, P_violacea_Spain_Med!$B:$B, "&gt;="&amp;DATE(2018,6,1), P_violacea_Spain_Med!$B:$B, "&lt;="&amp;DATE(2018,6,30))</f>
        <v>1</v>
      </c>
      <c r="H16" s="19">
        <f>SUMIFS(P_violacea_Spain_Med!$J:$J, P_violacea_Spain_Med!$B:$B, "&gt;="&amp;DATE(2018,7,1), P_violacea_Spain_Med!$B:$B, "&lt;="&amp;DATE(2018,7,31))</f>
        <v>12</v>
      </c>
      <c r="I16" s="19">
        <f>SUMIFS(P_violacea_Spain_Med!$J:$J, P_violacea_Spain_Med!$B:$B, "&gt;="&amp;DATE(2018,8,1), P_violacea_Spain_Med!$B:$B, "&lt;="&amp;DATE(2018,8,31))</f>
        <v>71</v>
      </c>
      <c r="J16" s="20">
        <f>SUMIFS(P_violacea_Spain_Med!$J:$J, P_violacea_Spain_Med!$B:$B, "&gt;="&amp;DATE(2018,9,1), P_violacea_Spain_Med!$B:$B, "&lt;="&amp;DATE(2018,9,30))</f>
        <v>5</v>
      </c>
      <c r="K16" s="20">
        <f>SUMIFS(P_violacea_Spain_Med!$J:$J, P_violacea_Spain_Med!$B:$B, "&gt;="&amp;DATE(2018,10,1), P_violacea_Spain_Med!$B:$B, "&lt;="&amp;DATE(2018,10,31))</f>
        <v>0</v>
      </c>
      <c r="L16" s="20">
        <f>SUMIFS(P_violacea_Spain_Med!$J:$J, P_violacea_Spain_Med!$B:$B, "&gt;="&amp;DATE(2018,11,1), P_violacea_Spain_Med!$B:$B, "&lt;="&amp;DATE(2018,11,30))</f>
        <v>19</v>
      </c>
      <c r="M16" s="17">
        <f>SUMIFS(P_violacea_Spain_Med!$J:$J, P_violacea_Spain_Med!$B:$B, "&gt;="&amp;DATE(2018,12,1), P_violacea_Spain_Med!$B:$B, "&lt;="&amp;DATE(2018,12,31))</f>
        <v>0</v>
      </c>
      <c r="N16" s="48">
        <f t="shared" si="0"/>
        <v>140</v>
      </c>
      <c r="O16" s="21"/>
      <c r="P16" s="21"/>
      <c r="Q16" s="21"/>
      <c r="R16" s="21"/>
      <c r="S16" s="21"/>
      <c r="T16" s="21"/>
      <c r="U16" s="21"/>
      <c r="V16" s="21"/>
      <c r="W16" s="21"/>
      <c r="X16" s="21"/>
      <c r="Y16" s="21"/>
      <c r="Z16" s="21"/>
      <c r="AA16" s="21"/>
      <c r="AB16" s="21"/>
      <c r="AC16" s="21"/>
      <c r="AD16" s="21"/>
      <c r="AE16" s="21"/>
      <c r="AF16" s="21"/>
      <c r="AG16" s="52"/>
      <c r="AH16" s="10"/>
    </row>
    <row r="17" spans="1:34" x14ac:dyDescent="0.25">
      <c r="A17" s="10">
        <v>2019</v>
      </c>
      <c r="B17" s="16">
        <f>SUMIFS(P_violacea_Spain_Med!$J:$J, P_violacea_Spain_Med!$B:$B, "&gt;="&amp;DATE(2019,1,1), P_violacea_Spain_Med!$B:$B, "&lt;="&amp;DATE(2019,1,31))</f>
        <v>1</v>
      </c>
      <c r="C17" s="17">
        <f>SUMIFS(P_violacea_Spain_Med!$J:$J, P_violacea_Spain_Med!$B:$B, "&gt;="&amp;DATE(2019,2,1), P_violacea_Spain_Med!$B:$B, "&lt;="&amp;DATE(2019,2,28))</f>
        <v>0</v>
      </c>
      <c r="D17" s="18">
        <f>SUMIFS(P_violacea_Spain_Med!$J:$J, P_violacea_Spain_Med!$B:$B, "&gt;="&amp;DATE(2019,3,1), P_violacea_Spain_Med!$B:$B, "&lt;="&amp;DATE(2019,3,31))</f>
        <v>0</v>
      </c>
      <c r="E17" s="18">
        <f>SUMIFS(P_violacea_Spain_Med!$J:$J, P_violacea_Spain_Med!$B:$B, "&gt;="&amp;DATE(2019,4,1), P_violacea_Spain_Med!$B:$B, "&lt;="&amp;DATE(2019,4,30))</f>
        <v>0</v>
      </c>
      <c r="F17" s="18">
        <f>SUMIFS(P_violacea_Spain_Med!$J:$J, P_violacea_Spain_Med!$B:$B, "&gt;="&amp;DATE(2019,5,1), P_violacea_Spain_Med!$B:$B, "&lt;="&amp;DATE(2019,5,31))</f>
        <v>0</v>
      </c>
      <c r="G17" s="19">
        <f>SUMIFS(P_violacea_Spain_Med!$J:$J, P_violacea_Spain_Med!$B:$B, "&gt;="&amp;DATE(2019,6,1), P_violacea_Spain_Med!$B:$B, "&lt;="&amp;DATE(2019,6,30))</f>
        <v>1</v>
      </c>
      <c r="H17" s="19">
        <f>SUMIFS(P_violacea_Spain_Med!$J:$J, P_violacea_Spain_Med!$B:$B, "&gt;="&amp;DATE(2019,7,1), P_violacea_Spain_Med!$B:$B, "&lt;="&amp;DATE(2019,7,31))</f>
        <v>4</v>
      </c>
      <c r="I17" s="19">
        <f>SUMIFS(P_violacea_Spain_Med!$J:$J, P_violacea_Spain_Med!$B:$B, "&gt;="&amp;DATE(2019,8,1), P_violacea_Spain_Med!$B:$B, "&lt;="&amp;DATE(2019,8,31))</f>
        <v>8</v>
      </c>
      <c r="J17" s="20">
        <f>SUMIFS(P_violacea_Spain_Med!$J:$J, P_violacea_Spain_Med!$B:$B, "&gt;="&amp;DATE(2019,9,1), P_violacea_Spain_Med!$B:$B, "&lt;="&amp;DATE(2019,9,30))</f>
        <v>0</v>
      </c>
      <c r="K17" s="20">
        <f>SUMIFS(P_violacea_Spain_Med!$J:$J, P_violacea_Spain_Med!$B:$B, "&gt;="&amp;DATE(2019,10,1), P_violacea_Spain_Med!$B:$B, "&lt;="&amp;DATE(2019,10,31))</f>
        <v>0</v>
      </c>
      <c r="L17" s="20">
        <f>SUMIFS(P_violacea_Spain_Med!$J:$J, P_violacea_Spain_Med!$B:$B, "&gt;="&amp;DATE(2019,11,1), P_violacea_Spain_Med!$B:$B, "&lt;="&amp;DATE(2019,11,30))</f>
        <v>0</v>
      </c>
      <c r="M17" s="17">
        <f>SUMIFS(P_violacea_Spain_Med!$J:$J, P_violacea_Spain_Med!$B:$B, "&gt;="&amp;DATE(2019,12,1), P_violacea_Spain_Med!$B:$B, "&lt;="&amp;DATE(2019,12,31))</f>
        <v>0</v>
      </c>
      <c r="N17" s="48">
        <f t="shared" si="0"/>
        <v>14</v>
      </c>
      <c r="O17" s="21"/>
      <c r="P17" s="21"/>
      <c r="Q17" s="21"/>
      <c r="R17" s="21"/>
      <c r="S17" s="21"/>
      <c r="T17" s="21"/>
      <c r="U17" s="21"/>
      <c r="V17" s="21"/>
      <c r="W17" s="21"/>
      <c r="X17" s="21"/>
      <c r="Y17" s="21"/>
      <c r="Z17" s="21"/>
      <c r="AA17" s="21"/>
      <c r="AB17" s="21"/>
      <c r="AC17" s="21"/>
      <c r="AD17" s="21"/>
      <c r="AE17" s="21"/>
      <c r="AF17" s="21"/>
      <c r="AG17" s="52"/>
      <c r="AH17" s="10"/>
    </row>
    <row r="18" spans="1:34" x14ac:dyDescent="0.25">
      <c r="A18" s="10">
        <v>2020</v>
      </c>
      <c r="B18" s="16">
        <f>SUMIFS(P_violacea_Spain_Med!$J:$J, P_violacea_Spain_Med!$B:$B, "&gt;="&amp;DATE(2020,1,1), P_violacea_Spain_Med!$B:$B, "&lt;="&amp;DATE(2020,1,31))</f>
        <v>0</v>
      </c>
      <c r="C18" s="17">
        <f>SUMIFS(P_violacea_Spain_Med!$J:$J, P_violacea_Spain_Med!$B:$B, "&gt;="&amp;DATE(2020,2,1), P_violacea_Spain_Med!$B:$B, "&lt;="&amp;DATE(2020,2,29))</f>
        <v>0</v>
      </c>
      <c r="D18" s="18">
        <f>SUMIFS(P_violacea_Spain_Med!$J:$J, P_violacea_Spain_Med!$B:$B, "&gt;="&amp;DATE(2020,3,1), P_violacea_Spain_Med!$B:$B, "&lt;="&amp;DATE(2020,3,31))</f>
        <v>0</v>
      </c>
      <c r="E18" s="18">
        <f>SUMIFS(P_violacea_Spain_Med!$J:$J, P_violacea_Spain_Med!$B:$B, "&gt;="&amp;DATE(2020,4,1), P_violacea_Spain_Med!$B:$B, "&lt;="&amp;DATE(2020,4,30))</f>
        <v>1</v>
      </c>
      <c r="F18" s="18">
        <f>SUMIFS(P_violacea_Spain_Med!$J:$J, P_violacea_Spain_Med!$B:$B, "&gt;="&amp;DATE(2020,5,1), P_violacea_Spain_Med!$B:$B, "&lt;="&amp;DATE(2020,5,31))</f>
        <v>1</v>
      </c>
      <c r="G18" s="19">
        <f>SUMIFS(P_violacea_Spain_Med!$J:$J, P_violacea_Spain_Med!$B:$B, "&gt;="&amp;DATE(2020,6,1), P_violacea_Spain_Med!$B:$B, "&lt;="&amp;DATE(2020,6,30))</f>
        <v>21</v>
      </c>
      <c r="H18" s="19">
        <f>SUMIFS(P_violacea_Spain_Med!$J:$J, P_violacea_Spain_Med!$B:$B, "&gt;="&amp;DATE(2020,7,1), P_violacea_Spain_Med!$B:$B, "&lt;="&amp;DATE(2020,7,31))</f>
        <v>44</v>
      </c>
      <c r="I18" s="19">
        <f>SUMIFS(P_violacea_Spain_Med!$J:$J, P_violacea_Spain_Med!$B:$B, "&gt;="&amp;DATE(2020,8,1), P_violacea_Spain_Med!$B:$B, "&lt;="&amp;DATE(2020,8,31))</f>
        <v>6</v>
      </c>
      <c r="J18" s="20">
        <f>SUMIFS(P_violacea_Spain_Med!$J:$J, P_violacea_Spain_Med!$B:$B, "&gt;="&amp;DATE(2020,9,1), P_violacea_Spain_Med!$B:$B, "&lt;="&amp;DATE(2020,9,30))</f>
        <v>3</v>
      </c>
      <c r="K18" s="20">
        <f>SUMIFS(P_violacea_Spain_Med!$J:$J, P_violacea_Spain_Med!$B:$B, "&gt;="&amp;DATE(2020,10,1), P_violacea_Spain_Med!$B:$B, "&lt;="&amp;DATE(2020,10,31))</f>
        <v>0</v>
      </c>
      <c r="L18" s="20">
        <f>SUMIFS(P_violacea_Spain_Med!$J:$J, P_violacea_Spain_Med!$B:$B, "&gt;="&amp;DATE(2020,11,1), P_violacea_Spain_Med!$B:$B, "&lt;="&amp;DATE(2020,11,30))</f>
        <v>0</v>
      </c>
      <c r="M18" s="17">
        <f>SUMIFS(P_violacea_Spain_Med!$J:$J, P_violacea_Spain_Med!$B:$B, "&gt;="&amp;DATE(2020,12,1), P_violacea_Spain_Med!$B:$B, "&lt;="&amp;DATE(2020,12,31))</f>
        <v>1</v>
      </c>
      <c r="N18" s="48">
        <f t="shared" si="0"/>
        <v>77</v>
      </c>
      <c r="O18" s="21"/>
      <c r="P18" s="21"/>
      <c r="Q18" s="21"/>
      <c r="R18" s="21"/>
      <c r="S18" s="21"/>
      <c r="T18" s="21"/>
      <c r="U18" s="21"/>
      <c r="V18" s="21"/>
      <c r="W18" s="21"/>
      <c r="X18" s="21"/>
      <c r="Y18" s="21"/>
      <c r="Z18" s="21"/>
      <c r="AA18" s="21"/>
      <c r="AB18" s="21"/>
      <c r="AC18" s="21"/>
      <c r="AD18" s="21"/>
      <c r="AE18" s="21"/>
      <c r="AF18" s="21"/>
      <c r="AG18" s="52"/>
      <c r="AH18" s="10"/>
    </row>
    <row r="19" spans="1:34" x14ac:dyDescent="0.25">
      <c r="A19" s="10">
        <v>2021</v>
      </c>
      <c r="B19" s="16">
        <f>SUMIFS(P_violacea_Spain_Med!$J:$J, P_violacea_Spain_Med!$B:$B, "&gt;="&amp;DATE(2021,1,1), P_violacea_Spain_Med!$B:$B, "&lt;="&amp;DATE(2021,1,31))</f>
        <v>0</v>
      </c>
      <c r="C19" s="17">
        <f>SUMIFS(P_violacea_Spain_Med!$J:$J, P_violacea_Spain_Med!$B:$B, "&gt;="&amp;DATE(2021,2,1), P_violacea_Spain_Med!$B:$B, "&lt;="&amp;DATE(2021,2,20))</f>
        <v>0</v>
      </c>
      <c r="D19" s="18">
        <f>SUMIFS(P_violacea_Spain_Med!$J:$J, P_violacea_Spain_Med!$B:$B, "&gt;="&amp;DATE(2021,3,1), P_violacea_Spain_Med!$B:$B, "&lt;="&amp;DATE(2021,3,31))</f>
        <v>0</v>
      </c>
      <c r="E19" s="18">
        <f>SUMIFS(P_violacea_Spain_Med!$J:$J, P_violacea_Spain_Med!$B:$B, "&gt;="&amp;DATE(2021,4,1), P_violacea_Spain_Med!$B:$B, "&lt;="&amp;DATE(2021,4,30))</f>
        <v>0</v>
      </c>
      <c r="F19" s="18">
        <f>SUMIFS(P_violacea_Spain_Med!$J:$J, P_violacea_Spain_Med!$B:$B, "&gt;="&amp;DATE(2021,5,1), P_violacea_Spain_Med!$B:$B, "&lt;="&amp;DATE(2021,5,31))</f>
        <v>0</v>
      </c>
      <c r="G19" s="19">
        <f>SUMIFS(P_violacea_Spain_Med!$J:$J, P_violacea_Spain_Med!$B:$B, "&gt;="&amp;DATE(2021,6,1), P_violacea_Spain_Med!$B:$B, "&lt;="&amp;DATE(2021,6,30))</f>
        <v>7</v>
      </c>
      <c r="H19" s="19">
        <f>SUMIFS(P_violacea_Spain_Med!$J:$J, P_violacea_Spain_Med!$B:$B, "&gt;="&amp;DATE(2021,7,1), P_violacea_Spain_Med!$B:$B, "&lt;="&amp;DATE(2021,7,31))</f>
        <v>7</v>
      </c>
      <c r="I19" s="19">
        <f>SUMIFS(P_violacea_Spain_Med!$J:$J, P_violacea_Spain_Med!$B:$B, "&gt;="&amp;DATE(2021,8,1), P_violacea_Spain_Med!$B:$B, "&lt;="&amp;DATE(2021,8,31))</f>
        <v>1</v>
      </c>
      <c r="J19" s="20">
        <f>SUMIFS(P_violacea_Spain_Med!$J:$J, P_violacea_Spain_Med!$B:$B, "&gt;="&amp;DATE(2021,9,1), P_violacea_Spain_Med!$B:$B, "&lt;="&amp;DATE(2021,9,30))</f>
        <v>0</v>
      </c>
      <c r="K19" s="20">
        <f>SUMIFS(P_violacea_Spain_Med!$J:$J, P_violacea_Spain_Med!$B:$B, "&gt;="&amp;DATE(2021,10,1), P_violacea_Spain_Med!$B:$B, "&lt;="&amp;DATE(2021,10,31))</f>
        <v>1</v>
      </c>
      <c r="L19" s="20">
        <f>SUMIFS(P_violacea_Spain_Med!$J:$J, P_violacea_Spain_Med!$B:$B, "&gt;="&amp;DATE(2021,11,1), P_violacea_Spain_Med!$B:$B, "&lt;="&amp;DATE(2021,11,30))</f>
        <v>0</v>
      </c>
      <c r="M19" s="17">
        <f>SUMIFS(P_violacea_Spain_Med!$J:$J, P_violacea_Spain_Med!$B:$B, "&gt;="&amp;DATE(2021,12,1), P_violacea_Spain_Med!$B:$B, "&lt;="&amp;DATE(2021,12,31))</f>
        <v>0</v>
      </c>
      <c r="N19" s="48">
        <f t="shared" si="0"/>
        <v>16</v>
      </c>
      <c r="O19" s="21"/>
      <c r="P19" s="21"/>
      <c r="Q19" s="21"/>
      <c r="R19" s="21"/>
      <c r="S19" s="21"/>
      <c r="T19" s="21"/>
      <c r="U19" s="21"/>
      <c r="V19" s="21"/>
      <c r="W19" s="21"/>
      <c r="X19" s="21"/>
      <c r="Y19" s="21"/>
      <c r="Z19" s="21"/>
      <c r="AA19" s="21"/>
      <c r="AB19" s="21"/>
      <c r="AC19" s="21"/>
      <c r="AD19" s="21"/>
      <c r="AE19" s="21"/>
      <c r="AF19" s="21"/>
      <c r="AG19" s="52"/>
      <c r="AH19" s="10"/>
    </row>
    <row r="20" spans="1:34" x14ac:dyDescent="0.25">
      <c r="A20" s="10">
        <v>2022</v>
      </c>
      <c r="B20" s="16">
        <f>SUMIFS(P_violacea_Spain_Med!$J:$J, P_violacea_Spain_Med!$B:$B, "&gt;="&amp;DATE(2022,1,1), P_violacea_Spain_Med!$B:$B, "&lt;="&amp;DATE(2022,1,31))</f>
        <v>0</v>
      </c>
      <c r="C20" s="17">
        <f>SUMIFS(P_violacea_Spain_Med!$J:$J, P_violacea_Spain_Med!$B:$B, "&gt;="&amp;DATE(2022,2,1), P_violacea_Spain_Med!$B:$B, "&lt;="&amp;DATE(2022,2,20))</f>
        <v>0</v>
      </c>
      <c r="D20" s="18">
        <f>SUMIFS(P_violacea_Spain_Med!$J:$J, P_violacea_Spain_Med!$B:$B, "&gt;="&amp;DATE(2022,3,1), P_violacea_Spain_Med!$B:$B, "&lt;="&amp;DATE(2022,3,31))</f>
        <v>1</v>
      </c>
      <c r="E20" s="18">
        <f>SUMIFS(P_violacea_Spain_Med!$J:$J, P_violacea_Spain_Med!$B:$B, "&gt;="&amp;DATE(2022,4,1), P_violacea_Spain_Med!$B:$B, "&lt;="&amp;DATE(2022,4,30))</f>
        <v>0</v>
      </c>
      <c r="F20" s="18">
        <f>SUMIFS(P_violacea_Spain_Med!$J:$J, P_violacea_Spain_Med!$B:$B, "&gt;="&amp;DATE(2022,5,1), P_violacea_Spain_Med!$B:$B, "&lt;="&amp;DATE(2022,5,31))</f>
        <v>0</v>
      </c>
      <c r="G20" s="19">
        <f>SUMIFS(P_violacea_Spain_Med!$J:$J, P_violacea_Spain_Med!$B:$B, "&gt;="&amp;DATE(2022,6,1), P_violacea_Spain_Med!$B:$B, "&lt;="&amp;DATE(2022,6,30))</f>
        <v>0</v>
      </c>
      <c r="H20" s="19">
        <f>SUMIFS(P_violacea_Spain_Med!$J:$J, P_violacea_Spain_Med!$B:$B, "&gt;="&amp;DATE(2022,7,1), P_violacea_Spain_Med!$B:$B, "&lt;="&amp;DATE(2022,7,31))</f>
        <v>12</v>
      </c>
      <c r="I20" s="19">
        <f>SUMIFS(P_violacea_Spain_Med!$J:$J, P_violacea_Spain_Med!$B:$B, "&gt;="&amp;DATE(2022,8,1), P_violacea_Spain_Med!$B:$B, "&lt;="&amp;DATE(2022,8,31))</f>
        <v>14</v>
      </c>
      <c r="J20" s="20">
        <f>SUMIFS(P_violacea_Spain_Med!$J:$J, P_violacea_Spain_Med!$B:$B, "&gt;="&amp;DATE(2022,9,1), P_violacea_Spain_Med!$B:$B, "&lt;="&amp;DATE(2022,9,30))</f>
        <v>1</v>
      </c>
      <c r="K20" s="20">
        <f>SUMIFS(P_violacea_Spain_Med!$J:$J, P_violacea_Spain_Med!$B:$B, "&gt;="&amp;DATE(2022,10,1), P_violacea_Spain_Med!$B:$B, "&lt;="&amp;DATE(2022,10,31))</f>
        <v>0</v>
      </c>
      <c r="L20" s="20">
        <f>SUMIFS(P_violacea_Spain_Med!$J:$J, P_violacea_Spain_Med!$B:$B, "&gt;="&amp;DATE(2022,11,1), P_violacea_Spain_Med!$B:$B, "&lt;="&amp;DATE(2022,11,30))</f>
        <v>1</v>
      </c>
      <c r="M20" s="17">
        <f>SUMIFS(P_violacea_Spain_Med!$J:$J, P_violacea_Spain_Med!$B:$B, "&gt;="&amp;DATE(2022,12,1), P_violacea_Spain_Med!$B:$B, "&lt;="&amp;DATE(2022,12,31))</f>
        <v>1</v>
      </c>
      <c r="N20" s="48">
        <f t="shared" si="0"/>
        <v>30</v>
      </c>
      <c r="O20" s="21"/>
      <c r="P20" s="21"/>
      <c r="Q20" s="21"/>
      <c r="R20" s="21"/>
      <c r="S20" s="21"/>
      <c r="T20" s="21"/>
      <c r="U20" s="21"/>
      <c r="V20" s="21"/>
      <c r="W20" s="21"/>
      <c r="X20" s="21"/>
      <c r="Y20" s="21"/>
      <c r="Z20" s="21"/>
      <c r="AA20" s="21"/>
      <c r="AB20" s="21"/>
      <c r="AC20" s="21"/>
      <c r="AD20" s="21"/>
      <c r="AE20" s="21"/>
      <c r="AF20" s="21"/>
      <c r="AG20" s="52"/>
      <c r="AH20" s="10"/>
    </row>
    <row r="21" spans="1:34" x14ac:dyDescent="0.25">
      <c r="A21" s="10">
        <v>2023</v>
      </c>
      <c r="B21" s="16">
        <f>SUMIFS(P_violacea_Spain_Med!$J:$J, P_violacea_Spain_Med!$B:$B, "&gt;="&amp;DATE(2023,1,1), P_violacea_Spain_Med!$B:$B, "&lt;="&amp;DATE(2023,1,31))</f>
        <v>0</v>
      </c>
      <c r="C21" s="17">
        <f>SUMIFS(P_violacea_Spain_Med!$J:$J, P_violacea_Spain_Med!$B:$B, "&gt;="&amp;DATE(2023,2,1), P_violacea_Spain_Med!$B:$B, "&lt;="&amp;DATE(2023,2,20))</f>
        <v>0</v>
      </c>
      <c r="D21" s="18">
        <f>SUMIFS(P_violacea_Spain_Med!$J:$J, P_violacea_Spain_Med!$B:$B, "&gt;="&amp;DATE(2023,3,1), P_violacea_Spain_Med!$B:$B, "&lt;="&amp;DATE(2023,3,31))</f>
        <v>0</v>
      </c>
      <c r="E21" s="18">
        <f>SUMIFS(P_violacea_Spain_Med!$J:$J, P_violacea_Spain_Med!$B:$B, "&gt;="&amp;DATE(2023,4,1), P_violacea_Spain_Med!$B:$B, "&lt;="&amp;DATE(2023,4,30))</f>
        <v>0</v>
      </c>
      <c r="F21" s="18">
        <f>SUMIFS(P_violacea_Spain_Med!$J:$J, P_violacea_Spain_Med!$B:$B, "&gt;="&amp;DATE(2023,5,1), P_violacea_Spain_Med!$B:$B, "&lt;="&amp;DATE(2023,5,31))</f>
        <v>0</v>
      </c>
      <c r="G21" s="19">
        <f>SUMIFS(P_violacea_Spain_Med!$J:$J, P_violacea_Spain_Med!$B:$B, "&gt;="&amp;DATE(2023,6,1), P_violacea_Spain_Med!$B:$B, "&lt;="&amp;DATE(2023,6,30))</f>
        <v>0</v>
      </c>
      <c r="H21" s="19">
        <f>SUMIFS(P_violacea_Spain_Med!$J:$J, P_violacea_Spain_Med!$B:$B, "&gt;="&amp;DATE(2023,7,1), P_violacea_Spain_Med!$B:$B, "&lt;="&amp;DATE(2023,7,31))</f>
        <v>4</v>
      </c>
      <c r="I21" s="19">
        <f>SUMIFS(P_violacea_Spain_Med!$J:$J, P_violacea_Spain_Med!$B:$B, "&gt;="&amp;DATE(2023,8,1), P_violacea_Spain_Med!$B:$B, "&lt;="&amp;DATE(2023,8,31))</f>
        <v>8</v>
      </c>
      <c r="J21" s="20">
        <f>SUMIFS(P_violacea_Spain_Med!$J:$J, P_violacea_Spain_Med!$B:$B, "&gt;="&amp;DATE(2023,9,1), P_violacea_Spain_Med!$B:$B, "&lt;="&amp;DATE(2023,9,30))</f>
        <v>1</v>
      </c>
      <c r="K21" s="20">
        <f>SUMIFS(P_violacea_Spain_Med!$J:$J, P_violacea_Spain_Med!$B:$B, "&gt;="&amp;DATE(2023,10,1), P_violacea_Spain_Med!$B:$B, "&lt;="&amp;DATE(2023,10,31))</f>
        <v>1</v>
      </c>
      <c r="L21" s="20">
        <f>SUMIFS(P_violacea_Spain_Med!$J:$J, P_violacea_Spain_Med!$B:$B, "&gt;="&amp;DATE(2023,11,1), P_violacea_Spain_Med!$B:$B, "&lt;="&amp;DATE(2023,11,30))</f>
        <v>0</v>
      </c>
      <c r="M21" s="17">
        <f>SUMIFS(P_violacea_Spain_Med!$J:$J, P_violacea_Spain_Med!$B:$B, "&gt;="&amp;DATE(2023,12,1), P_violacea_Spain_Med!$B:$B, "&lt;="&amp;DATE(2023,12,31))</f>
        <v>0</v>
      </c>
      <c r="N21" s="48">
        <f t="shared" si="0"/>
        <v>14</v>
      </c>
      <c r="O21" s="21"/>
      <c r="P21" s="21"/>
      <c r="Q21" s="21"/>
      <c r="R21" s="21"/>
      <c r="S21" s="21"/>
      <c r="T21" s="21"/>
      <c r="U21" s="21"/>
      <c r="V21" s="21"/>
      <c r="W21" s="21"/>
      <c r="X21" s="21"/>
      <c r="Y21" s="21"/>
      <c r="Z21" s="21"/>
      <c r="AA21" s="21"/>
      <c r="AB21" s="21"/>
      <c r="AC21" s="21"/>
      <c r="AD21" s="21"/>
      <c r="AE21" s="21"/>
      <c r="AF21" s="21"/>
      <c r="AG21" s="52"/>
      <c r="AH21" s="10"/>
    </row>
    <row r="22" spans="1:34" x14ac:dyDescent="0.25">
      <c r="A22" s="10">
        <v>2024</v>
      </c>
      <c r="B22" s="16">
        <f>SUMIFS(P_violacea_Spain_Med!$J:$J, P_violacea_Spain_Med!$B:$B, "&gt;="&amp;DATE(2024,1,1), P_violacea_Spain_Med!$B:$B, "&lt;="&amp;DATE(2024,1,31))</f>
        <v>0</v>
      </c>
      <c r="C22" s="17">
        <f>SUMIFS(P_violacea_Spain_Med!$J:$J, P_violacea_Spain_Med!$B:$B, "&gt;="&amp;DATE(2024,2,1), P_violacea_Spain_Med!$B:$B, "&lt;="&amp;DATE(2024,2,29))</f>
        <v>0</v>
      </c>
      <c r="D22" s="18">
        <f>SUMIFS(P_violacea_Spain_Med!$J:$J, P_violacea_Spain_Med!$B:$B, "&gt;="&amp;DATE(2024,3,1), P_violacea_Spain_Med!$B:$B, "&lt;="&amp;DATE(2024,3,31))</f>
        <v>0</v>
      </c>
      <c r="E22" s="18">
        <f>SUMIFS(P_violacea_Spain_Med!$J:$J, P_violacea_Spain_Med!$B:$B, "&gt;="&amp;DATE(2024,4,1), P_violacea_Spain_Med!$B:$B, "&lt;="&amp;DATE(2024,4,30))</f>
        <v>2</v>
      </c>
      <c r="F22" s="18">
        <f>SUMIFS(P_violacea_Spain_Med!$J:$J, P_violacea_Spain_Med!$B:$B, "&gt;="&amp;DATE(2024,5,1), P_violacea_Spain_Med!$B:$B, "&lt;="&amp;DATE(2024,5,31))</f>
        <v>2</v>
      </c>
      <c r="G22" s="19">
        <f>SUMIFS(P_violacea_Spain_Med!$J:$J, P_violacea_Spain_Med!$B:$B, "&gt;="&amp;DATE(2024,6,1), P_violacea_Spain_Med!$B:$B, "&lt;="&amp;DATE(2024,6,30))</f>
        <v>4</v>
      </c>
      <c r="H22" s="19">
        <f>SUMIFS(P_violacea_Spain_Med!$J:$J, P_violacea_Spain_Med!$B:$B, "&gt;="&amp;DATE(2024,7,1), P_violacea_Spain_Med!$B:$B, "&lt;="&amp;DATE(2024,7,31))</f>
        <v>40</v>
      </c>
      <c r="I22" s="19">
        <f>SUMIFS(P_violacea_Spain_Med!$J:$J, P_violacea_Spain_Med!$B:$B, "&gt;="&amp;DATE(2024,8,1), P_violacea_Spain_Med!$B:$B, "&lt;="&amp;DATE(2024,8,31))</f>
        <v>28</v>
      </c>
      <c r="J22" s="20">
        <f>SUMIFS(P_violacea_Spain_Med!$J:$J, P_violacea_Spain_Med!$B:$B, "&gt;="&amp;DATE(2024,9,1), P_violacea_Spain_Med!$B:$B, "&lt;="&amp;DATE(2024,9,30))</f>
        <v>4</v>
      </c>
      <c r="K22" s="20">
        <f>SUMIFS(P_violacea_Spain_Med!$J:$J, P_violacea_Spain_Med!$B:$B, "&gt;="&amp;DATE(2024,10,1), P_violacea_Spain_Med!$B:$B, "&lt;="&amp;DATE(2024,10,31))</f>
        <v>1</v>
      </c>
      <c r="L22" s="20">
        <f>SUMIFS(P_violacea_Spain_Med!$J:$J, P_violacea_Spain_Med!$B:$B, "&gt;="&amp;DATE(2024,11,1), P_violacea_Spain_Med!$B:$B, "&lt;="&amp;DATE(2024,11,30))</f>
        <v>0</v>
      </c>
      <c r="M22" s="17">
        <f>SUMIFS(P_violacea_Spain_Med!$J:$J, P_violacea_Spain_Med!$B:$B, "&gt;="&amp;DATE(2024,12,1), P_violacea_Spain_Med!$B:$B, "&lt;="&amp;DATE(2024,12,31))</f>
        <v>1</v>
      </c>
      <c r="N22" s="48">
        <f t="shared" si="0"/>
        <v>82</v>
      </c>
      <c r="O22" s="21"/>
      <c r="P22" s="21"/>
      <c r="Q22" s="21"/>
      <c r="R22" s="21"/>
      <c r="S22" s="21"/>
      <c r="T22" s="21"/>
      <c r="U22" s="21"/>
      <c r="V22" s="21"/>
      <c r="W22" s="21"/>
      <c r="X22" s="21"/>
      <c r="Y22" s="21"/>
      <c r="Z22" s="21"/>
      <c r="AA22" s="21"/>
      <c r="AB22" s="21"/>
      <c r="AC22" s="21"/>
      <c r="AD22" s="21"/>
      <c r="AE22" s="21"/>
      <c r="AF22" s="21"/>
      <c r="AG22" s="52"/>
      <c r="AH22" s="10"/>
    </row>
    <row r="23" spans="1:34" x14ac:dyDescent="0.25">
      <c r="A23" s="10">
        <v>2025</v>
      </c>
      <c r="B23" s="16">
        <f>SUMIFS(P_violacea_Spain_Med!$J:$J, P_violacea_Spain_Med!$B:$B, "&gt;="&amp;DATE(2025,1,1), P_violacea_Spain_Med!$B:$B, "&lt;="&amp;DATE(2025,1,31))</f>
        <v>0</v>
      </c>
      <c r="C23" s="17">
        <f>SUMIFS(P_violacea_Spain_Med!$J:$J, P_violacea_Spain_Med!$B:$B, "&gt;="&amp;DATE(2025,2,1), P_violacea_Spain_Med!$B:$B, "&lt;="&amp;DATE(2025,2,20))</f>
        <v>0</v>
      </c>
      <c r="D23" s="18">
        <f>SUMIFS(P_violacea_Spain_Med!$J:$J, P_violacea_Spain_Med!$B:$B, "&gt;="&amp;DATE(2025,3,1), P_violacea_Spain_Med!$B:$B, "&lt;="&amp;DATE(2025,3,31))</f>
        <v>0</v>
      </c>
      <c r="E23" s="18">
        <f>SUMIFS(P_violacea_Spain_Med!$J:$J, P_violacea_Spain_Med!$B:$B, "&gt;="&amp;DATE(2025,4,1), P_violacea_Spain_Med!$B:$B, "&lt;="&amp;DATE(2025,4,30))</f>
        <v>0</v>
      </c>
      <c r="F23" s="18">
        <f>SUMIFS(P_violacea_Spain_Med!$J:$J, P_violacea_Spain_Med!$B:$B, "&gt;="&amp;DATE(2025,5,1), P_violacea_Spain_Med!$B:$B, "&lt;="&amp;DATE(2025,5,31))</f>
        <v>24</v>
      </c>
      <c r="G23" s="19">
        <f>SUMIFS(P_violacea_Spain_Med!$J:$J, P_violacea_Spain_Med!$B:$B, "&gt;="&amp;DATE(2025,6,1), P_violacea_Spain_Med!$B:$B, "&lt;="&amp;DATE(2025,6,30))</f>
        <v>73</v>
      </c>
      <c r="H23" s="19">
        <f>SUMIFS(P_violacea_Spain_Med!$J:$J, P_violacea_Spain_Med!$B:$B, "&gt;="&amp;DATE(2025,7,1), P_violacea_Spain_Med!$B:$B, "&lt;="&amp;DATE(2025,7,31))</f>
        <v>17</v>
      </c>
      <c r="I23" s="19">
        <f>SUMIFS(P_violacea_Spain_Med!$J:$J, P_violacea_Spain_Med!$B:$B, "&gt;="&amp;DATE(2025,8,1), P_violacea_Spain_Med!$B:$B, "&lt;="&amp;DATE(2025,8,31))</f>
        <v>9</v>
      </c>
      <c r="J23" s="20">
        <f>SUMIFS(P_violacea_Spain_Med!$J:$J, P_violacea_Spain_Med!$B:$B, "&gt;="&amp;DATE(2025,9,1), P_violacea_Spain_Med!$B:$B, "&lt;="&amp;DATE(2025,9,30))</f>
        <v>0</v>
      </c>
      <c r="K23" s="20">
        <f>SUMIFS(P_violacea_Spain_Med!$J:$J, P_violacea_Spain_Med!$B:$B, "&gt;="&amp;DATE(2025,10,1), P_violacea_Spain_Med!$B:$B, "&lt;="&amp;DATE(2025,10,31))</f>
        <v>7</v>
      </c>
      <c r="L23" s="20">
        <f>SUMIFS(P_violacea_Spain_Med!$J:$J, P_violacea_Spain_Med!$B:$B, "&gt;="&amp;DATE(2025,11,1), P_violacea_Spain_Med!$B:$B, "&lt;="&amp;DATE(2025,11,30))</f>
        <v>0</v>
      </c>
      <c r="M23" s="17">
        <f>SUMIFS(P_violacea_Spain_Med!$J:$J, P_violacea_Spain_Med!$B:$B, "&gt;="&amp;DATE(2025,12,1), P_violacea_Spain_Med!$B:$B, "&lt;="&amp;DATE(2025,12,31))</f>
        <v>1</v>
      </c>
      <c r="N23" s="48">
        <f t="shared" si="0"/>
        <v>131</v>
      </c>
      <c r="O23" s="21"/>
      <c r="P23" s="21"/>
      <c r="Q23" s="21"/>
      <c r="R23" s="21"/>
      <c r="S23" s="21"/>
      <c r="T23" s="21"/>
      <c r="U23" s="21"/>
      <c r="V23" s="21"/>
      <c r="W23" s="21"/>
      <c r="X23" s="21"/>
      <c r="Y23" s="21"/>
      <c r="Z23" s="21"/>
      <c r="AA23" s="21"/>
      <c r="AB23" s="21"/>
      <c r="AC23" s="21"/>
      <c r="AD23" s="21"/>
      <c r="AE23" s="21"/>
      <c r="AF23" s="21"/>
      <c r="AG23" s="52"/>
      <c r="AH23" s="10"/>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4174B-3B7F-4665-A51F-F588460B9E86}">
  <dimension ref="A1:T23"/>
  <sheetViews>
    <sheetView zoomScaleNormal="100" workbookViewId="0">
      <selection activeCell="B2" sqref="B2"/>
    </sheetView>
  </sheetViews>
  <sheetFormatPr baseColWidth="10" defaultRowHeight="15" x14ac:dyDescent="0.25"/>
  <cols>
    <col min="1" max="1" width="5.5703125" style="10" bestFit="1" customWidth="1"/>
    <col min="2" max="19" width="7.7109375" customWidth="1"/>
    <col min="20" max="20" width="12.5703125" bestFit="1" customWidth="1"/>
  </cols>
  <sheetData>
    <row r="1" spans="1:20" s="10" customFormat="1" x14ac:dyDescent="0.25">
      <c r="A1" s="22" t="s">
        <v>517</v>
      </c>
      <c r="B1" s="30" t="s">
        <v>530</v>
      </c>
      <c r="C1" s="30" t="s">
        <v>531</v>
      </c>
      <c r="D1" s="30" t="s">
        <v>532</v>
      </c>
      <c r="E1" s="31" t="s">
        <v>533</v>
      </c>
      <c r="F1" s="32" t="s">
        <v>534</v>
      </c>
      <c r="G1" s="32" t="s">
        <v>535</v>
      </c>
      <c r="H1" s="32" t="s">
        <v>536</v>
      </c>
      <c r="I1" s="33" t="s">
        <v>537</v>
      </c>
      <c r="J1" s="34" t="s">
        <v>538</v>
      </c>
      <c r="K1" s="35" t="s">
        <v>539</v>
      </c>
      <c r="L1" s="35" t="s">
        <v>540</v>
      </c>
      <c r="M1" s="35" t="s">
        <v>541</v>
      </c>
      <c r="N1" s="35" t="s">
        <v>542</v>
      </c>
      <c r="O1" s="36" t="s">
        <v>543</v>
      </c>
      <c r="P1" s="37" t="s">
        <v>544</v>
      </c>
      <c r="Q1" s="38" t="s">
        <v>545</v>
      </c>
      <c r="R1" s="39" t="s">
        <v>546</v>
      </c>
      <c r="S1" s="45" t="s">
        <v>6</v>
      </c>
      <c r="T1" s="40" t="s">
        <v>599</v>
      </c>
    </row>
    <row r="2" spans="1:20" x14ac:dyDescent="0.25">
      <c r="A2" s="10">
        <v>1987</v>
      </c>
      <c r="B2" s="19">
        <f>SUMIFS(P_violacea_Spain_Med!$J:$J, P_violacea_Spain_Med!$B:$B, "&gt;="&amp;DATE(1987,1,1), P_violacea_Spain_Med!$B:$B, "&lt;"&amp;DATE(1988,1,1), P_violacea_Spain_Med!$F:$F, "Girona")</f>
        <v>0</v>
      </c>
      <c r="C2" s="19">
        <f>SUMIFS(P_violacea_Spain_Med!$J:$J, P_violacea_Spain_Med!$B:$B, "&gt;="&amp;DATE(1987,1,1), P_violacea_Spain_Med!$B:$B, "&lt;"&amp;DATE(1988,1,1), P_violacea_Spain_Med!$F:$F, "Barcelona")</f>
        <v>1</v>
      </c>
      <c r="D2" s="19">
        <f>SUMIFS(P_violacea_Spain_Med!$J:$J, P_violacea_Spain_Med!$B:$B, "&gt;="&amp;DATE(1987,1,1), P_violacea_Spain_Med!$B:$B, "&lt;"&amp;DATE(1988,1,1), P_violacea_Spain_Med!$F:$F, "Tarragona")</f>
        <v>0</v>
      </c>
      <c r="E2" s="23">
        <f>SUM(B2:D2)</f>
        <v>1</v>
      </c>
      <c r="F2" s="20">
        <f>SUMIFS(P_violacea_Spain_Med!$J:$J, P_violacea_Spain_Med!$B:$B, "&gt;="&amp;DATE(1987,1,1), P_violacea_Spain_Med!$B:$B, "&lt;"&amp;DATE(1988,1,1), P_violacea_Spain_Med!$F:$F, "Castellón")</f>
        <v>0</v>
      </c>
      <c r="G2" s="20">
        <f>SUMIFS(P_violacea_Spain_Med!$J:$J, P_violacea_Spain_Med!$B:$B, "&gt;="&amp;DATE(1987,1,1), P_violacea_Spain_Med!$B:$B, "&lt;"&amp;DATE(1988,1,1), P_violacea_Spain_Med!$F:$F, "Valencia")</f>
        <v>0</v>
      </c>
      <c r="H2" s="20">
        <f>SUMIFS(P_violacea_Spain_Med!$J:$J, P_violacea_Spain_Med!$B:$B, "&gt;="&amp;DATE(1987,1,1), P_violacea_Spain_Med!$B:$B, "&lt;"&amp;DATE(1988,1,1), P_violacea_Spain_Med!$F:$F, "Alicante")</f>
        <v>0</v>
      </c>
      <c r="I2" s="24">
        <f>SUM(F2:H2)</f>
        <v>0</v>
      </c>
      <c r="J2" s="25">
        <f>SUMIFS(P_violacea_Spain_Med!$J:$J, P_violacea_Spain_Med!$B:$B, "&gt;="&amp;DATE(1987,1,1), P_violacea_Spain_Med!$B:$B, "&lt;"&amp;DATE(1988,1,1), P_violacea_Spain_Med!$F:$F, "Región de Murcia")</f>
        <v>0</v>
      </c>
      <c r="K2" s="18">
        <f>SUMIFS(P_violacea_Spain_Med!$J:$J, P_violacea_Spain_Med!$B:$B, "&gt;="&amp;DATE(1987,1,1), P_violacea_Spain_Med!$B:$B, "&lt;"&amp;DATE(1988,1,1), P_violacea_Spain_Med!$F:$F, "Almería")</f>
        <v>0</v>
      </c>
      <c r="L2" s="18">
        <f>SUMIFS(P_violacea_Spain_Med!$J:$J, P_violacea_Spain_Med!$B:$B, "&gt;="&amp;DATE(1987,1,1), P_violacea_Spain_Med!$B:$B, "&lt;"&amp;DATE(1988,1,1), P_violacea_Spain_Med!$F:$F, "Granada")</f>
        <v>0</v>
      </c>
      <c r="M2" s="18">
        <f>SUMIFS(P_violacea_Spain_Med!$J:$J, P_violacea_Spain_Med!$B:$B, "&gt;="&amp;DATE(1987,1,1), P_violacea_Spain_Med!$B:$B, "&lt;"&amp;DATE(1988,1,1), P_violacea_Spain_Med!$F:$F, "Málaga")</f>
        <v>0</v>
      </c>
      <c r="N2" s="18">
        <f>SUMIFS(P_violacea_Spain_Med!$J:$J, P_violacea_Spain_Med!$B:$B, "&gt;="&amp;DATE(1987,1,1), P_violacea_Spain_Med!$B:$B, "&lt;"&amp;DATE(1988,1,1), P_violacea_Spain_Med!$F:$F, "Cádiz")</f>
        <v>0</v>
      </c>
      <c r="O2" s="26">
        <f>SUM(K2:N2)</f>
        <v>0</v>
      </c>
      <c r="P2" s="27">
        <f>SUMIFS(P_violacea_Spain_Med!$J:$J, P_violacea_Spain_Med!$B:$B, "&gt;="&amp;DATE(1987,1,1), P_violacea_Spain_Med!$B:$B, "&lt;"&amp;DATE(1988,1,1), P_violacea_Spain_Med!$F:$F, "Islas Baleares")</f>
        <v>0</v>
      </c>
      <c r="Q2" s="28">
        <f>SUMIFS(P_violacea_Spain_Med!$J:$J, P_violacea_Spain_Med!$B:$B, "&gt;="&amp;DATE(1987,1,1), P_violacea_Spain_Med!$B:$B, "&lt;"&amp;DATE(1988,1,1), P_violacea_Spain_Med!$F:$F, "Ceuta")</f>
        <v>0</v>
      </c>
      <c r="R2" s="29">
        <f>SUMIFS(P_violacea_Spain_Med!$J:$J, P_violacea_Spain_Med!$B:$B, "&gt;="&amp;DATE(1987,1,1), P_violacea_Spain_Med!$B:$B, "&lt;"&amp;DATE(1988,1,1), P_violacea_Spain_Med!$F:$F, "Melilla")</f>
        <v>0</v>
      </c>
      <c r="S2" s="46">
        <f>SUMIFS(P_violacea_Spain_Med!$J:$J, P_violacea_Spain_Med!$B:$B, "&gt;="&amp;DATE(1987,1,1), P_violacea_Spain_Med!$B:$B, "&lt;"&amp;DATE(1988,1,1), P_violacea_Spain_Med!$F:$F, "nd")</f>
        <v>0</v>
      </c>
      <c r="T2" s="41">
        <f>SUM(E2+I2+J2+O2+P2+Q2+R2+S2)</f>
        <v>1</v>
      </c>
    </row>
    <row r="3" spans="1:20" x14ac:dyDescent="0.25">
      <c r="A3" s="10">
        <v>2005</v>
      </c>
      <c r="B3" s="19">
        <f>SUMIFS(P_violacea_Spain_Med!$J:$J, P_violacea_Spain_Med!$B:$B, "&gt;="&amp;DATE(2005,1,1), P_violacea_Spain_Med!$B:$B, "&lt;"&amp;DATE(2006,1,1), P_violacea_Spain_Med!$F:$F, "Girona")</f>
        <v>0</v>
      </c>
      <c r="C3" s="19">
        <f>SUMIFS(P_violacea_Spain_Med!$J:$J, P_violacea_Spain_Med!$B:$B, "&gt;="&amp;DATE(2005,1,1), P_violacea_Spain_Med!$B:$B, "&lt;"&amp;DATE(2006,1,1), P_violacea_Spain_Med!$F:$F, "Barcelona")</f>
        <v>1</v>
      </c>
      <c r="D3" s="19">
        <f>SUMIFS(P_violacea_Spain_Med!$J:$J, P_violacea_Spain_Med!$B:$B, "&gt;="&amp;DATE(2005,1,1), P_violacea_Spain_Med!$B:$B, "&lt;"&amp;DATE(2006,1,1), P_violacea_Spain_Med!$F:$F, "Tarragona")</f>
        <v>0</v>
      </c>
      <c r="E3" s="23">
        <f t="shared" ref="E3:E23" si="0">SUM(B3:D3)</f>
        <v>1</v>
      </c>
      <c r="F3" s="20">
        <f>SUMIFS(P_violacea_Spain_Med!$J:$J, P_violacea_Spain_Med!$B:$B, "&gt;="&amp;DATE(2005,1,1), P_violacea_Spain_Med!$B:$B, "&lt;"&amp;DATE(2006,1,1), P_violacea_Spain_Med!$F:$F, "Castellón")</f>
        <v>0</v>
      </c>
      <c r="G3" s="20">
        <f>SUMIFS(P_violacea_Spain_Med!$J:$J, P_violacea_Spain_Med!$B:$B, "&gt;="&amp;DATE(2005,1,1), P_violacea_Spain_Med!$B:$B, "&lt;"&amp;DATE(2006,1,1), P_violacea_Spain_Med!$F:$F, "Valencia")</f>
        <v>0</v>
      </c>
      <c r="H3" s="20">
        <f>SUMIFS(P_violacea_Spain_Med!$J:$J, P_violacea_Spain_Med!$B:$B, "&gt;="&amp;DATE(2005,1,1), P_violacea_Spain_Med!$B:$B, "&lt;"&amp;DATE(2006,1,1), P_violacea_Spain_Med!$F:$F, "Alicante")</f>
        <v>0</v>
      </c>
      <c r="I3" s="24">
        <f t="shared" ref="I3:I23" si="1">SUM(F3:H3)</f>
        <v>0</v>
      </c>
      <c r="J3" s="25">
        <f>SUMIFS(P_violacea_Spain_Med!$J:$J, P_violacea_Spain_Med!$B:$B, "&gt;="&amp;DATE(2005,1,1), P_violacea_Spain_Med!$B:$B, "&lt;"&amp;DATE(2006,1,1), P_violacea_Spain_Med!$F:$F, "Región de Murcia")</f>
        <v>0</v>
      </c>
      <c r="K3" s="18">
        <f>SUMIFS(P_violacea_Spain_Med!$J:$J, P_violacea_Spain_Med!$B:$B, "&gt;="&amp;DATE(2005,1,1), P_violacea_Spain_Med!$B:$B, "&lt;"&amp;DATE(2006,1,1), P_violacea_Spain_Med!$F:$F, "Almería")</f>
        <v>0</v>
      </c>
      <c r="L3" s="18">
        <f>SUMIFS(P_violacea_Spain_Med!$J:$J, P_violacea_Spain_Med!$B:$B, "&gt;="&amp;DATE(2005,1,1), P_violacea_Spain_Med!$B:$B, "&lt;"&amp;DATE(2006,1,1), P_violacea_Spain_Med!$F:$F, "Granada")</f>
        <v>0</v>
      </c>
      <c r="M3" s="18">
        <f>SUMIFS(P_violacea_Spain_Med!$J:$J, P_violacea_Spain_Med!$B:$B, "&gt;="&amp;DATE(2005,1,1), P_violacea_Spain_Med!$B:$B, "&lt;"&amp;DATE(2006,1,1), P_violacea_Spain_Med!$F:$F, "Málaga")</f>
        <v>0</v>
      </c>
      <c r="N3" s="18">
        <f>SUMIFS(P_violacea_Spain_Med!$J:$J, P_violacea_Spain_Med!$B:$B, "&gt;="&amp;DATE(2005,1,1), P_violacea_Spain_Med!$B:$B, "&lt;"&amp;DATE(2006,1,1), P_violacea_Spain_Med!$F:$F, "Cádiz")</f>
        <v>0</v>
      </c>
      <c r="O3" s="26">
        <f t="shared" ref="O3:O23" si="2">SUM(K3:N3)</f>
        <v>0</v>
      </c>
      <c r="P3" s="27">
        <f>SUMIFS(P_violacea_Spain_Med!$J:$J, P_violacea_Spain_Med!$B:$B, "&gt;="&amp;DATE(2005,1,1), P_violacea_Spain_Med!$B:$B, "&lt;"&amp;DATE(2006,1,1), P_violacea_Spain_Med!$F:$F, "Islas Baleares")</f>
        <v>0</v>
      </c>
      <c r="Q3" s="28">
        <f>SUMIFS(P_violacea_Spain_Med!$J:$J, P_violacea_Spain_Med!$B:$B, "&gt;="&amp;DATE(2005,1,1), P_violacea_Spain_Med!$B:$B, "&lt;"&amp;DATE(2006,1,1), P_violacea_Spain_Med!$F:$F, "Ceuta")</f>
        <v>0</v>
      </c>
      <c r="R3" s="29">
        <f>SUMIFS(P_violacea_Spain_Med!$J:$J, P_violacea_Spain_Med!$B:$B, "&gt;="&amp;DATE(2005,1,1), P_violacea_Spain_Med!$B:$B, "&lt;"&amp;DATE(2006,1,1), P_violacea_Spain_Med!$F:$F, "Melilla")</f>
        <v>0</v>
      </c>
      <c r="S3" s="46">
        <f>SUMIFS(P_violacea_Spain_Med!$J:$J, P_violacea_Spain_Med!$B:$B, "&gt;="&amp;DATE(1987,1,1), P_violacea_Spain_Med!$B:$B, "&lt;"&amp;DATE(1988,1,1), P_violacea_Spain_Med!$F:$F, "nd")</f>
        <v>0</v>
      </c>
      <c r="T3" s="41">
        <f t="shared" ref="T3:T23" si="3">SUM(E3+I3+J3+O3+P3+Q3+R3+S3)</f>
        <v>1</v>
      </c>
    </row>
    <row r="4" spans="1:20" x14ac:dyDescent="0.25">
      <c r="A4" s="10">
        <v>2006</v>
      </c>
      <c r="B4" s="19">
        <f>SUMIFS(P_violacea_Spain_Med!$J:$J, P_violacea_Spain_Med!$B:$B, "&gt;="&amp;DATE(2006,1,1), P_violacea_Spain_Med!$B:$B, "&lt;"&amp;DATE(2007,1,1), P_violacea_Spain_Med!$F:$F, "Girona")</f>
        <v>0</v>
      </c>
      <c r="C4" s="19">
        <f>SUMIFS(P_violacea_Spain_Med!$J:$J, P_violacea_Spain_Med!$B:$B, "&gt;="&amp;DATE(2006,1,1), P_violacea_Spain_Med!$B:$B, "&lt;"&amp;DATE(2007,1,1), P_violacea_Spain_Med!$F:$F, "Barcelona")</f>
        <v>1</v>
      </c>
      <c r="D4" s="19">
        <f>SUMIFS(P_violacea_Spain_Med!$J:$J, P_violacea_Spain_Med!$B:$B, "&gt;="&amp;DATE(2006,1,1), P_violacea_Spain_Med!$B:$B, "&lt;"&amp;DATE(2007,1,1), P_violacea_Spain_Med!$F:$F, "Tarragona")</f>
        <v>0</v>
      </c>
      <c r="E4" s="23">
        <f t="shared" si="0"/>
        <v>1</v>
      </c>
      <c r="F4" s="20">
        <f>SUMIFS(P_violacea_Spain_Med!$J:$J, P_violacea_Spain_Med!$B:$B, "&gt;="&amp;DATE(2006,1,1), P_violacea_Spain_Med!$B:$B, "&lt;"&amp;DATE(2007,1,1), P_violacea_Spain_Med!$F:$F, "Castellón")</f>
        <v>0</v>
      </c>
      <c r="G4" s="20">
        <f>SUMIFS(P_violacea_Spain_Med!$J:$J, P_violacea_Spain_Med!$B:$B, "&gt;="&amp;DATE(2006,1,1), P_violacea_Spain_Med!$B:$B, "&lt;"&amp;DATE(2007,1,1), P_violacea_Spain_Med!$F:$F, "Valencia")</f>
        <v>0</v>
      </c>
      <c r="H4" s="20">
        <f>SUMIFS(P_violacea_Spain_Med!$J:$J, P_violacea_Spain_Med!$B:$B, "&gt;="&amp;DATE(2006,1,1), P_violacea_Spain_Med!$B:$B, "&lt;"&amp;DATE(2007,1,1), P_violacea_Spain_Med!$F:$F, "Alicante")</f>
        <v>0</v>
      </c>
      <c r="I4" s="24">
        <f t="shared" si="1"/>
        <v>0</v>
      </c>
      <c r="J4" s="25">
        <f>SUMIFS(P_violacea_Spain_Med!$J:$J, P_violacea_Spain_Med!$B:$B, "&gt;="&amp;DATE(2006,1,1), P_violacea_Spain_Med!$B:$B, "&lt;"&amp;DATE(2007,1,1), P_violacea_Spain_Med!$F:$F, "Región de Murcia")</f>
        <v>0</v>
      </c>
      <c r="K4" s="18">
        <f>SUMIFS(P_violacea_Spain_Med!$J:$J, P_violacea_Spain_Med!$B:$B, "&gt;="&amp;DATE(2006,1,1), P_violacea_Spain_Med!$B:$B, "&lt;"&amp;DATE(2007,1,1), P_violacea_Spain_Med!$F:$F, "Almería")</f>
        <v>0</v>
      </c>
      <c r="L4" s="18">
        <f>SUMIFS(P_violacea_Spain_Med!$J:$J, P_violacea_Spain_Med!$B:$B, "&gt;="&amp;DATE(2006,1,1), P_violacea_Spain_Med!$B:$B, "&lt;"&amp;DATE(2007,1,1), P_violacea_Spain_Med!$F:$F, "Granada")</f>
        <v>0</v>
      </c>
      <c r="M4" s="18">
        <f>SUMIFS(P_violacea_Spain_Med!$J:$J, P_violacea_Spain_Med!$B:$B, "&gt;="&amp;DATE(2006,1,1), P_violacea_Spain_Med!$B:$B, "&lt;"&amp;DATE(2007,1,1), P_violacea_Spain_Med!$F:$F, "Málaga")</f>
        <v>0</v>
      </c>
      <c r="N4" s="18">
        <f>SUMIFS(P_violacea_Spain_Med!$J:$J, P_violacea_Spain_Med!$B:$B, "&gt;="&amp;DATE(2006,1,1), P_violacea_Spain_Med!$B:$B, "&lt;"&amp;DATE(2007,1,1), P_violacea_Spain_Med!$F:$F, "Cádiz")</f>
        <v>0</v>
      </c>
      <c r="O4" s="26">
        <f t="shared" si="2"/>
        <v>0</v>
      </c>
      <c r="P4" s="27">
        <f>SUMIFS(P_violacea_Spain_Med!$J:$J, P_violacea_Spain_Med!$B:$B, "&gt;="&amp;DATE(2006,1,1), P_violacea_Spain_Med!$B:$B, "&lt;"&amp;DATE(2007,1,1), P_violacea_Spain_Med!$F:$F, "Islas Baleares")</f>
        <v>0</v>
      </c>
      <c r="Q4" s="28">
        <f>SUMIFS(P_violacea_Spain_Med!$J:$J, P_violacea_Spain_Med!$B:$B, "&gt;="&amp;DATE(2006,1,1), P_violacea_Spain_Med!$B:$B, "&lt;"&amp;DATE(2007,1,1), P_violacea_Spain_Med!$F:$F, "Ceuta")</f>
        <v>0</v>
      </c>
      <c r="R4" s="29">
        <f>SUMIFS(P_violacea_Spain_Med!$J:$J, P_violacea_Spain_Med!$B:$B, "&gt;="&amp;DATE(2006,1,1), P_violacea_Spain_Med!$B:$B, "&lt;"&amp;DATE(2007,1,1), P_violacea_Spain_Med!$F:$F, "Melilla")</f>
        <v>0</v>
      </c>
      <c r="S4" s="46">
        <f>SUMIFS(P_violacea_Spain_Med!$J:$J, P_violacea_Spain_Med!$B:$B, "&gt;="&amp;DATE(2006,1,1), P_violacea_Spain_Med!$B:$B, "&lt;"&amp;DATE(2007,1,1), P_violacea_Spain_Med!$F:$F, "nd")</f>
        <v>0</v>
      </c>
      <c r="T4" s="41">
        <f t="shared" si="3"/>
        <v>1</v>
      </c>
    </row>
    <row r="5" spans="1:20" x14ac:dyDescent="0.25">
      <c r="A5" s="10">
        <v>2007</v>
      </c>
      <c r="B5" s="19">
        <f>SUMIFS(P_violacea_Spain_Med!$J:$J, P_violacea_Spain_Med!$B:$B, "&gt;="&amp;DATE(2007,1,1), P_violacea_Spain_Med!$B:$B, "&lt;"&amp;DATE(2008,1,1), P_violacea_Spain_Med!$F:$F, "Girona")</f>
        <v>0</v>
      </c>
      <c r="C5" s="19">
        <f>SUMIFS(P_violacea_Spain_Med!$J:$J, P_violacea_Spain_Med!$B:$B, "&gt;="&amp;DATE(2007,1,1), P_violacea_Spain_Med!$B:$B, "&lt;"&amp;DATE(2008,1,1), P_violacea_Spain_Med!$F:$F, "Barcelona")</f>
        <v>2</v>
      </c>
      <c r="D5" s="19">
        <f>SUMIFS(P_violacea_Spain_Med!$J:$J, P_violacea_Spain_Med!$B:$B, "&gt;="&amp;DATE(2007,1,1), P_violacea_Spain_Med!$B:$B, "&lt;"&amp;DATE(2008,1,1), P_violacea_Spain_Med!$F:$F, "Tarragona")</f>
        <v>2</v>
      </c>
      <c r="E5" s="23">
        <f t="shared" si="0"/>
        <v>4</v>
      </c>
      <c r="F5" s="20">
        <f>SUMIFS(P_violacea_Spain_Med!$J:$J, P_violacea_Spain_Med!$B:$B, "&gt;="&amp;DATE(2007,1,1), P_violacea_Spain_Med!$B:$B, "&lt;"&amp;DATE(2008,1,1), P_violacea_Spain_Med!$F:$F, "Castellón")</f>
        <v>0</v>
      </c>
      <c r="G5" s="20">
        <f>SUMIFS(P_violacea_Spain_Med!$J:$J, P_violacea_Spain_Med!$B:$B, "&gt;="&amp;DATE(2007,1,1), P_violacea_Spain_Med!$B:$B, "&lt;"&amp;DATE(2008,1,1), P_violacea_Spain_Med!$F:$F, "Valencia")</f>
        <v>0</v>
      </c>
      <c r="H5" s="20">
        <f>SUMIFS(P_violacea_Spain_Med!$J:$J, P_violacea_Spain_Med!$B:$B, "&gt;="&amp;DATE(2007,1,1), P_violacea_Spain_Med!$B:$B, "&lt;"&amp;DATE(2008,1,1), P_violacea_Spain_Med!$F:$F, "Alicante")</f>
        <v>0</v>
      </c>
      <c r="I5" s="24">
        <f t="shared" si="1"/>
        <v>0</v>
      </c>
      <c r="J5" s="25">
        <f>SUMIFS(P_violacea_Spain_Med!$J:$J, P_violacea_Spain_Med!$B:$B, "&gt;="&amp;DATE(2007,1,1), P_violacea_Spain_Med!$B:$B, "&lt;"&amp;DATE(2008,1,1), P_violacea_Spain_Med!$F:$F, "Región de Murcia")</f>
        <v>0</v>
      </c>
      <c r="K5" s="18">
        <f>SUMIFS(P_violacea_Spain_Med!$J:$J, P_violacea_Spain_Med!$B:$B, "&gt;="&amp;DATE(2007,1,1), P_violacea_Spain_Med!$B:$B, "&lt;"&amp;DATE(2008,1,1), P_violacea_Spain_Med!$F:$F, "Almería")</f>
        <v>0</v>
      </c>
      <c r="L5" s="18">
        <f>SUMIFS(P_violacea_Spain_Med!$J:$J, P_violacea_Spain_Med!$B:$B, "&gt;="&amp;DATE(2007,1,1), P_violacea_Spain_Med!$B:$B, "&lt;"&amp;DATE(2008,1,1), P_violacea_Spain_Med!$F:$F, "Granada")</f>
        <v>0</v>
      </c>
      <c r="M5" s="18">
        <f>SUMIFS(P_violacea_Spain_Med!$J:$J, P_violacea_Spain_Med!$B:$B, "&gt;="&amp;DATE(2007,1,1), P_violacea_Spain_Med!$B:$B, "&lt;"&amp;DATE(2008,1,1), P_violacea_Spain_Med!$F:$F, "Málaga")</f>
        <v>0</v>
      </c>
      <c r="N5" s="18">
        <f>SUMIFS(P_violacea_Spain_Med!$J:$J, P_violacea_Spain_Med!$B:$B, "&gt;="&amp;DATE(2007,1,1), P_violacea_Spain_Med!$B:$B, "&lt;"&amp;DATE(2008,1,1), P_violacea_Spain_Med!$F:$F, "Cádiz")</f>
        <v>0</v>
      </c>
      <c r="O5" s="26">
        <f t="shared" si="2"/>
        <v>0</v>
      </c>
      <c r="P5" s="27">
        <f>SUMIFS(P_violacea_Spain_Med!$J:$J, P_violacea_Spain_Med!$B:$B, "&gt;="&amp;DATE(2007,1,1), P_violacea_Spain_Med!$B:$B, "&lt;"&amp;DATE(2008,1,1), P_violacea_Spain_Med!$F:$F, "Islas Baleares")</f>
        <v>0</v>
      </c>
      <c r="Q5" s="28">
        <f>SUMIFS(P_violacea_Spain_Med!$J:$J, P_violacea_Spain_Med!$B:$B, "&gt;="&amp;DATE(2007,1,1), P_violacea_Spain_Med!$B:$B, "&lt;"&amp;DATE(2008,1,1), P_violacea_Spain_Med!$F:$F, "Ceuta")</f>
        <v>0</v>
      </c>
      <c r="R5" s="29">
        <f>SUMIFS(P_violacea_Spain_Med!$J:$J, P_violacea_Spain_Med!$B:$B, "&gt;="&amp;DATE(2007,1,1), P_violacea_Spain_Med!$B:$B, "&lt;"&amp;DATE(2008,1,1), P_violacea_Spain_Med!$F:$F, "Melilla")</f>
        <v>0</v>
      </c>
      <c r="S5" s="46">
        <f>SUMIFS(P_violacea_Spain_Med!$J:$J, P_violacea_Spain_Med!$B:$B, "&gt;="&amp;DATE(2007,1,1), P_violacea_Spain_Med!$B:$B, "&lt;"&amp;DATE(2008,1,1), P_violacea_Spain_Med!$F:$F, "nd")</f>
        <v>0</v>
      </c>
      <c r="T5" s="41">
        <f t="shared" si="3"/>
        <v>4</v>
      </c>
    </row>
    <row r="6" spans="1:20" x14ac:dyDescent="0.25">
      <c r="A6" s="10">
        <v>2008</v>
      </c>
      <c r="B6" s="19">
        <f>SUMIFS(P_violacea_Spain_Med!$J:$J, P_violacea_Spain_Med!$B:$B, "&gt;="&amp;DATE(2008,1,1), P_violacea_Spain_Med!$B:$B, "&lt;"&amp;DATE(2009,1,1), P_violacea_Spain_Med!$F:$F, "Girona")</f>
        <v>0</v>
      </c>
      <c r="C6" s="19">
        <f>SUMIFS(P_violacea_Spain_Med!$J:$J, P_violacea_Spain_Med!$B:$B, "&gt;="&amp;DATE(2008,1,1), P_violacea_Spain_Med!$B:$B, "&lt;"&amp;DATE(2009,1,1), P_violacea_Spain_Med!$F:$F, "Barcelona")</f>
        <v>0</v>
      </c>
      <c r="D6" s="19">
        <f>SUMIFS(P_violacea_Spain_Med!$J:$J, P_violacea_Spain_Med!$B:$B, "&gt;="&amp;DATE(2008,1,1), P_violacea_Spain_Med!$B:$B, "&lt;"&amp;DATE(2009,1,1), P_violacea_Spain_Med!$F:$F, "Tarragona")</f>
        <v>0</v>
      </c>
      <c r="E6" s="23">
        <f t="shared" si="0"/>
        <v>0</v>
      </c>
      <c r="F6" s="20">
        <f>SUMIFS(P_violacea_Spain_Med!$J:$J, P_violacea_Spain_Med!$B:$B, "&gt;="&amp;DATE(2008,1,1), P_violacea_Spain_Med!$B:$B, "&lt;"&amp;DATE(2009,1,1), P_violacea_Spain_Med!$F:$F, "Castellón")</f>
        <v>0</v>
      </c>
      <c r="G6" s="20">
        <f>SUMIFS(P_violacea_Spain_Med!$J:$J, P_violacea_Spain_Med!$B:$B, "&gt;="&amp;DATE(2008,1,1), P_violacea_Spain_Med!$B:$B, "&lt;"&amp;DATE(2009,1,1), P_violacea_Spain_Med!$F:$F, "Valencia")</f>
        <v>0</v>
      </c>
      <c r="H6" s="20">
        <f>SUMIFS(P_violacea_Spain_Med!$J:$J, P_violacea_Spain_Med!$B:$B, "&gt;="&amp;DATE(2008,1,1), P_violacea_Spain_Med!$B:$B, "&lt;"&amp;DATE(2009,1,1), P_violacea_Spain_Med!$F:$F, "Alicante")</f>
        <v>0</v>
      </c>
      <c r="I6" s="24">
        <f t="shared" si="1"/>
        <v>0</v>
      </c>
      <c r="J6" s="25">
        <f>SUMIFS(P_violacea_Spain_Med!$J:$J, P_violacea_Spain_Med!$B:$B, "&gt;="&amp;DATE(2008,1,1), P_violacea_Spain_Med!$B:$B, "&lt;"&amp;DATE(2009,1,1), P_violacea_Spain_Med!$F:$F, "Región de Murcia")</f>
        <v>0</v>
      </c>
      <c r="K6" s="18">
        <f>SUMIFS(P_violacea_Spain_Med!$J:$J, P_violacea_Spain_Med!$B:$B, "&gt;="&amp;DATE(2008,1,1), P_violacea_Spain_Med!$B:$B, "&lt;"&amp;DATE(2009,1,1), P_violacea_Spain_Med!$F:$F, "Almería")</f>
        <v>0</v>
      </c>
      <c r="L6" s="18">
        <f>SUMIFS(P_violacea_Spain_Med!$J:$J, P_violacea_Spain_Med!$B:$B, "&gt;="&amp;DATE(2008,1,1), P_violacea_Spain_Med!$B:$B, "&lt;"&amp;DATE(2009,1,1), P_violacea_Spain_Med!$F:$F, "Granada")</f>
        <v>0</v>
      </c>
      <c r="M6" s="18">
        <f>SUMIFS(P_violacea_Spain_Med!$J:$J, P_violacea_Spain_Med!$B:$B, "&gt;="&amp;DATE(2008,1,1), P_violacea_Spain_Med!$B:$B, "&lt;"&amp;DATE(2009,1,1), P_violacea_Spain_Med!$F:$F, "Málaga")</f>
        <v>0</v>
      </c>
      <c r="N6" s="18">
        <f>SUMIFS(P_violacea_Spain_Med!$J:$J, P_violacea_Spain_Med!$B:$B, "&gt;="&amp;DATE(2008,1,1), P_violacea_Spain_Med!$B:$B, "&lt;"&amp;DATE(2009,1,1), P_violacea_Spain_Med!$F:$F, "Cádiz")</f>
        <v>0</v>
      </c>
      <c r="O6" s="26">
        <f t="shared" si="2"/>
        <v>0</v>
      </c>
      <c r="P6" s="27">
        <f>SUMIFS(P_violacea_Spain_Med!$J:$J, P_violacea_Spain_Med!$B:$B, "&gt;="&amp;DATE(2008,1,1), P_violacea_Spain_Med!$B:$B, "&lt;"&amp;DATE(2009,1,1), P_violacea_Spain_Med!$F:$F, "Islas Baleares")</f>
        <v>0</v>
      </c>
      <c r="Q6" s="28">
        <f>SUMIFS(P_violacea_Spain_Med!$J:$J, P_violacea_Spain_Med!$B:$B, "&gt;="&amp;DATE(2008,1,1), P_violacea_Spain_Med!$B:$B, "&lt;"&amp;DATE(2009,1,1), P_violacea_Spain_Med!$F:$F, "Ceuta")</f>
        <v>0</v>
      </c>
      <c r="R6" s="29">
        <f>SUMIFS(P_violacea_Spain_Med!$J:$J, P_violacea_Spain_Med!$B:$B, "&gt;="&amp;DATE(2008,1,1), P_violacea_Spain_Med!$B:$B, "&lt;"&amp;DATE(2009,1,1), P_violacea_Spain_Med!$F:$F, "Melilla")</f>
        <v>0</v>
      </c>
      <c r="S6" s="46">
        <f>SUMIFS(P_violacea_Spain_Med!$J:$J, P_violacea_Spain_Med!$B:$B, "&gt;="&amp;DATE(2008,1,1), P_violacea_Spain_Med!$B:$B, "&lt;"&amp;DATE(2009,1,1), P_violacea_Spain_Med!$F:$F, "nd")</f>
        <v>0</v>
      </c>
      <c r="T6" s="41">
        <f t="shared" si="3"/>
        <v>0</v>
      </c>
    </row>
    <row r="7" spans="1:20" x14ac:dyDescent="0.25">
      <c r="A7" s="10">
        <v>2009</v>
      </c>
      <c r="B7" s="19">
        <f>SUMIFS(P_violacea_Spain_Med!$J:$J, P_violacea_Spain_Med!$B:$B, "&gt;="&amp;DATE(2009,1,1), P_violacea_Spain_Med!$B:$B, "&lt;"&amp;DATE(2010,1,1), P_violacea_Spain_Med!$F:$F, "Girona")</f>
        <v>0</v>
      </c>
      <c r="C7" s="19">
        <f>SUMIFS(P_violacea_Spain_Med!$J:$J, P_violacea_Spain_Med!$B:$B, "&gt;="&amp;DATE(2009,1,1), P_violacea_Spain_Med!$B:$B, "&lt;"&amp;DATE(2010,1,1), P_violacea_Spain_Med!$F:$F, "Barcelona")</f>
        <v>0</v>
      </c>
      <c r="D7" s="19">
        <f>SUMIFS(P_violacea_Spain_Med!$J:$J, P_violacea_Spain_Med!$B:$B, "&gt;="&amp;DATE(2009,1,1), P_violacea_Spain_Med!$B:$B, "&lt;"&amp;DATE(2010,1,1), P_violacea_Spain_Med!$F:$F, "Tarragona")</f>
        <v>0</v>
      </c>
      <c r="E7" s="23">
        <f t="shared" si="0"/>
        <v>0</v>
      </c>
      <c r="F7" s="20">
        <f>SUMIFS(P_violacea_Spain_Med!$J:$J, P_violacea_Spain_Med!$B:$B, "&gt;="&amp;DATE(2009,1,1), P_violacea_Spain_Med!$B:$B, "&lt;"&amp;DATE(2010,1,1), P_violacea_Spain_Med!$F:$F, "Castellón")</f>
        <v>0</v>
      </c>
      <c r="G7" s="20">
        <f>SUMIFS(P_violacea_Spain_Med!$J:$J, P_violacea_Spain_Med!$B:$B, "&gt;="&amp;DATE(2009,1,1), P_violacea_Spain_Med!$B:$B, "&lt;"&amp;DATE(2010,1,1), P_violacea_Spain_Med!$F:$F, "Valencia")</f>
        <v>0</v>
      </c>
      <c r="H7" s="20">
        <f>SUMIFS(P_violacea_Spain_Med!$J:$J, P_violacea_Spain_Med!$B:$B, "&gt;="&amp;DATE(2009,1,1), P_violacea_Spain_Med!$B:$B, "&lt;"&amp;DATE(2010,1,1), P_violacea_Spain_Med!$F:$F, "Alicante")</f>
        <v>0</v>
      </c>
      <c r="I7" s="24">
        <f t="shared" si="1"/>
        <v>0</v>
      </c>
      <c r="J7" s="25">
        <f>SUMIFS(P_violacea_Spain_Med!$J:$J, P_violacea_Spain_Med!$B:$B, "&gt;="&amp;DATE(2009,1,1), P_violacea_Spain_Med!$B:$B, "&lt;"&amp;DATE(2010,1,1), P_violacea_Spain_Med!$F:$F, "Región de Murcia")</f>
        <v>0</v>
      </c>
      <c r="K7" s="18">
        <f>SUMIFS(P_violacea_Spain_Med!$J:$J, P_violacea_Spain_Med!$B:$B, "&gt;="&amp;DATE(2009,1,1), P_violacea_Spain_Med!$B:$B, "&lt;"&amp;DATE(2010,1,1), P_violacea_Spain_Med!$F:$F, "Almería")</f>
        <v>0</v>
      </c>
      <c r="L7" s="18">
        <f>SUMIFS(P_violacea_Spain_Med!$J:$J, P_violacea_Spain_Med!$B:$B, "&gt;="&amp;DATE(2009,1,1), P_violacea_Spain_Med!$B:$B, "&lt;"&amp;DATE(2010,1,1), P_violacea_Spain_Med!$F:$F, "Granada")</f>
        <v>0</v>
      </c>
      <c r="M7" s="18">
        <f>SUMIFS(P_violacea_Spain_Med!$J:$J, P_violacea_Spain_Med!$B:$B, "&gt;="&amp;DATE(2009,1,1), P_violacea_Spain_Med!$B:$B, "&lt;"&amp;DATE(2010,1,1), P_violacea_Spain_Med!$F:$F, "Málaga")</f>
        <v>0</v>
      </c>
      <c r="N7" s="18">
        <f>SUMIFS(P_violacea_Spain_Med!$J:$J, P_violacea_Spain_Med!$B:$B, "&gt;="&amp;DATE(2009,1,1), P_violacea_Spain_Med!$B:$B, "&lt;"&amp;DATE(2010,1,1), P_violacea_Spain_Med!$F:$F, "Cádiz")</f>
        <v>0</v>
      </c>
      <c r="O7" s="26">
        <f t="shared" si="2"/>
        <v>0</v>
      </c>
      <c r="P7" s="27">
        <f>SUMIFS(P_violacea_Spain_Med!$J:$J, P_violacea_Spain_Med!$B:$B, "&gt;="&amp;DATE(2009,1,1), P_violacea_Spain_Med!$B:$B, "&lt;"&amp;DATE(2010,1,1), P_violacea_Spain_Med!$F:$F, "Islas Baleares")</f>
        <v>0</v>
      </c>
      <c r="Q7" s="28">
        <f>SUMIFS(P_violacea_Spain_Med!$J:$J, P_violacea_Spain_Med!$B:$B, "&gt;="&amp;DATE(2009,1,1), P_violacea_Spain_Med!$B:$B, "&lt;"&amp;DATE(2010,1,1), P_violacea_Spain_Med!$F:$F, "Ceuta")</f>
        <v>0</v>
      </c>
      <c r="R7" s="29">
        <f>SUMIFS(P_violacea_Spain_Med!$J:$J, P_violacea_Spain_Med!$B:$B, "&gt;="&amp;DATE(2009,1,1), P_violacea_Spain_Med!$B:$B, "&lt;"&amp;DATE(2010,1,1), P_violacea_Spain_Med!$F:$F, "Melilla")</f>
        <v>0</v>
      </c>
      <c r="S7" s="46">
        <f>SUMIFS(P_violacea_Spain_Med!$J:$J, P_violacea_Spain_Med!$B:$B, "&gt;="&amp;DATE(2009,1,1), P_violacea_Spain_Med!$B:$B, "&lt;"&amp;DATE(2010,1,1), P_violacea_Spain_Med!$F:$F, "nd")</f>
        <v>0</v>
      </c>
      <c r="T7" s="41">
        <f t="shared" si="3"/>
        <v>0</v>
      </c>
    </row>
    <row r="8" spans="1:20" x14ac:dyDescent="0.25">
      <c r="A8" s="10">
        <v>2010</v>
      </c>
      <c r="B8" s="19">
        <f>SUMIFS(P_violacea_Spain_Med!$J:$J, P_violacea_Spain_Med!$B:$B, "&gt;="&amp;DATE(2010,1,1), P_violacea_Spain_Med!$B:$B, "&lt;"&amp;DATE(2011,1,1), P_violacea_Spain_Med!$F:$F, "Girona")</f>
        <v>0</v>
      </c>
      <c r="C8" s="19">
        <f>SUMIFS(P_violacea_Spain_Med!$J:$J, P_violacea_Spain_Med!$B:$B, "&gt;="&amp;DATE(2010,1,1), P_violacea_Spain_Med!$B:$B, "&lt;"&amp;DATE(2011,1,1), P_violacea_Spain_Med!$F:$F, "Barcelona")</f>
        <v>0</v>
      </c>
      <c r="D8" s="19">
        <f>SUMIFS(P_violacea_Spain_Med!$J:$J, P_violacea_Spain_Med!$B:$B, "&gt;="&amp;DATE(2010,1,1), P_violacea_Spain_Med!$B:$B, "&lt;"&amp;DATE(2011,1,1), P_violacea_Spain_Med!$F:$F, "Tarragona")</f>
        <v>0</v>
      </c>
      <c r="E8" s="23">
        <f t="shared" si="0"/>
        <v>0</v>
      </c>
      <c r="F8" s="20">
        <f>SUMIFS(P_violacea_Spain_Med!$J:$J, P_violacea_Spain_Med!$B:$B, "&gt;="&amp;DATE(2010,1,1), P_violacea_Spain_Med!$B:$B, "&lt;"&amp;DATE(2011,1,1), P_violacea_Spain_Med!$F:$F, "Castellón")</f>
        <v>0</v>
      </c>
      <c r="G8" s="20">
        <f>SUMIFS(P_violacea_Spain_Med!$J:$J, P_violacea_Spain_Med!$B:$B, "&gt;="&amp;DATE(2010,1,1), P_violacea_Spain_Med!$B:$B, "&lt;"&amp;DATE(2011,1,1), P_violacea_Spain_Med!$F:$F, "Valencia")</f>
        <v>0</v>
      </c>
      <c r="H8" s="20">
        <f>SUMIFS(P_violacea_Spain_Med!$J:$J, P_violacea_Spain_Med!$B:$B, "&gt;="&amp;DATE(2010,1,1), P_violacea_Spain_Med!$B:$B, "&lt;"&amp;DATE(2011,1,1), P_violacea_Spain_Med!$F:$F, "Alicante")</f>
        <v>0</v>
      </c>
      <c r="I8" s="24">
        <f t="shared" si="1"/>
        <v>0</v>
      </c>
      <c r="J8" s="25">
        <f>SUMIFS(P_violacea_Spain_Med!$J:$J, P_violacea_Spain_Med!$B:$B, "&gt;="&amp;DATE(2010,1,1), P_violacea_Spain_Med!$B:$B, "&lt;"&amp;DATE(2011,1,1), P_violacea_Spain_Med!$F:$F, "Región de Murcia")</f>
        <v>0</v>
      </c>
      <c r="K8" s="18">
        <f>SUMIFS(P_violacea_Spain_Med!$J:$J, P_violacea_Spain_Med!$B:$B, "&gt;="&amp;DATE(2010,1,1), P_violacea_Spain_Med!$B:$B, "&lt;"&amp;DATE(2011,1,1), P_violacea_Spain_Med!$F:$F, "Almería")</f>
        <v>0</v>
      </c>
      <c r="L8" s="18">
        <f>SUMIFS(P_violacea_Spain_Med!$J:$J, P_violacea_Spain_Med!$B:$B, "&gt;="&amp;DATE(2010,1,1), P_violacea_Spain_Med!$B:$B, "&lt;"&amp;DATE(2011,1,1), P_violacea_Spain_Med!$F:$F, "Granada")</f>
        <v>0</v>
      </c>
      <c r="M8" s="18">
        <f>SUMIFS(P_violacea_Spain_Med!$J:$J, P_violacea_Spain_Med!$B:$B, "&gt;="&amp;DATE(2010,1,1), P_violacea_Spain_Med!$B:$B, "&lt;"&amp;DATE(2011,1,1), P_violacea_Spain_Med!$F:$F, "Málaga")</f>
        <v>0</v>
      </c>
      <c r="N8" s="18">
        <f>SUMIFS(P_violacea_Spain_Med!$J:$J, P_violacea_Spain_Med!$B:$B, "&gt;="&amp;DATE(2010,1,1), P_violacea_Spain_Med!$B:$B, "&lt;"&amp;DATE(2011,1,1), P_violacea_Spain_Med!$F:$F, "Cádiz")</f>
        <v>0</v>
      </c>
      <c r="O8" s="26">
        <f t="shared" si="2"/>
        <v>0</v>
      </c>
      <c r="P8" s="27">
        <f>SUMIFS(P_violacea_Spain_Med!$J:$J, P_violacea_Spain_Med!$B:$B, "&gt;="&amp;DATE(2010,1,1), P_violacea_Spain_Med!$B:$B, "&lt;"&amp;DATE(2011,1,1), P_violacea_Spain_Med!$F:$F, "Islas Baleares")</f>
        <v>0</v>
      </c>
      <c r="Q8" s="28">
        <f>SUMIFS(P_violacea_Spain_Med!$J:$J, P_violacea_Spain_Med!$B:$B, "&gt;="&amp;DATE(2010,1,1), P_violacea_Spain_Med!$B:$B, "&lt;"&amp;DATE(2011,1,1), P_violacea_Spain_Med!$F:$F, "Ceuta")</f>
        <v>0</v>
      </c>
      <c r="R8" s="29">
        <f>SUMIFS(P_violacea_Spain_Med!$J:$J, P_violacea_Spain_Med!$B:$B, "&gt;="&amp;DATE(2010,1,1), P_violacea_Spain_Med!$B:$B, "&lt;"&amp;DATE(2011,1,1), P_violacea_Spain_Med!$F:$F, "Melilla")</f>
        <v>0</v>
      </c>
      <c r="S8" s="46">
        <f>SUMIFS(P_violacea_Spain_Med!$J:$J, P_violacea_Spain_Med!$B:$B, "&gt;="&amp;DATE(2010,1,1), P_violacea_Spain_Med!$B:$B, "&lt;"&amp;DATE(2011,1,1), P_violacea_Spain_Med!$F:$F, "nd")</f>
        <v>0</v>
      </c>
      <c r="T8" s="41">
        <f t="shared" si="3"/>
        <v>0</v>
      </c>
    </row>
    <row r="9" spans="1:20" x14ac:dyDescent="0.25">
      <c r="A9" s="10">
        <v>2011</v>
      </c>
      <c r="B9" s="19">
        <f>SUMIFS(P_violacea_Spain_Med!$J:$J, P_violacea_Spain_Med!$B:$B, "&gt;="&amp;DATE(2011,1,1), P_violacea_Spain_Med!$B:$B, "&lt;"&amp;DATE(2012,1,1), P_violacea_Spain_Med!$F:$F, "Girona")</f>
        <v>0</v>
      </c>
      <c r="C9" s="19">
        <f>SUMIFS(P_violacea_Spain_Med!$J:$J, P_violacea_Spain_Med!$B:$B, "&gt;="&amp;DATE(2011,1,1), P_violacea_Spain_Med!$B:$B, "&lt;"&amp;DATE(2012,1,1), P_violacea_Spain_Med!$F:$F, "Barcelona")</f>
        <v>0</v>
      </c>
      <c r="D9" s="19">
        <f>SUMIFS(P_violacea_Spain_Med!$J:$J, P_violacea_Spain_Med!$B:$B, "&gt;="&amp;DATE(2011,1,1), P_violacea_Spain_Med!$B:$B, "&lt;"&amp;DATE(2012,1,1), P_violacea_Spain_Med!$F:$F, "Tarragona")</f>
        <v>0</v>
      </c>
      <c r="E9" s="23">
        <f t="shared" si="0"/>
        <v>0</v>
      </c>
      <c r="F9" s="20">
        <f>SUMIFS(P_violacea_Spain_Med!$J:$J, P_violacea_Spain_Med!$B:$B, "&gt;="&amp;DATE(2011,1,1), P_violacea_Spain_Med!$B:$B, "&lt;"&amp;DATE(2012,1,1), P_violacea_Spain_Med!$F:$F, "Castellón")</f>
        <v>0</v>
      </c>
      <c r="G9" s="20">
        <f>SUMIFS(P_violacea_Spain_Med!$J:$J, P_violacea_Spain_Med!$B:$B, "&gt;="&amp;DATE(2011,1,1), P_violacea_Spain_Med!$B:$B, "&lt;"&amp;DATE(2012,1,1), P_violacea_Spain_Med!$F:$F, "Valencia")</f>
        <v>0</v>
      </c>
      <c r="H9" s="20">
        <f>SUMIFS(P_violacea_Spain_Med!$J:$J, P_violacea_Spain_Med!$B:$B, "&gt;="&amp;DATE(2011,1,1), P_violacea_Spain_Med!$B:$B, "&lt;"&amp;DATE(2012,1,1), P_violacea_Spain_Med!$F:$F, "Alicante")</f>
        <v>0</v>
      </c>
      <c r="I9" s="24">
        <f t="shared" si="1"/>
        <v>0</v>
      </c>
      <c r="J9" s="25">
        <f>SUMIFS(P_violacea_Spain_Med!$J:$J, P_violacea_Spain_Med!$B:$B, "&gt;="&amp;DATE(2011,1,1), P_violacea_Spain_Med!$B:$B, "&lt;"&amp;DATE(2012,1,1), P_violacea_Spain_Med!$F:$F, "Región de Murcia")</f>
        <v>0</v>
      </c>
      <c r="K9" s="18">
        <f>SUMIFS(P_violacea_Spain_Med!$J:$J, P_violacea_Spain_Med!$B:$B, "&gt;="&amp;DATE(2011,1,1), P_violacea_Spain_Med!$B:$B, "&lt;"&amp;DATE(2012,1,1), P_violacea_Spain_Med!$F:$F, "Almería")</f>
        <v>3</v>
      </c>
      <c r="L9" s="18">
        <f>SUMIFS(P_violacea_Spain_Med!$J:$J, P_violacea_Spain_Med!$B:$B, "&gt;="&amp;DATE(2011,1,1), P_violacea_Spain_Med!$B:$B, "&lt;"&amp;DATE(2012,1,1), P_violacea_Spain_Med!$F:$F, "Granada")</f>
        <v>0</v>
      </c>
      <c r="M9" s="18">
        <f>SUMIFS(P_violacea_Spain_Med!$J:$J, P_violacea_Spain_Med!$B:$B, "&gt;="&amp;DATE(2011,1,1), P_violacea_Spain_Med!$B:$B, "&lt;"&amp;DATE(2012,1,1), P_violacea_Spain_Med!$F:$F, "Málaga")</f>
        <v>1</v>
      </c>
      <c r="N9" s="18">
        <f>SUMIFS(P_violacea_Spain_Med!$J:$J, P_violacea_Spain_Med!$B:$B, "&gt;="&amp;DATE(2011,1,1), P_violacea_Spain_Med!$B:$B, "&lt;"&amp;DATE(2012,1,1), P_violacea_Spain_Med!$F:$F, "Cádiz")</f>
        <v>0</v>
      </c>
      <c r="O9" s="26">
        <f t="shared" si="2"/>
        <v>4</v>
      </c>
      <c r="P9" s="27">
        <f>SUMIFS(P_violacea_Spain_Med!$J:$J, P_violacea_Spain_Med!$B:$B, "&gt;="&amp;DATE(2011,1,1), P_violacea_Spain_Med!$B:$B, "&lt;"&amp;DATE(2012,1,1), P_violacea_Spain_Med!$F:$F, "Islas Baleares")</f>
        <v>0</v>
      </c>
      <c r="Q9" s="28">
        <f>SUMIFS(P_violacea_Spain_Med!$J:$J, P_violacea_Spain_Med!$B:$B, "&gt;="&amp;DATE(2011,1,1), P_violacea_Spain_Med!$B:$B, "&lt;"&amp;DATE(2012,1,1), P_violacea_Spain_Med!$F:$F, "Ceuta")</f>
        <v>0</v>
      </c>
      <c r="R9" s="29">
        <f>SUMIFS(P_violacea_Spain_Med!$J:$J, P_violacea_Spain_Med!$B:$B, "&gt;="&amp;DATE(2011,1,1), P_violacea_Spain_Med!$B:$B, "&lt;"&amp;DATE(2012,1,1), P_violacea_Spain_Med!$F:$F, "Melilla")</f>
        <v>0</v>
      </c>
      <c r="S9" s="46">
        <f>SUMIFS(P_violacea_Spain_Med!$J:$J, P_violacea_Spain_Med!$B:$B, "&gt;="&amp;DATE(2011,1,1), P_violacea_Spain_Med!$B:$B, "&lt;"&amp;DATE(2012,1,1), P_violacea_Spain_Med!$F:$F, "nd")</f>
        <v>0</v>
      </c>
      <c r="T9" s="41">
        <f t="shared" si="3"/>
        <v>4</v>
      </c>
    </row>
    <row r="10" spans="1:20" x14ac:dyDescent="0.25">
      <c r="A10" s="10">
        <v>2012</v>
      </c>
      <c r="B10" s="19">
        <f>SUMIFS(P_violacea_Spain_Med!$J:$J, P_violacea_Spain_Med!$B:$B, "&gt;="&amp;DATE(2012,1,1), P_violacea_Spain_Med!$B:$B, "&lt;"&amp;DATE(2013,1,1), P_violacea_Spain_Med!$F:$F, "Girona")</f>
        <v>0</v>
      </c>
      <c r="C10" s="19">
        <f>SUMIFS(P_violacea_Spain_Med!$J:$J, P_violacea_Spain_Med!$B:$B, "&gt;="&amp;DATE(2012,1,1), P_violacea_Spain_Med!$B:$B, "&lt;"&amp;DATE(2013,1,1), P_violacea_Spain_Med!$F:$F, "Barcelona")</f>
        <v>1</v>
      </c>
      <c r="D10" s="19">
        <f>SUMIFS(P_violacea_Spain_Med!$J:$J, P_violacea_Spain_Med!$B:$B, "&gt;="&amp;DATE(2012,1,1), P_violacea_Spain_Med!$B:$B, "&lt;"&amp;DATE(2013,1,1), P_violacea_Spain_Med!$F:$F, "Tarragona")</f>
        <v>0</v>
      </c>
      <c r="E10" s="23">
        <f t="shared" si="0"/>
        <v>1</v>
      </c>
      <c r="F10" s="20">
        <f>SUMIFS(P_violacea_Spain_Med!$J:$J, P_violacea_Spain_Med!$B:$B, "&gt;="&amp;DATE(2012,1,1), P_violacea_Spain_Med!$B:$B, "&lt;"&amp;DATE(2013,1,1), P_violacea_Spain_Med!$F:$F, "Castellón")</f>
        <v>0</v>
      </c>
      <c r="G10" s="20">
        <f>SUMIFS(P_violacea_Spain_Med!$J:$J, P_violacea_Spain_Med!$B:$B, "&gt;="&amp;DATE(2012,1,1), P_violacea_Spain_Med!$B:$B, "&lt;"&amp;DATE(2013,1,1), P_violacea_Spain_Med!$F:$F, "Valencia")</f>
        <v>0</v>
      </c>
      <c r="H10" s="20">
        <f>SUMIFS(P_violacea_Spain_Med!$J:$J, P_violacea_Spain_Med!$B:$B, "&gt;="&amp;DATE(2012,1,1), P_violacea_Spain_Med!$B:$B, "&lt;"&amp;DATE(2013,1,1), P_violacea_Spain_Med!$F:$F, "Alicante")</f>
        <v>1</v>
      </c>
      <c r="I10" s="24">
        <f t="shared" si="1"/>
        <v>1</v>
      </c>
      <c r="J10" s="25">
        <f>SUMIFS(P_violacea_Spain_Med!$J:$J, P_violacea_Spain_Med!$B:$B, "&gt;="&amp;DATE(2012,1,1), P_violacea_Spain_Med!$B:$B, "&lt;"&amp;DATE(2013,1,1), P_violacea_Spain_Med!$F:$F, "Región de Murcia")</f>
        <v>0</v>
      </c>
      <c r="K10" s="18">
        <f>SUMIFS(P_violacea_Spain_Med!$J:$J, P_violacea_Spain_Med!$B:$B, "&gt;="&amp;DATE(2012,1,1), P_violacea_Spain_Med!$B:$B, "&lt;"&amp;DATE(2013,1,1), P_violacea_Spain_Med!$F:$F, "Almería")</f>
        <v>0</v>
      </c>
      <c r="L10" s="18">
        <f>SUMIFS(P_violacea_Spain_Med!$J:$J, P_violacea_Spain_Med!$B:$B, "&gt;="&amp;DATE(2012,1,1), P_violacea_Spain_Med!$B:$B, "&lt;"&amp;DATE(2013,1,1), P_violacea_Spain_Med!$F:$F, "Granada")</f>
        <v>0</v>
      </c>
      <c r="M10" s="18">
        <f>SUMIFS(P_violacea_Spain_Med!$J:$J, P_violacea_Spain_Med!$B:$B, "&gt;="&amp;DATE(2012,1,1), P_violacea_Spain_Med!$B:$B, "&lt;"&amp;DATE(2013,1,1), P_violacea_Spain_Med!$F:$F, "Málaga")</f>
        <v>0</v>
      </c>
      <c r="N10" s="18">
        <f>SUMIFS(P_violacea_Spain_Med!$J:$J, P_violacea_Spain_Med!$B:$B, "&gt;="&amp;DATE(2012,1,1), P_violacea_Spain_Med!$B:$B, "&lt;"&amp;DATE(2013,1,1), P_violacea_Spain_Med!$F:$F, "Cádiz")</f>
        <v>0</v>
      </c>
      <c r="O10" s="26">
        <f t="shared" si="2"/>
        <v>0</v>
      </c>
      <c r="P10" s="27">
        <f>SUMIFS(P_violacea_Spain_Med!$J:$J, P_violacea_Spain_Med!$B:$B, "&gt;="&amp;DATE(2012,1,1), P_violacea_Spain_Med!$B:$B, "&lt;"&amp;DATE(2013,1,1), P_violacea_Spain_Med!$F:$F, "Islas Baleares")</f>
        <v>0</v>
      </c>
      <c r="Q10" s="28">
        <f>SUMIFS(P_violacea_Spain_Med!$J:$J, P_violacea_Spain_Med!$B:$B, "&gt;="&amp;DATE(2012,1,1), P_violacea_Spain_Med!$B:$B, "&lt;"&amp;DATE(2013,1,1), P_violacea_Spain_Med!$F:$F, "Ceuta")</f>
        <v>0</v>
      </c>
      <c r="R10" s="29">
        <f>SUMIFS(P_violacea_Spain_Med!$J:$J, P_violacea_Spain_Med!$B:$B, "&gt;="&amp;DATE(2012,1,1), P_violacea_Spain_Med!$B:$B, "&lt;"&amp;DATE(2013,1,1), P_violacea_Spain_Med!$F:$F, "Melilla")</f>
        <v>0</v>
      </c>
      <c r="S10" s="46">
        <f>SUMIFS(P_violacea_Spain_Med!$J:$J, P_violacea_Spain_Med!$B:$B, "&gt;="&amp;DATE(2012,1,1), P_violacea_Spain_Med!$B:$B, "&lt;"&amp;DATE(2013,1,1), P_violacea_Spain_Med!$F:$F, "nd")</f>
        <v>0</v>
      </c>
      <c r="T10" s="41">
        <f t="shared" si="3"/>
        <v>2</v>
      </c>
    </row>
    <row r="11" spans="1:20" x14ac:dyDescent="0.25">
      <c r="A11" s="10">
        <v>2013</v>
      </c>
      <c r="B11" s="19">
        <f>SUMIFS(P_violacea_Spain_Med!$J:$J, P_violacea_Spain_Med!$B:$B, "&gt;="&amp;DATE(2013,1,1), P_violacea_Spain_Med!$B:$B, "&lt;"&amp;DATE(2014,1,1), P_violacea_Spain_Med!$F:$F, "Girona")</f>
        <v>0</v>
      </c>
      <c r="C11" s="19">
        <f>SUMIFS(P_violacea_Spain_Med!$J:$J, P_violacea_Spain_Med!$B:$B, "&gt;="&amp;DATE(2013,1,1), P_violacea_Spain_Med!$B:$B, "&lt;"&amp;DATE(2014,1,1), P_violacea_Spain_Med!$F:$F, "Barcelona")</f>
        <v>1</v>
      </c>
      <c r="D11" s="19">
        <f>SUMIFS(P_violacea_Spain_Med!$J:$J, P_violacea_Spain_Med!$B:$B, "&gt;="&amp;DATE(2013,1,1), P_violacea_Spain_Med!$B:$B, "&lt;"&amp;DATE(2014,1,1), P_violacea_Spain_Med!$F:$F, "Tarragona")</f>
        <v>0</v>
      </c>
      <c r="E11" s="23">
        <f t="shared" si="0"/>
        <v>1</v>
      </c>
      <c r="F11" s="20">
        <f>SUMIFS(P_violacea_Spain_Med!$J:$J, P_violacea_Spain_Med!$B:$B, "&gt;="&amp;DATE(2013,1,1), P_violacea_Spain_Med!$B:$B, "&lt;"&amp;DATE(2014,1,1), P_violacea_Spain_Med!$F:$F, "Castellón")</f>
        <v>1</v>
      </c>
      <c r="G11" s="20">
        <f>SUMIFS(P_violacea_Spain_Med!$J:$J, P_violacea_Spain_Med!$B:$B, "&gt;="&amp;DATE(2013,1,1), P_violacea_Spain_Med!$B:$B, "&lt;"&amp;DATE(2014,1,1), P_violacea_Spain_Med!$F:$F, "Valencia")</f>
        <v>5</v>
      </c>
      <c r="H11" s="20">
        <f>SUMIFS(P_violacea_Spain_Med!$J:$J, P_violacea_Spain_Med!$B:$B, "&gt;="&amp;DATE(2013,1,1), P_violacea_Spain_Med!$B:$B, "&lt;"&amp;DATE(2014,1,1), P_violacea_Spain_Med!$F:$F, "Alicante")</f>
        <v>1</v>
      </c>
      <c r="I11" s="24">
        <f t="shared" si="1"/>
        <v>7</v>
      </c>
      <c r="J11" s="25">
        <f>SUMIFS(P_violacea_Spain_Med!$J:$J, P_violacea_Spain_Med!$B:$B, "&gt;="&amp;DATE(2013,1,1), P_violacea_Spain_Med!$B:$B, "&lt;"&amp;DATE(2014,1,1), P_violacea_Spain_Med!$F:$F, "Región de Murcia")</f>
        <v>0</v>
      </c>
      <c r="K11" s="18">
        <f>SUMIFS(P_violacea_Spain_Med!$J:$J, P_violacea_Spain_Med!$B:$B, "&gt;="&amp;DATE(2013,1,1), P_violacea_Spain_Med!$B:$B, "&lt;"&amp;DATE(2014,1,1), P_violacea_Spain_Med!$F:$F, "Almería")</f>
        <v>0</v>
      </c>
      <c r="L11" s="18">
        <f>SUMIFS(P_violacea_Spain_Med!$J:$J, P_violacea_Spain_Med!$B:$B, "&gt;="&amp;DATE(2013,1,1), P_violacea_Spain_Med!$B:$B, "&lt;"&amp;DATE(2014,1,1), P_violacea_Spain_Med!$F:$F, "Granada")</f>
        <v>0</v>
      </c>
      <c r="M11" s="18">
        <f>SUMIFS(P_violacea_Spain_Med!$J:$J, P_violacea_Spain_Med!$B:$B, "&gt;="&amp;DATE(2013,1,1), P_violacea_Spain_Med!$B:$B, "&lt;"&amp;DATE(2014,1,1), P_violacea_Spain_Med!$F:$F, "Málaga")</f>
        <v>0</v>
      </c>
      <c r="N11" s="18">
        <f>SUMIFS(P_violacea_Spain_Med!$J:$J, P_violacea_Spain_Med!$B:$B, "&gt;="&amp;DATE(2013,1,1), P_violacea_Spain_Med!$B:$B, "&lt;"&amp;DATE(2014,1,1), P_violacea_Spain_Med!$F:$F, "Cádiz")</f>
        <v>0</v>
      </c>
      <c r="O11" s="26">
        <f t="shared" si="2"/>
        <v>0</v>
      </c>
      <c r="P11" s="27">
        <f>SUMIFS(P_violacea_Spain_Med!$J:$J, P_violacea_Spain_Med!$B:$B, "&gt;="&amp;DATE(2013,1,1), P_violacea_Spain_Med!$B:$B, "&lt;"&amp;DATE(2014,1,1), P_violacea_Spain_Med!$F:$F, "Islas Baleares")</f>
        <v>1</v>
      </c>
      <c r="Q11" s="28">
        <f>SUMIFS(P_violacea_Spain_Med!$J:$J, P_violacea_Spain_Med!$B:$B, "&gt;="&amp;DATE(2013,1,1), P_violacea_Spain_Med!$B:$B, "&lt;"&amp;DATE(2014,1,1), P_violacea_Spain_Med!$F:$F, "Ceuta")</f>
        <v>0</v>
      </c>
      <c r="R11" s="29">
        <f>SUMIFS(P_violacea_Spain_Med!$J:$J, P_violacea_Spain_Med!$B:$B, "&gt;="&amp;DATE(2013,1,1), P_violacea_Spain_Med!$B:$B, "&lt;"&amp;DATE(2014,1,1), P_violacea_Spain_Med!$F:$F, "Melilla")</f>
        <v>0</v>
      </c>
      <c r="S11" s="46">
        <f>SUMIFS(P_violacea_Spain_Med!$J:$J, P_violacea_Spain_Med!$B:$B, "&gt;="&amp;DATE(2013,1,1), P_violacea_Spain_Med!$B:$B, "&lt;"&amp;DATE(2014,1,1), P_violacea_Spain_Med!$F:$F, "nd")</f>
        <v>0</v>
      </c>
      <c r="T11" s="41">
        <f t="shared" si="3"/>
        <v>9</v>
      </c>
    </row>
    <row r="12" spans="1:20" x14ac:dyDescent="0.25">
      <c r="A12" s="10">
        <v>2014</v>
      </c>
      <c r="B12" s="19">
        <f>SUMIFS(P_violacea_Spain_Med!$J:$J, P_violacea_Spain_Med!$B:$B, "&gt;="&amp;DATE(2014,1,1), P_violacea_Spain_Med!$B:$B, "&lt;"&amp;DATE(2015,1,1), P_violacea_Spain_Med!$F:$F, "Girona")</f>
        <v>0</v>
      </c>
      <c r="C12" s="19">
        <f>SUMIFS(P_violacea_Spain_Med!$J:$J, P_violacea_Spain_Med!$B:$B, "&gt;="&amp;DATE(2014,1,1), P_violacea_Spain_Med!$B:$B, "&lt;"&amp;DATE(2015,1,1), P_violacea_Spain_Med!$F:$F, "Barcelona")</f>
        <v>0</v>
      </c>
      <c r="D12" s="19">
        <f>SUMIFS(P_violacea_Spain_Med!$J:$J, P_violacea_Spain_Med!$B:$B, "&gt;="&amp;DATE(2014,1,1), P_violacea_Spain_Med!$B:$B, "&lt;"&amp;DATE(2015,1,1), P_violacea_Spain_Med!$F:$F, "Tarragona")</f>
        <v>0</v>
      </c>
      <c r="E12" s="23">
        <f t="shared" si="0"/>
        <v>0</v>
      </c>
      <c r="F12" s="20">
        <f>SUMIFS(P_violacea_Spain_Med!$J:$J, P_violacea_Spain_Med!$B:$B, "&gt;="&amp;DATE(2014,1,1), P_violacea_Spain_Med!$B:$B, "&lt;"&amp;DATE(2015,1,1), P_violacea_Spain_Med!$F:$F, "Castellón")</f>
        <v>0</v>
      </c>
      <c r="G12" s="20">
        <f>SUMIFS(P_violacea_Spain_Med!$J:$J, P_violacea_Spain_Med!$B:$B, "&gt;="&amp;DATE(2014,1,1), P_violacea_Spain_Med!$B:$B, "&lt;"&amp;DATE(2015,1,1), P_violacea_Spain_Med!$F:$F, "Valencia")</f>
        <v>0</v>
      </c>
      <c r="H12" s="20">
        <f>SUMIFS(P_violacea_Spain_Med!$J:$J, P_violacea_Spain_Med!$B:$B, "&gt;="&amp;DATE(2014,1,1), P_violacea_Spain_Med!$B:$B, "&lt;"&amp;DATE(2015,1,1), P_violacea_Spain_Med!$F:$F, "Alicante")</f>
        <v>1</v>
      </c>
      <c r="I12" s="24">
        <f t="shared" si="1"/>
        <v>1</v>
      </c>
      <c r="J12" s="25">
        <f>SUMIFS(P_violacea_Spain_Med!$J:$J, P_violacea_Spain_Med!$B:$B, "&gt;="&amp;DATE(2014,1,1), P_violacea_Spain_Med!$B:$B, "&lt;"&amp;DATE(2015,1,1), P_violacea_Spain_Med!$F:$F, "Región de Murcia")</f>
        <v>0</v>
      </c>
      <c r="K12" s="18">
        <f>SUMIFS(P_violacea_Spain_Med!$J:$J, P_violacea_Spain_Med!$B:$B, "&gt;="&amp;DATE(2014,1,1), P_violacea_Spain_Med!$B:$B, "&lt;"&amp;DATE(2015,1,1), P_violacea_Spain_Med!$F:$F, "Almería")</f>
        <v>0</v>
      </c>
      <c r="L12" s="18">
        <f>SUMIFS(P_violacea_Spain_Med!$J:$J, P_violacea_Spain_Med!$B:$B, "&gt;="&amp;DATE(2014,1,1), P_violacea_Spain_Med!$B:$B, "&lt;"&amp;DATE(2015,1,1), P_violacea_Spain_Med!$F:$F, "Granada")</f>
        <v>0</v>
      </c>
      <c r="M12" s="18">
        <f>SUMIFS(P_violacea_Spain_Med!$J:$J, P_violacea_Spain_Med!$B:$B, "&gt;="&amp;DATE(2014,1,1), P_violacea_Spain_Med!$B:$B, "&lt;"&amp;DATE(2015,1,1), P_violacea_Spain_Med!$F:$F, "Málaga")</f>
        <v>0</v>
      </c>
      <c r="N12" s="18">
        <f>SUMIFS(P_violacea_Spain_Med!$J:$J, P_violacea_Spain_Med!$B:$B, "&gt;="&amp;DATE(2014,1,1), P_violacea_Spain_Med!$B:$B, "&lt;"&amp;DATE(2015,1,1), P_violacea_Spain_Med!$F:$F, "Cádiz")</f>
        <v>0</v>
      </c>
      <c r="O12" s="26">
        <f t="shared" si="2"/>
        <v>0</v>
      </c>
      <c r="P12" s="27">
        <f>SUMIFS(P_violacea_Spain_Med!$J:$J, P_violacea_Spain_Med!$B:$B, "&gt;="&amp;DATE(2014,1,1), P_violacea_Spain_Med!$B:$B, "&lt;"&amp;DATE(2015,1,1), P_violacea_Spain_Med!$F:$F, "Islas Baleares")</f>
        <v>0</v>
      </c>
      <c r="Q12" s="28">
        <f>SUMIFS(P_violacea_Spain_Med!$J:$J, P_violacea_Spain_Med!$B:$B, "&gt;="&amp;DATE(2014,1,1), P_violacea_Spain_Med!$B:$B, "&lt;"&amp;DATE(2015,1,1), P_violacea_Spain_Med!$F:$F, "Ceuta")</f>
        <v>0</v>
      </c>
      <c r="R12" s="29">
        <f>SUMIFS(P_violacea_Spain_Med!$J:$J, P_violacea_Spain_Med!$B:$B, "&gt;="&amp;DATE(2014,1,1), P_violacea_Spain_Med!$B:$B, "&lt;"&amp;DATE(2015,1,1), P_violacea_Spain_Med!$F:$F, "Melilla")</f>
        <v>0</v>
      </c>
      <c r="S12" s="46">
        <f>SUMIFS(P_violacea_Spain_Med!$J:$J, P_violacea_Spain_Med!$B:$B, "&gt;="&amp;DATE(2014,1,1), P_violacea_Spain_Med!$B:$B, "&lt;"&amp;DATE(2015,1,1), P_violacea_Spain_Med!$F:$F, "nd")</f>
        <v>0</v>
      </c>
      <c r="T12" s="41">
        <f t="shared" si="3"/>
        <v>1</v>
      </c>
    </row>
    <row r="13" spans="1:20" x14ac:dyDescent="0.25">
      <c r="A13" s="10">
        <v>2015</v>
      </c>
      <c r="B13" s="19">
        <f>SUMIFS(P_violacea_Spain_Med!$J:$J, P_violacea_Spain_Med!$B:$B, "&gt;="&amp;DATE(2015,1,1), P_violacea_Spain_Med!$B:$B, "&lt;"&amp;DATE(2016,1,1), P_violacea_Spain_Med!$F:$F, "Girona")</f>
        <v>0</v>
      </c>
      <c r="C13" s="19">
        <f>SUMIFS(P_violacea_Spain_Med!$J:$J, P_violacea_Spain_Med!$B:$B, "&gt;="&amp;DATE(2015,1,1), P_violacea_Spain_Med!$B:$B, "&lt;"&amp;DATE(2016,1,1), P_violacea_Spain_Med!$F:$F, "Barcelona")</f>
        <v>0</v>
      </c>
      <c r="D13" s="19">
        <f>SUMIFS(P_violacea_Spain_Med!$J:$J, P_violacea_Spain_Med!$B:$B, "&gt;="&amp;DATE(2015,1,1), P_violacea_Spain_Med!$B:$B, "&lt;"&amp;DATE(2016,1,1), P_violacea_Spain_Med!$F:$F, "Tarragona")</f>
        <v>0</v>
      </c>
      <c r="E13" s="23">
        <f t="shared" si="0"/>
        <v>0</v>
      </c>
      <c r="F13" s="20">
        <f>SUMIFS(P_violacea_Spain_Med!$J:$J, P_violacea_Spain_Med!$B:$B, "&gt;="&amp;DATE(2015,1,1), P_violacea_Spain_Med!$B:$B, "&lt;"&amp;DATE(2016,1,1), P_violacea_Spain_Med!$F:$F, "Castellón")</f>
        <v>0</v>
      </c>
      <c r="G13" s="20">
        <f>SUMIFS(P_violacea_Spain_Med!$J:$J, P_violacea_Spain_Med!$B:$B, "&gt;="&amp;DATE(2015,1,1), P_violacea_Spain_Med!$B:$B, "&lt;"&amp;DATE(2016,1,1), P_violacea_Spain_Med!$F:$F, "Valencia")</f>
        <v>0</v>
      </c>
      <c r="H13" s="20">
        <f>SUMIFS(P_violacea_Spain_Med!$J:$J, P_violacea_Spain_Med!$B:$B, "&gt;="&amp;DATE(2015,1,1), P_violacea_Spain_Med!$B:$B, "&lt;"&amp;DATE(2016,1,1), P_violacea_Spain_Med!$F:$F, "Alicante")</f>
        <v>1</v>
      </c>
      <c r="I13" s="24">
        <f t="shared" si="1"/>
        <v>1</v>
      </c>
      <c r="J13" s="25">
        <f>SUMIFS(P_violacea_Spain_Med!$J:$J, P_violacea_Spain_Med!$B:$B, "&gt;="&amp;DATE(2015,1,1), P_violacea_Spain_Med!$B:$B, "&lt;"&amp;DATE(2016,1,1), P_violacea_Spain_Med!$F:$F, "Región de Murcia")</f>
        <v>0</v>
      </c>
      <c r="K13" s="18">
        <f>SUMIFS(P_violacea_Spain_Med!$J:$J, P_violacea_Spain_Med!$B:$B, "&gt;="&amp;DATE(2015,1,1), P_violacea_Spain_Med!$B:$B, "&lt;"&amp;DATE(2016,1,1), P_violacea_Spain_Med!$F:$F, "Almería")</f>
        <v>1</v>
      </c>
      <c r="L13" s="18">
        <f>SUMIFS(P_violacea_Spain_Med!$J:$J, P_violacea_Spain_Med!$B:$B, "&gt;="&amp;DATE(2015,1,1), P_violacea_Spain_Med!$B:$B, "&lt;"&amp;DATE(2016,1,1), P_violacea_Spain_Med!$F:$F, "Granada")</f>
        <v>0</v>
      </c>
      <c r="M13" s="18">
        <f>SUMIFS(P_violacea_Spain_Med!$J:$J, P_violacea_Spain_Med!$B:$B, "&gt;="&amp;DATE(2015,1,1), P_violacea_Spain_Med!$B:$B, "&lt;"&amp;DATE(2016,1,1), P_violacea_Spain_Med!$F:$F, "Málaga")</f>
        <v>0</v>
      </c>
      <c r="N13" s="18">
        <f>SUMIFS(P_violacea_Spain_Med!$J:$J, P_violacea_Spain_Med!$B:$B, "&gt;="&amp;DATE(2015,1,1), P_violacea_Spain_Med!$B:$B, "&lt;"&amp;DATE(2016,1,1), P_violacea_Spain_Med!$F:$F, "Cádiz")</f>
        <v>0</v>
      </c>
      <c r="O13" s="26">
        <f t="shared" si="2"/>
        <v>1</v>
      </c>
      <c r="P13" s="27">
        <f>SUMIFS(P_violacea_Spain_Med!$J:$J, P_violacea_Spain_Med!$B:$B, "&gt;="&amp;DATE(2015,1,1), P_violacea_Spain_Med!$B:$B, "&lt;"&amp;DATE(2016,1,1), P_violacea_Spain_Med!$F:$F, "Islas Baleares")</f>
        <v>0</v>
      </c>
      <c r="Q13" s="28">
        <f>SUMIFS(P_violacea_Spain_Med!$J:$J, P_violacea_Spain_Med!$B:$B, "&gt;="&amp;DATE(2015,1,1), P_violacea_Spain_Med!$B:$B, "&lt;"&amp;DATE(2016,1,1), P_violacea_Spain_Med!$F:$F, "Ceuta")</f>
        <v>0</v>
      </c>
      <c r="R13" s="29">
        <f>SUMIFS(P_violacea_Spain_Med!$J:$J, P_violacea_Spain_Med!$B:$B, "&gt;="&amp;DATE(2015,1,1), P_violacea_Spain_Med!$B:$B, "&lt;"&amp;DATE(2016,1,1), P_violacea_Spain_Med!$F:$F, "Melilla")</f>
        <v>0</v>
      </c>
      <c r="S13" s="46">
        <f>SUMIFS(P_violacea_Spain_Med!$J:$J, P_violacea_Spain_Med!$B:$B, "&gt;="&amp;DATE(2015,1,1), P_violacea_Spain_Med!$B:$B, "&lt;"&amp;DATE(2016,1,1), P_violacea_Spain_Med!$F:$F, "nd")</f>
        <v>0</v>
      </c>
      <c r="T13" s="41">
        <f t="shared" si="3"/>
        <v>2</v>
      </c>
    </row>
    <row r="14" spans="1:20" x14ac:dyDescent="0.25">
      <c r="A14" s="10">
        <v>2016</v>
      </c>
      <c r="B14" s="19">
        <f>SUMIFS(P_violacea_Spain_Med!$J:$J, P_violacea_Spain_Med!$B:$B, "&gt;="&amp;DATE(2016,1,1), P_violacea_Spain_Med!$B:$B, "&lt;"&amp;DATE(2017,1,1), P_violacea_Spain_Med!$F:$F, "Girona")</f>
        <v>1</v>
      </c>
      <c r="C14" s="19">
        <f>SUMIFS(P_violacea_Spain_Med!$J:$J, P_violacea_Spain_Med!$B:$B, "&gt;="&amp;DATE(2016,1,1), P_violacea_Spain_Med!$B:$B, "&lt;"&amp;DATE(2017,1,1), P_violacea_Spain_Med!$F:$F, "Barcelona")</f>
        <v>2</v>
      </c>
      <c r="D14" s="19">
        <f>SUMIFS(P_violacea_Spain_Med!$J:$J, P_violacea_Spain_Med!$B:$B, "&gt;="&amp;DATE(2016,1,1), P_violacea_Spain_Med!$B:$B, "&lt;"&amp;DATE(2017,1,1), P_violacea_Spain_Med!$F:$F, "Tarragona")</f>
        <v>0</v>
      </c>
      <c r="E14" s="23">
        <f t="shared" si="0"/>
        <v>3</v>
      </c>
      <c r="F14" s="20">
        <f>SUMIFS(P_violacea_Spain_Med!$J:$J, P_violacea_Spain_Med!$B:$B, "&gt;="&amp;DATE(2016,1,1), P_violacea_Spain_Med!$B:$B, "&lt;"&amp;DATE(2017,1,1), P_violacea_Spain_Med!$F:$F, "Castellón")</f>
        <v>1</v>
      </c>
      <c r="G14" s="20">
        <f>SUMIFS(P_violacea_Spain_Med!$J:$J, P_violacea_Spain_Med!$B:$B, "&gt;="&amp;DATE(2016,1,1), P_violacea_Spain_Med!$B:$B, "&lt;"&amp;DATE(2017,1,1), P_violacea_Spain_Med!$F:$F, "Valencia")</f>
        <v>0</v>
      </c>
      <c r="H14" s="20">
        <f>SUMIFS(P_violacea_Spain_Med!$J:$J, P_violacea_Spain_Med!$B:$B, "&gt;="&amp;DATE(2016,1,1), P_violacea_Spain_Med!$B:$B, "&lt;"&amp;DATE(2017,1,1), P_violacea_Spain_Med!$F:$F, "Alicante")</f>
        <v>3</v>
      </c>
      <c r="I14" s="24">
        <f t="shared" si="1"/>
        <v>4</v>
      </c>
      <c r="J14" s="25">
        <f>SUMIFS(P_violacea_Spain_Med!$J:$J, P_violacea_Spain_Med!$B:$B, "&gt;="&amp;DATE(2016,1,1), P_violacea_Spain_Med!$B:$B, "&lt;"&amp;DATE(2017,1,1), P_violacea_Spain_Med!$F:$F, "Región de Murcia")</f>
        <v>0</v>
      </c>
      <c r="K14" s="18">
        <f>SUMIFS(P_violacea_Spain_Med!$J:$J, P_violacea_Spain_Med!$B:$B, "&gt;="&amp;DATE(2016,1,1), P_violacea_Spain_Med!$B:$B, "&lt;"&amp;DATE(2017,1,1), P_violacea_Spain_Med!$F:$F, "Almería")</f>
        <v>2</v>
      </c>
      <c r="L14" s="18">
        <f>SUMIFS(P_violacea_Spain_Med!$J:$J, P_violacea_Spain_Med!$B:$B, "&gt;="&amp;DATE(2016,1,1), P_violacea_Spain_Med!$B:$B, "&lt;"&amp;DATE(2017,1,1), P_violacea_Spain_Med!$F:$F, "Granada")</f>
        <v>3</v>
      </c>
      <c r="M14" s="18">
        <f>SUMIFS(P_violacea_Spain_Med!$J:$J, P_violacea_Spain_Med!$B:$B, "&gt;="&amp;DATE(2016,1,1), P_violacea_Spain_Med!$B:$B, "&lt;"&amp;DATE(2017,1,1), P_violacea_Spain_Med!$F:$F, "Málaga")</f>
        <v>0</v>
      </c>
      <c r="N14" s="18">
        <f>SUMIFS(P_violacea_Spain_Med!$J:$J, P_violacea_Spain_Med!$B:$B, "&gt;="&amp;DATE(2016,1,1), P_violacea_Spain_Med!$B:$B, "&lt;"&amp;DATE(2017,1,1), P_violacea_Spain_Med!$F:$F, "Cádiz")</f>
        <v>0</v>
      </c>
      <c r="O14" s="26">
        <f t="shared" si="2"/>
        <v>5</v>
      </c>
      <c r="P14" s="27">
        <f>SUMIFS(P_violacea_Spain_Med!$J:$J, P_violacea_Spain_Med!$B:$B, "&gt;="&amp;DATE(2016,1,1), P_violacea_Spain_Med!$B:$B, "&lt;"&amp;DATE(2017,1,1), P_violacea_Spain_Med!$F:$F, "Islas Baleares")</f>
        <v>4</v>
      </c>
      <c r="Q14" s="28">
        <f>SUMIFS(P_violacea_Spain_Med!$J:$J, P_violacea_Spain_Med!$B:$B, "&gt;="&amp;DATE(2016,1,1), P_violacea_Spain_Med!$B:$B, "&lt;"&amp;DATE(2017,1,1), P_violacea_Spain_Med!$F:$F, "Ceuta")</f>
        <v>0</v>
      </c>
      <c r="R14" s="29">
        <f>SUMIFS(P_violacea_Spain_Med!$J:$J, P_violacea_Spain_Med!$B:$B, "&gt;="&amp;DATE(2016,1,1), P_violacea_Spain_Med!$B:$B, "&lt;"&amp;DATE(2017,1,1), P_violacea_Spain_Med!$F:$F, "Melilla")</f>
        <v>0</v>
      </c>
      <c r="S14" s="46">
        <f>SUMIFS(P_violacea_Spain_Med!$J:$J, P_violacea_Spain_Med!$B:$B, "&gt;="&amp;DATE(2016,1,1), P_violacea_Spain_Med!$B:$B, "&lt;"&amp;DATE(2017,1,1), P_violacea_Spain_Med!$F:$F, "nd")</f>
        <v>0</v>
      </c>
      <c r="T14" s="41">
        <f t="shared" si="3"/>
        <v>16</v>
      </c>
    </row>
    <row r="15" spans="1:20" x14ac:dyDescent="0.25">
      <c r="A15" s="10">
        <v>2017</v>
      </c>
      <c r="B15" s="19">
        <f>SUMIFS(P_violacea_Spain_Med!$J:$J, P_violacea_Spain_Med!$B:$B, "&gt;="&amp;DATE(2017,1,1), P_violacea_Spain_Med!$B:$B, "&lt;"&amp;DATE(2018,1,1), P_violacea_Spain_Med!$F:$F, "Girona")</f>
        <v>1</v>
      </c>
      <c r="C15" s="19">
        <f>SUMIFS(P_violacea_Spain_Med!$J:$J, P_violacea_Spain_Med!$B:$B, "&gt;="&amp;DATE(2017,1,1), P_violacea_Spain_Med!$B:$B, "&lt;"&amp;DATE(2018,1,1), P_violacea_Spain_Med!$F:$F, "Barcelona")</f>
        <v>2</v>
      </c>
      <c r="D15" s="19">
        <f>SUMIFS(P_violacea_Spain_Med!$J:$J, P_violacea_Spain_Med!$B:$B, "&gt;="&amp;DATE(2017,1,1), P_violacea_Spain_Med!$B:$B, "&lt;"&amp;DATE(2018,1,1), P_violacea_Spain_Med!$F:$F, "Tarragona")</f>
        <v>0</v>
      </c>
      <c r="E15" s="23">
        <f t="shared" si="0"/>
        <v>3</v>
      </c>
      <c r="F15" s="20">
        <f>SUMIFS(P_violacea_Spain_Med!$J:$J, P_violacea_Spain_Med!$B:$B, "&gt;="&amp;DATE(2017,1,1), P_violacea_Spain_Med!$B:$B, "&lt;"&amp;DATE(2018,1,1), P_violacea_Spain_Med!$F:$F, "Castellón")</f>
        <v>0</v>
      </c>
      <c r="G15" s="20">
        <f>SUMIFS(P_violacea_Spain_Med!$J:$J, P_violacea_Spain_Med!$B:$B, "&gt;="&amp;DATE(2017,1,1), P_violacea_Spain_Med!$B:$B, "&lt;"&amp;DATE(2018,1,1), P_violacea_Spain_Med!$F:$F, "Valencia")</f>
        <v>1</v>
      </c>
      <c r="H15" s="20">
        <f>SUMIFS(P_violacea_Spain_Med!$J:$J, P_violacea_Spain_Med!$B:$B, "&gt;="&amp;DATE(2017,1,1), P_violacea_Spain_Med!$B:$B, "&lt;"&amp;DATE(2018,1,1), P_violacea_Spain_Med!$F:$F, "Alicante")</f>
        <v>0</v>
      </c>
      <c r="I15" s="24">
        <f t="shared" si="1"/>
        <v>1</v>
      </c>
      <c r="J15" s="25">
        <f>SUMIFS(P_violacea_Spain_Med!$J:$J, P_violacea_Spain_Med!$B:$B, "&gt;="&amp;DATE(2017,1,1), P_violacea_Spain_Med!$B:$B, "&lt;"&amp;DATE(2018,1,1), P_violacea_Spain_Med!$F:$F, "Región de Murcia")</f>
        <v>0</v>
      </c>
      <c r="K15" s="18">
        <f>SUMIFS(P_violacea_Spain_Med!$J:$J, P_violacea_Spain_Med!$B:$B, "&gt;="&amp;DATE(2017,1,1), P_violacea_Spain_Med!$B:$B, "&lt;"&amp;DATE(2018,1,1), P_violacea_Spain_Med!$F:$F, "Almería")</f>
        <v>0</v>
      </c>
      <c r="L15" s="18">
        <f>SUMIFS(P_violacea_Spain_Med!$J:$J, P_violacea_Spain_Med!$B:$B, "&gt;="&amp;DATE(2017,1,1), P_violacea_Spain_Med!$B:$B, "&lt;"&amp;DATE(2018,1,1), P_violacea_Spain_Med!$F:$F, "Granada")</f>
        <v>0</v>
      </c>
      <c r="M15" s="18">
        <f>SUMIFS(P_violacea_Spain_Med!$J:$J, P_violacea_Spain_Med!$B:$B, "&gt;="&amp;DATE(2017,1,1), P_violacea_Spain_Med!$B:$B, "&lt;"&amp;DATE(2018,1,1), P_violacea_Spain_Med!$F:$F, "Málaga")</f>
        <v>0</v>
      </c>
      <c r="N15" s="18">
        <f>SUMIFS(P_violacea_Spain_Med!$J:$J, P_violacea_Spain_Med!$B:$B, "&gt;="&amp;DATE(2017,1,1), P_violacea_Spain_Med!$B:$B, "&lt;"&amp;DATE(2018,1,1), P_violacea_Spain_Med!$F:$F, "Cádiz")</f>
        <v>0</v>
      </c>
      <c r="O15" s="26">
        <f t="shared" si="2"/>
        <v>0</v>
      </c>
      <c r="P15" s="27">
        <f>SUMIFS(P_violacea_Spain_Med!$J:$J, P_violacea_Spain_Med!$B:$B, "&gt;="&amp;DATE(2017,1,1), P_violacea_Spain_Med!$B:$B, "&lt;"&amp;DATE(2018,1,1), P_violacea_Spain_Med!$F:$F, "Islas Baleares")</f>
        <v>2</v>
      </c>
      <c r="Q15" s="28">
        <f>SUMIFS(P_violacea_Spain_Med!$J:$J, P_violacea_Spain_Med!$B:$B, "&gt;="&amp;DATE(2017,1,1), P_violacea_Spain_Med!$B:$B, "&lt;"&amp;DATE(2018,1,1), P_violacea_Spain_Med!$F:$F, "Ceuta")</f>
        <v>0</v>
      </c>
      <c r="R15" s="29">
        <f>SUMIFS(P_violacea_Spain_Med!$J:$J, P_violacea_Spain_Med!$B:$B, "&gt;="&amp;DATE(2017,1,1), P_violacea_Spain_Med!$B:$B, "&lt;"&amp;DATE(2018,1,1), P_violacea_Spain_Med!$F:$F, "Melilla")</f>
        <v>0</v>
      </c>
      <c r="S15" s="46">
        <f>SUMIFS(P_violacea_Spain_Med!$J:$J, P_violacea_Spain_Med!$B:$B, "&gt;="&amp;DATE(2017,1,1), P_violacea_Spain_Med!$B:$B, "&lt;"&amp;DATE(2018,1,1), P_violacea_Spain_Med!$F:$F, "nd")</f>
        <v>0</v>
      </c>
      <c r="T15" s="41">
        <f t="shared" si="3"/>
        <v>6</v>
      </c>
    </row>
    <row r="16" spans="1:20" x14ac:dyDescent="0.25">
      <c r="A16" s="10">
        <v>2018</v>
      </c>
      <c r="B16" s="19">
        <f>SUMIFS(P_violacea_Spain_Med!$J:$J, P_violacea_Spain_Med!$B:$B, "&gt;="&amp;DATE(2018,1,1), P_violacea_Spain_Med!$B:$B, "&lt;"&amp;DATE(2019,1,1), P_violacea_Spain_Med!$F:$F, "Girona")</f>
        <v>35</v>
      </c>
      <c r="C16" s="19">
        <f>SUMIFS(P_violacea_Spain_Med!$J:$J, P_violacea_Spain_Med!$B:$B, "&gt;="&amp;DATE(2018,1,1), P_violacea_Spain_Med!$B:$B, "&lt;"&amp;DATE(2019,1,1), P_violacea_Spain_Med!$F:$F, "Barcelona")</f>
        <v>15</v>
      </c>
      <c r="D16" s="19">
        <f>SUMIFS(P_violacea_Spain_Med!$J:$J, P_violacea_Spain_Med!$B:$B, "&gt;="&amp;DATE(2018,1,1), P_violacea_Spain_Med!$B:$B, "&lt;"&amp;DATE(2019,1,1), P_violacea_Spain_Med!$F:$F, "Tarragona")</f>
        <v>60</v>
      </c>
      <c r="E16" s="23">
        <f t="shared" si="0"/>
        <v>110</v>
      </c>
      <c r="F16" s="20">
        <f>SUMIFS(P_violacea_Spain_Med!$J:$J, P_violacea_Spain_Med!$B:$B, "&gt;="&amp;DATE(2018,1,1), P_violacea_Spain_Med!$B:$B, "&lt;"&amp;DATE(2019,1,1), P_violacea_Spain_Med!$F:$F, "Castellón")</f>
        <v>12</v>
      </c>
      <c r="G16" s="20">
        <f>SUMIFS(P_violacea_Spain_Med!$J:$J, P_violacea_Spain_Med!$B:$B, "&gt;="&amp;DATE(2018,1,1), P_violacea_Spain_Med!$B:$B, "&lt;"&amp;DATE(2019,1,1), P_violacea_Spain_Med!$F:$F, "Valencia")</f>
        <v>0</v>
      </c>
      <c r="H16" s="20">
        <f>SUMIFS(P_violacea_Spain_Med!$J:$J, P_violacea_Spain_Med!$B:$B, "&gt;="&amp;DATE(2018,1,1), P_violacea_Spain_Med!$B:$B, "&lt;"&amp;DATE(2019,1,1), P_violacea_Spain_Med!$F:$F, "Alicante")</f>
        <v>2</v>
      </c>
      <c r="I16" s="24">
        <f t="shared" si="1"/>
        <v>14</v>
      </c>
      <c r="J16" s="25">
        <f>SUMIFS(P_violacea_Spain_Med!$J:$J, P_violacea_Spain_Med!$B:$B, "&gt;="&amp;DATE(2018,1,1), P_violacea_Spain_Med!$B:$B, "&lt;"&amp;DATE(2019,1,1), P_violacea_Spain_Med!$F:$F, "Región de Murcia")</f>
        <v>4</v>
      </c>
      <c r="K16" s="18">
        <f>SUMIFS(P_violacea_Spain_Med!$J:$J, P_violacea_Spain_Med!$B:$B, "&gt;="&amp;DATE(2018,1,1), P_violacea_Spain_Med!$B:$B, "&lt;"&amp;DATE(2019,1,1), P_violacea_Spain_Med!$F:$F, "Almería")</f>
        <v>3</v>
      </c>
      <c r="L16" s="18">
        <f>SUMIFS(P_violacea_Spain_Med!$J:$J, P_violacea_Spain_Med!$B:$B, "&gt;="&amp;DATE(2018,1,1), P_violacea_Spain_Med!$B:$B, "&lt;"&amp;DATE(2019,1,1), P_violacea_Spain_Med!$F:$F, "Granada")</f>
        <v>2</v>
      </c>
      <c r="M16" s="18">
        <f>SUMIFS(P_violacea_Spain_Med!$J:$J, P_violacea_Spain_Med!$B:$B, "&gt;="&amp;DATE(2018,1,1), P_violacea_Spain_Med!$B:$B, "&lt;"&amp;DATE(2019,1,1), P_violacea_Spain_Med!$F:$F, "Málaga")</f>
        <v>0</v>
      </c>
      <c r="N16" s="18">
        <f>SUMIFS(P_violacea_Spain_Med!$J:$J, P_violacea_Spain_Med!$B:$B, "&gt;="&amp;DATE(2018,1,1), P_violacea_Spain_Med!$B:$B, "&lt;"&amp;DATE(2019,1,1), P_violacea_Spain_Med!$F:$F, "Cádiz")</f>
        <v>0</v>
      </c>
      <c r="O16" s="26">
        <f t="shared" si="2"/>
        <v>5</v>
      </c>
      <c r="P16" s="27">
        <f>SUMIFS(P_violacea_Spain_Med!$J:$J, P_violacea_Spain_Med!$B:$B, "&gt;="&amp;DATE(2018,1,1), P_violacea_Spain_Med!$B:$B, "&lt;"&amp;DATE(2019,1,1), P_violacea_Spain_Med!$F:$F, "Islas Baleares")</f>
        <v>6</v>
      </c>
      <c r="Q16" s="28">
        <f>SUMIFS(P_violacea_Spain_Med!$J:$J, P_violacea_Spain_Med!$B:$B, "&gt;="&amp;DATE(2018,1,1), P_violacea_Spain_Med!$B:$B, "&lt;"&amp;DATE(2019,1,1), P_violacea_Spain_Med!$F:$F, "Ceuta")</f>
        <v>0</v>
      </c>
      <c r="R16" s="29">
        <f>SUMIFS(P_violacea_Spain_Med!$J:$J, P_violacea_Spain_Med!$B:$B, "&gt;="&amp;DATE(2018,1,1), P_violacea_Spain_Med!$B:$B, "&lt;"&amp;DATE(2019,1,1), P_violacea_Spain_Med!$F:$F, "Melilla")</f>
        <v>0</v>
      </c>
      <c r="S16" s="46">
        <f>SUMIFS(P_violacea_Spain_Med!$J:$J, P_violacea_Spain_Med!$B:$B, "&gt;="&amp;DATE(2018,1,1), P_violacea_Spain_Med!$B:$B, "&lt;"&amp;DATE(2019,1,1), P_violacea_Spain_Med!$F:$F, "nd")</f>
        <v>1</v>
      </c>
      <c r="T16" s="41">
        <f t="shared" si="3"/>
        <v>140</v>
      </c>
    </row>
    <row r="17" spans="1:20" x14ac:dyDescent="0.25">
      <c r="A17" s="10">
        <v>2019</v>
      </c>
      <c r="B17" s="19">
        <f>SUMIFS(P_violacea_Spain_Med!$J:$J, P_violacea_Spain_Med!$B:$B, "&gt;="&amp;DATE(2019,1,1), P_violacea_Spain_Med!$B:$B, "&lt;"&amp;DATE(2020,1,1), P_violacea_Spain_Med!$F:$F, "Girona")</f>
        <v>0</v>
      </c>
      <c r="C17" s="19">
        <f>SUMIFS(P_violacea_Spain_Med!$J:$J, P_violacea_Spain_Med!$B:$B, "&gt;="&amp;DATE(2019,1,1), P_violacea_Spain_Med!$B:$B, "&lt;"&amp;DATE(2020,1,1), P_violacea_Spain_Med!$F:$F, "Barcelona")</f>
        <v>1</v>
      </c>
      <c r="D17" s="19">
        <f>SUMIFS(P_violacea_Spain_Med!$J:$J, P_violacea_Spain_Med!$B:$B, "&gt;="&amp;DATE(2019,1,1), P_violacea_Spain_Med!$B:$B, "&lt;"&amp;DATE(2020,1,1), P_violacea_Spain_Med!$F:$F, "Tarragona")</f>
        <v>0</v>
      </c>
      <c r="E17" s="23">
        <f t="shared" si="0"/>
        <v>1</v>
      </c>
      <c r="F17" s="20">
        <f>SUMIFS(P_violacea_Spain_Med!$J:$J, P_violacea_Spain_Med!$B:$B, "&gt;="&amp;DATE(2019,1,1), P_violacea_Spain_Med!$B:$B, "&lt;"&amp;DATE(2020,1,1), P_violacea_Spain_Med!$F:$F, "Castellón")</f>
        <v>1</v>
      </c>
      <c r="G17" s="20">
        <f>SUMIFS(P_violacea_Spain_Med!$J:$J, P_violacea_Spain_Med!$B:$B, "&gt;="&amp;DATE(2019,1,1), P_violacea_Spain_Med!$B:$B, "&lt;"&amp;DATE(2020,1,1), P_violacea_Spain_Med!$F:$F, "Valencia")</f>
        <v>1</v>
      </c>
      <c r="H17" s="20">
        <f>SUMIFS(P_violacea_Spain_Med!$J:$J, P_violacea_Spain_Med!$B:$B, "&gt;="&amp;DATE(2019,1,1), P_violacea_Spain_Med!$B:$B, "&lt;"&amp;DATE(2020,1,1), P_violacea_Spain_Med!$F:$F, "Alicante")</f>
        <v>1</v>
      </c>
      <c r="I17" s="24">
        <f t="shared" si="1"/>
        <v>3</v>
      </c>
      <c r="J17" s="25">
        <f>SUMIFS(P_violacea_Spain_Med!$J:$J, P_violacea_Spain_Med!$B:$B, "&gt;="&amp;DATE(2019,1,1), P_violacea_Spain_Med!$B:$B, "&lt;"&amp;DATE(2020,1,1), P_violacea_Spain_Med!$F:$F, "Región de Murcia")</f>
        <v>5</v>
      </c>
      <c r="K17" s="18">
        <f>SUMIFS(P_violacea_Spain_Med!$J:$J, P_violacea_Spain_Med!$B:$B, "&gt;="&amp;DATE(2019,1,1), P_violacea_Spain_Med!$B:$B, "&lt;"&amp;DATE(2020,1,1), P_violacea_Spain_Med!$F:$F, "Almería")</f>
        <v>1</v>
      </c>
      <c r="L17" s="18">
        <f>SUMIFS(P_violacea_Spain_Med!$J:$J, P_violacea_Spain_Med!$B:$B, "&gt;="&amp;DATE(2019,1,1), P_violacea_Spain_Med!$B:$B, "&lt;"&amp;DATE(2020,1,1), P_violacea_Spain_Med!$F:$F, "Granada")</f>
        <v>1</v>
      </c>
      <c r="M17" s="18">
        <f>SUMIFS(P_violacea_Spain_Med!$J:$J, P_violacea_Spain_Med!$B:$B, "&gt;="&amp;DATE(2019,1,1), P_violacea_Spain_Med!$B:$B, "&lt;"&amp;DATE(2020,1,1), P_violacea_Spain_Med!$F:$F, "Málaga")</f>
        <v>1</v>
      </c>
      <c r="N17" s="18">
        <f>SUMIFS(P_violacea_Spain_Med!$J:$J, P_violacea_Spain_Med!$B:$B, "&gt;="&amp;DATE(2019,1,1), P_violacea_Spain_Med!$B:$B, "&lt;"&amp;DATE(2020,1,1), P_violacea_Spain_Med!$F:$F, "Cádiz")</f>
        <v>0</v>
      </c>
      <c r="O17" s="26">
        <f t="shared" si="2"/>
        <v>3</v>
      </c>
      <c r="P17" s="27">
        <f>SUMIFS(P_violacea_Spain_Med!$J:$J, P_violacea_Spain_Med!$B:$B, "&gt;="&amp;DATE(2019,1,1), P_violacea_Spain_Med!$B:$B, "&lt;"&amp;DATE(2020,1,1), P_violacea_Spain_Med!$F:$F, "Islas Baleares")</f>
        <v>2</v>
      </c>
      <c r="Q17" s="28">
        <f>SUMIFS(P_violacea_Spain_Med!$J:$J, P_violacea_Spain_Med!$B:$B, "&gt;="&amp;DATE(2019,1,1), P_violacea_Spain_Med!$B:$B, "&lt;"&amp;DATE(2020,1,1), P_violacea_Spain_Med!$F:$F, "Ceuta")</f>
        <v>0</v>
      </c>
      <c r="R17" s="29">
        <f>SUMIFS(P_violacea_Spain_Med!$J:$J, P_violacea_Spain_Med!$B:$B, "&gt;="&amp;DATE(2019,1,1), P_violacea_Spain_Med!$B:$B, "&lt;"&amp;DATE(2020,1,1), P_violacea_Spain_Med!$F:$F, "Melilla")</f>
        <v>0</v>
      </c>
      <c r="S17" s="46">
        <f>SUMIFS(P_violacea_Spain_Med!$J:$J, P_violacea_Spain_Med!$B:$B, "&gt;="&amp;DATE(2019,1,1), P_violacea_Spain_Med!$B:$B, "&lt;"&amp;DATE(2020,1,1), P_violacea_Spain_Med!$F:$F, "nd")</f>
        <v>0</v>
      </c>
      <c r="T17" s="41">
        <f t="shared" si="3"/>
        <v>14</v>
      </c>
    </row>
    <row r="18" spans="1:20" x14ac:dyDescent="0.25">
      <c r="A18" s="10">
        <v>2020</v>
      </c>
      <c r="B18" s="19">
        <f>SUMIFS(P_violacea_Spain_Med!$J:$J, P_violacea_Spain_Med!$B:$B, "&gt;="&amp;DATE(2020,1,1), P_violacea_Spain_Med!$B:$B, "&lt;"&amp;DATE(2021,1,1), P_violacea_Spain_Med!$F:$F, "Girona")</f>
        <v>3</v>
      </c>
      <c r="C18" s="19">
        <f>SUMIFS(P_violacea_Spain_Med!$J:$J, P_violacea_Spain_Med!$B:$B, "&gt;="&amp;DATE(2020,1,1), P_violacea_Spain_Med!$B:$B, "&lt;"&amp;DATE(2021,1,1), P_violacea_Spain_Med!$F:$F, "Barcelona")</f>
        <v>0</v>
      </c>
      <c r="D18" s="19">
        <f>SUMIFS(P_violacea_Spain_Med!$J:$J, P_violacea_Spain_Med!$B:$B, "&gt;="&amp;DATE(2020,1,1), P_violacea_Spain_Med!$B:$B, "&lt;"&amp;DATE(2021,1,1), P_violacea_Spain_Med!$F:$F, "Tarragona")</f>
        <v>1</v>
      </c>
      <c r="E18" s="23">
        <f t="shared" si="0"/>
        <v>4</v>
      </c>
      <c r="F18" s="20">
        <f>SUMIFS(P_violacea_Spain_Med!$J:$J, P_violacea_Spain_Med!$B:$B, "&gt;="&amp;DATE(2020,1,1), P_violacea_Spain_Med!$B:$B, "&lt;"&amp;DATE(2021,1,1), P_violacea_Spain_Med!$F:$F, "Castellón")</f>
        <v>4</v>
      </c>
      <c r="G18" s="20">
        <f>SUMIFS(P_violacea_Spain_Med!$J:$J, P_violacea_Spain_Med!$B:$B, "&gt;="&amp;DATE(2020,1,1), P_violacea_Spain_Med!$B:$B, "&lt;"&amp;DATE(2021,1,1), P_violacea_Spain_Med!$F:$F, "Valencia")</f>
        <v>0</v>
      </c>
      <c r="H18" s="20">
        <f>SUMIFS(P_violacea_Spain_Med!$J:$J, P_violacea_Spain_Med!$B:$B, "&gt;="&amp;DATE(2020,1,1), P_violacea_Spain_Med!$B:$B, "&lt;"&amp;DATE(2021,1,1), P_violacea_Spain_Med!$F:$F, "Alicante")</f>
        <v>21</v>
      </c>
      <c r="I18" s="24">
        <f t="shared" si="1"/>
        <v>25</v>
      </c>
      <c r="J18" s="25">
        <f>SUMIFS(P_violacea_Spain_Med!$J:$J, P_violacea_Spain_Med!$B:$B, "&gt;="&amp;DATE(2020,1,1), P_violacea_Spain_Med!$B:$B, "&lt;"&amp;DATE(2021,1,1), P_violacea_Spain_Med!$F:$F, "Región de Murcia")</f>
        <v>33</v>
      </c>
      <c r="K18" s="18">
        <f>SUMIFS(P_violacea_Spain_Med!$J:$J, P_violacea_Spain_Med!$B:$B, "&gt;="&amp;DATE(2020,1,1), P_violacea_Spain_Med!$B:$B, "&lt;"&amp;DATE(2021,1,1), P_violacea_Spain_Med!$F:$F, "Almería")</f>
        <v>4</v>
      </c>
      <c r="L18" s="18">
        <f>SUMIFS(P_violacea_Spain_Med!$J:$J, P_violacea_Spain_Med!$B:$B, "&gt;="&amp;DATE(2020,1,1), P_violacea_Spain_Med!$B:$B, "&lt;"&amp;DATE(2021,1,1), P_violacea_Spain_Med!$F:$F, "Granada")</f>
        <v>6</v>
      </c>
      <c r="M18" s="18">
        <f>SUMIFS(P_violacea_Spain_Med!$J:$J, P_violacea_Spain_Med!$B:$B, "&gt;="&amp;DATE(2020,1,1), P_violacea_Spain_Med!$B:$B, "&lt;"&amp;DATE(2021,1,1), P_violacea_Spain_Med!$F:$F, "Málaga")</f>
        <v>2</v>
      </c>
      <c r="N18" s="18">
        <f>SUMIFS(P_violacea_Spain_Med!$J:$J, P_violacea_Spain_Med!$B:$B, "&gt;="&amp;DATE(2020,1,1), P_violacea_Spain_Med!$B:$B, "&lt;"&amp;DATE(2021,1,1), P_violacea_Spain_Med!$F:$F, "Cádiz")</f>
        <v>0</v>
      </c>
      <c r="O18" s="26">
        <f t="shared" si="2"/>
        <v>12</v>
      </c>
      <c r="P18" s="27">
        <f>SUMIFS(P_violacea_Spain_Med!$J:$J, P_violacea_Spain_Med!$B:$B, "&gt;="&amp;DATE(2020,1,1), P_violacea_Spain_Med!$B:$B, "&lt;"&amp;DATE(2021,1,1), P_violacea_Spain_Med!$F:$F, "Islas Baleares")</f>
        <v>2</v>
      </c>
      <c r="Q18" s="28">
        <f>SUMIFS(P_violacea_Spain_Med!$J:$J, P_violacea_Spain_Med!$B:$B, "&gt;="&amp;DATE(2020,1,1), P_violacea_Spain_Med!$B:$B, "&lt;"&amp;DATE(2021,1,1), P_violacea_Spain_Med!$F:$F, "Ceuta")</f>
        <v>1</v>
      </c>
      <c r="R18" s="29">
        <f>SUMIFS(P_violacea_Spain_Med!$J:$J, P_violacea_Spain_Med!$B:$B, "&gt;="&amp;DATE(2020,1,1), P_violacea_Spain_Med!$B:$B, "&lt;"&amp;DATE(2021,1,1), P_violacea_Spain_Med!$F:$F, "Melilla")</f>
        <v>0</v>
      </c>
      <c r="S18" s="46">
        <f>SUMIFS(P_violacea_Spain_Med!$J:$J, P_violacea_Spain_Med!$B:$B, "&gt;="&amp;DATE(2020,1,1), P_violacea_Spain_Med!$B:$B, "&lt;"&amp;DATE(2021,1,1), P_violacea_Spain_Med!$F:$F, "nd")</f>
        <v>0</v>
      </c>
      <c r="T18" s="41">
        <f t="shared" si="3"/>
        <v>77</v>
      </c>
    </row>
    <row r="19" spans="1:20" x14ac:dyDescent="0.25">
      <c r="A19" s="10">
        <v>2021</v>
      </c>
      <c r="B19" s="19">
        <f>SUMIFS(P_violacea_Spain_Med!$J:$J, P_violacea_Spain_Med!$B:$B, "&gt;="&amp;DATE(2021,1,1), P_violacea_Spain_Med!$B:$B, "&lt;"&amp;DATE(2022,1,1), P_violacea_Spain_Med!$F:$F, "Girona")</f>
        <v>1</v>
      </c>
      <c r="C19" s="19">
        <f>SUMIFS(P_violacea_Spain_Med!$J:$J, P_violacea_Spain_Med!$B:$B, "&gt;="&amp;DATE(2021,1,1), P_violacea_Spain_Med!$B:$B, "&lt;"&amp;DATE(2022,1,1), P_violacea_Spain_Med!$F:$F, "Barcelona")</f>
        <v>0</v>
      </c>
      <c r="D19" s="19">
        <f>SUMIFS(P_violacea_Spain_Med!$J:$J, P_violacea_Spain_Med!$B:$B, "&gt;="&amp;DATE(2021,1,1), P_violacea_Spain_Med!$B:$B, "&lt;"&amp;DATE(2022,1,1), P_violacea_Spain_Med!$F:$F, "Tarragona")</f>
        <v>0</v>
      </c>
      <c r="E19" s="23">
        <f t="shared" si="0"/>
        <v>1</v>
      </c>
      <c r="F19" s="20">
        <f>SUMIFS(P_violacea_Spain_Med!$J:$J, P_violacea_Spain_Med!$B:$B, "&gt;="&amp;DATE(2021,1,1), P_violacea_Spain_Med!$B:$B, "&lt;"&amp;DATE(2022,1,1), P_violacea_Spain_Med!$F:$F, "Castellón")</f>
        <v>9</v>
      </c>
      <c r="G19" s="20">
        <f>SUMIFS(P_violacea_Spain_Med!$J:$J, P_violacea_Spain_Med!$B:$B, "&gt;="&amp;DATE(2021,1,1), P_violacea_Spain_Med!$B:$B, "&lt;"&amp;DATE(2022,1,1), P_violacea_Spain_Med!$F:$F, "Valencia")</f>
        <v>0</v>
      </c>
      <c r="H19" s="20">
        <f>SUMIFS(P_violacea_Spain_Med!$J:$J, P_violacea_Spain_Med!$B:$B, "&gt;="&amp;DATE(2021,1,1), P_violacea_Spain_Med!$B:$B, "&lt;"&amp;DATE(2022,1,1), P_violacea_Spain_Med!$F:$F, "Alicante")</f>
        <v>1</v>
      </c>
      <c r="I19" s="24">
        <f t="shared" si="1"/>
        <v>10</v>
      </c>
      <c r="J19" s="25">
        <f>SUMIFS(P_violacea_Spain_Med!$J:$J, P_violacea_Spain_Med!$B:$B, "&gt;="&amp;DATE(2021,1,1), P_violacea_Spain_Med!$B:$B, "&lt;"&amp;DATE(2022,1,1), P_violacea_Spain_Med!$F:$F, "Región de Murcia")</f>
        <v>0</v>
      </c>
      <c r="K19" s="18">
        <f>SUMIFS(P_violacea_Spain_Med!$J:$J, P_violacea_Spain_Med!$B:$B, "&gt;="&amp;DATE(2021,1,1), P_violacea_Spain_Med!$B:$B, "&lt;"&amp;DATE(2022,1,1), P_violacea_Spain_Med!$F:$F, "Almería")</f>
        <v>0</v>
      </c>
      <c r="L19" s="18">
        <f>SUMIFS(P_violacea_Spain_Med!$J:$J, P_violacea_Spain_Med!$B:$B, "&gt;="&amp;DATE(2021,1,1), P_violacea_Spain_Med!$B:$B, "&lt;"&amp;DATE(2022,1,1), P_violacea_Spain_Med!$F:$F, "Granada")</f>
        <v>0</v>
      </c>
      <c r="M19" s="18">
        <f>SUMIFS(P_violacea_Spain_Med!$J:$J, P_violacea_Spain_Med!$B:$B, "&gt;="&amp;DATE(2021,1,1), P_violacea_Spain_Med!$B:$B, "&lt;"&amp;DATE(2022,1,1), P_violacea_Spain_Med!$F:$F, "Málaga")</f>
        <v>0</v>
      </c>
      <c r="N19" s="18">
        <f>SUMIFS(P_violacea_Spain_Med!$J:$J, P_violacea_Spain_Med!$B:$B, "&gt;="&amp;DATE(2021,1,1), P_violacea_Spain_Med!$B:$B, "&lt;"&amp;DATE(2022,1,1), P_violacea_Spain_Med!$F:$F, "Cádiz")</f>
        <v>0</v>
      </c>
      <c r="O19" s="26">
        <f t="shared" si="2"/>
        <v>0</v>
      </c>
      <c r="P19" s="27">
        <f>SUMIFS(P_violacea_Spain_Med!$J:$J, P_violacea_Spain_Med!$B:$B, "&gt;="&amp;DATE(2021,1,1), P_violacea_Spain_Med!$B:$B, "&lt;"&amp;DATE(2022,1,1), P_violacea_Spain_Med!$F:$F, "Islas Baleares")</f>
        <v>5</v>
      </c>
      <c r="Q19" s="28">
        <f>SUMIFS(P_violacea_Spain_Med!$J:$J, P_violacea_Spain_Med!$B:$B, "&gt;="&amp;DATE(2021,1,1), P_violacea_Spain_Med!$B:$B, "&lt;"&amp;DATE(2022,1,1), P_violacea_Spain_Med!$F:$F, "Ceuta")</f>
        <v>0</v>
      </c>
      <c r="R19" s="29">
        <f>SUMIFS(P_violacea_Spain_Med!$J:$J, P_violacea_Spain_Med!$B:$B, "&gt;="&amp;DATE(2021,1,1), P_violacea_Spain_Med!$B:$B, "&lt;"&amp;DATE(2022,1,1), P_violacea_Spain_Med!$F:$F, "Melilla")</f>
        <v>0</v>
      </c>
      <c r="S19" s="46">
        <f>SUMIFS(P_violacea_Spain_Med!$J:$J, P_violacea_Spain_Med!$B:$B, "&gt;="&amp;DATE(2021,1,1), P_violacea_Spain_Med!$B:$B, "&lt;"&amp;DATE(2022,1,1), P_violacea_Spain_Med!$F:$F, "nd")</f>
        <v>0</v>
      </c>
      <c r="T19" s="41">
        <f t="shared" si="3"/>
        <v>16</v>
      </c>
    </row>
    <row r="20" spans="1:20" x14ac:dyDescent="0.25">
      <c r="A20" s="10">
        <v>2022</v>
      </c>
      <c r="B20" s="19">
        <f>SUMIFS(P_violacea_Spain_Med!$J:$J, P_violacea_Spain_Med!$B:$B, "&gt;="&amp;DATE(2022,1,1), P_violacea_Spain_Med!$B:$B, "&lt;"&amp;DATE(2023,1,1), P_violacea_Spain_Med!$F:$F, "Girona")</f>
        <v>6</v>
      </c>
      <c r="C20" s="19">
        <f>SUMIFS(P_violacea_Spain_Med!$J:$J, P_violacea_Spain_Med!$B:$B, "&gt;="&amp;DATE(2022,1,1), P_violacea_Spain_Med!$B:$B, "&lt;"&amp;DATE(2023,1,1), P_violacea_Spain_Med!$F:$F, "Barcelona")</f>
        <v>2</v>
      </c>
      <c r="D20" s="19">
        <f>SUMIFS(P_violacea_Spain_Med!$J:$J, P_violacea_Spain_Med!$B:$B, "&gt;="&amp;DATE(2022,1,1), P_violacea_Spain_Med!$B:$B, "&lt;"&amp;DATE(2023,1,1), P_violacea_Spain_Med!$F:$F, "Tarragona")</f>
        <v>1</v>
      </c>
      <c r="E20" s="23">
        <f t="shared" si="0"/>
        <v>9</v>
      </c>
      <c r="F20" s="20">
        <f>SUMIFS(P_violacea_Spain_Med!$J:$J, P_violacea_Spain_Med!$B:$B, "&gt;="&amp;DATE(2022,1,1), P_violacea_Spain_Med!$B:$B, "&lt;"&amp;DATE(2023,1,1), P_violacea_Spain_Med!$F:$F, "Castellón")</f>
        <v>0</v>
      </c>
      <c r="G20" s="20">
        <f>SUMIFS(P_violacea_Spain_Med!$J:$J, P_violacea_Spain_Med!$B:$B, "&gt;="&amp;DATE(2022,1,1), P_violacea_Spain_Med!$B:$B, "&lt;"&amp;DATE(2023,1,1), P_violacea_Spain_Med!$F:$F, "Valencia")</f>
        <v>0</v>
      </c>
      <c r="H20" s="20">
        <f>SUMIFS(P_violacea_Spain_Med!$J:$J, P_violacea_Spain_Med!$B:$B, "&gt;="&amp;DATE(2022,1,1), P_violacea_Spain_Med!$B:$B, "&lt;"&amp;DATE(2023,1,1), P_violacea_Spain_Med!$F:$F, "Alicante")</f>
        <v>5</v>
      </c>
      <c r="I20" s="24">
        <f t="shared" si="1"/>
        <v>5</v>
      </c>
      <c r="J20" s="25">
        <f>SUMIFS(P_violacea_Spain_Med!$J:$J, P_violacea_Spain_Med!$B:$B, "&gt;="&amp;DATE(2022,1,1), P_violacea_Spain_Med!$B:$B, "&lt;"&amp;DATE(2023,1,1), P_violacea_Spain_Med!$F:$F, "Región de Murcia")</f>
        <v>5</v>
      </c>
      <c r="K20" s="18">
        <f>SUMIFS(P_violacea_Spain_Med!$J:$J, P_violacea_Spain_Med!$B:$B, "&gt;="&amp;DATE(2022,1,1), P_violacea_Spain_Med!$B:$B, "&lt;"&amp;DATE(2023,1,1), P_violacea_Spain_Med!$F:$F, "Almería")</f>
        <v>3</v>
      </c>
      <c r="L20" s="18">
        <f>SUMIFS(P_violacea_Spain_Med!$J:$J, P_violacea_Spain_Med!$B:$B, "&gt;="&amp;DATE(2022,1,1), P_violacea_Spain_Med!$B:$B, "&lt;"&amp;DATE(2023,1,1), P_violacea_Spain_Med!$F:$F, "Granada")</f>
        <v>2</v>
      </c>
      <c r="M20" s="18">
        <f>SUMIFS(P_violacea_Spain_Med!$J:$J, P_violacea_Spain_Med!$B:$B, "&gt;="&amp;DATE(2022,1,1), P_violacea_Spain_Med!$B:$B, "&lt;"&amp;DATE(2023,1,1), P_violacea_Spain_Med!$F:$F, "Málaga")</f>
        <v>1</v>
      </c>
      <c r="N20" s="18">
        <f>SUMIFS(P_violacea_Spain_Med!$J:$J, P_violacea_Spain_Med!$B:$B, "&gt;="&amp;DATE(2022,1,1), P_violacea_Spain_Med!$B:$B, "&lt;"&amp;DATE(2023,1,1), P_violacea_Spain_Med!$F:$F, "Cádiz")</f>
        <v>0</v>
      </c>
      <c r="O20" s="26">
        <f t="shared" si="2"/>
        <v>6</v>
      </c>
      <c r="P20" s="27">
        <f>SUMIFS(P_violacea_Spain_Med!$J:$J, P_violacea_Spain_Med!$B:$B, "&gt;="&amp;DATE(2022,1,1), P_violacea_Spain_Med!$B:$B, "&lt;"&amp;DATE(2023,1,1), P_violacea_Spain_Med!$F:$F, "Islas Baleares")</f>
        <v>5</v>
      </c>
      <c r="Q20" s="28">
        <f>SUMIFS(P_violacea_Spain_Med!$J:$J, P_violacea_Spain_Med!$B:$B, "&gt;="&amp;DATE(2022,1,1), P_violacea_Spain_Med!$B:$B, "&lt;"&amp;DATE(2023,1,1), P_violacea_Spain_Med!$F:$F, "Ceuta")</f>
        <v>0</v>
      </c>
      <c r="R20" s="29">
        <f>SUMIFS(P_violacea_Spain_Med!$J:$J, P_violacea_Spain_Med!$B:$B, "&gt;="&amp;DATE(2022,1,1), P_violacea_Spain_Med!$B:$B, "&lt;"&amp;DATE(2023,1,1), P_violacea_Spain_Med!$F:$F, "Melilla")</f>
        <v>0</v>
      </c>
      <c r="S20" s="46">
        <f>SUMIFS(P_violacea_Spain_Med!$J:$J, P_violacea_Spain_Med!$B:$B, "&gt;="&amp;DATE(2022,1,1), P_violacea_Spain_Med!$B:$B, "&lt;"&amp;DATE(2023,1,1), P_violacea_Spain_Med!$F:$F, "nd")</f>
        <v>0</v>
      </c>
      <c r="T20" s="41">
        <f t="shared" si="3"/>
        <v>30</v>
      </c>
    </row>
    <row r="21" spans="1:20" x14ac:dyDescent="0.25">
      <c r="A21" s="10">
        <v>2023</v>
      </c>
      <c r="B21" s="19">
        <f>SUMIFS(P_violacea_Spain_Med!$J:$J, P_violacea_Spain_Med!$B:$B, "&gt;="&amp;DATE(2023,1,1), P_violacea_Spain_Med!$B:$B, "&lt;"&amp;DATE(2024,1,1), P_violacea_Spain_Med!$F:$F, "Girona")</f>
        <v>3</v>
      </c>
      <c r="C21" s="19">
        <f>SUMIFS(P_violacea_Spain_Med!$J:$J, P_violacea_Spain_Med!$B:$B, "&gt;="&amp;DATE(2023,1,1), P_violacea_Spain_Med!$B:$B, "&lt;"&amp;DATE(2024,1,1), P_violacea_Spain_Med!$F:$F, "Barcelona")</f>
        <v>3</v>
      </c>
      <c r="D21" s="19">
        <f>SUMIFS(P_violacea_Spain_Med!$J:$J, P_violacea_Spain_Med!$B:$B, "&gt;="&amp;DATE(2023,1,1), P_violacea_Spain_Med!$B:$B, "&lt;"&amp;DATE(2024,1,1), P_violacea_Spain_Med!$F:$F, "Tarragona")</f>
        <v>0</v>
      </c>
      <c r="E21" s="23">
        <f t="shared" si="0"/>
        <v>6</v>
      </c>
      <c r="F21" s="20">
        <f>SUMIFS(P_violacea_Spain_Med!$J:$J, P_violacea_Spain_Med!$B:$B, "&gt;="&amp;DATE(2023,1,1), P_violacea_Spain_Med!$B:$B, "&lt;"&amp;DATE(2024,1,1), P_violacea_Spain_Med!$F:$F, "Castellón")</f>
        <v>0</v>
      </c>
      <c r="G21" s="20">
        <f>SUMIFS(P_violacea_Spain_Med!$J:$J, P_violacea_Spain_Med!$B:$B, "&gt;="&amp;DATE(2023,1,1), P_violacea_Spain_Med!$B:$B, "&lt;"&amp;DATE(2024,1,1), P_violacea_Spain_Med!$F:$F, "Valencia")</f>
        <v>0</v>
      </c>
      <c r="H21" s="20">
        <f>SUMIFS(P_violacea_Spain_Med!$J:$J, P_violacea_Spain_Med!$B:$B, "&gt;="&amp;DATE(2023,1,1), P_violacea_Spain_Med!$B:$B, "&lt;"&amp;DATE(2024,1,1), P_violacea_Spain_Med!$F:$F, "Alicante")</f>
        <v>1</v>
      </c>
      <c r="I21" s="24">
        <f t="shared" si="1"/>
        <v>1</v>
      </c>
      <c r="J21" s="25">
        <f>SUMIFS(P_violacea_Spain_Med!$J:$J, P_violacea_Spain_Med!$B:$B, "&gt;="&amp;DATE(2023,1,1), P_violacea_Spain_Med!$B:$B, "&lt;"&amp;DATE(2024,1,1), P_violacea_Spain_Med!$F:$F, "Región de Murcia")</f>
        <v>2</v>
      </c>
      <c r="K21" s="18">
        <f>SUMIFS(P_violacea_Spain_Med!$J:$J, P_violacea_Spain_Med!$B:$B, "&gt;="&amp;DATE(2023,1,1), P_violacea_Spain_Med!$B:$B, "&lt;"&amp;DATE(2024,1,1), P_violacea_Spain_Med!$F:$F, "Almería")</f>
        <v>0</v>
      </c>
      <c r="L21" s="18">
        <f>SUMIFS(P_violacea_Spain_Med!$J:$J, P_violacea_Spain_Med!$B:$B, "&gt;="&amp;DATE(2023,1,1), P_violacea_Spain_Med!$B:$B, "&lt;"&amp;DATE(2024,1,1), P_violacea_Spain_Med!$F:$F, "Granada")</f>
        <v>2</v>
      </c>
      <c r="M21" s="18">
        <f>SUMIFS(P_violacea_Spain_Med!$J:$J, P_violacea_Spain_Med!$B:$B, "&gt;="&amp;DATE(2023,1,1), P_violacea_Spain_Med!$B:$B, "&lt;"&amp;DATE(2024,1,1), P_violacea_Spain_Med!$F:$F, "Málaga")</f>
        <v>1</v>
      </c>
      <c r="N21" s="18">
        <f>SUMIFS(P_violacea_Spain_Med!$J:$J, P_violacea_Spain_Med!$B:$B, "&gt;="&amp;DATE(2023,1,1), P_violacea_Spain_Med!$B:$B, "&lt;"&amp;DATE(2024,1,1), P_violacea_Spain_Med!$F:$F, "Cádiz")</f>
        <v>0</v>
      </c>
      <c r="O21" s="26">
        <f t="shared" si="2"/>
        <v>3</v>
      </c>
      <c r="P21" s="27">
        <f>SUMIFS(P_violacea_Spain_Med!$J:$J, P_violacea_Spain_Med!$B:$B, "&gt;="&amp;DATE(2023,1,1), P_violacea_Spain_Med!$B:$B, "&lt;"&amp;DATE(2024,1,1), P_violacea_Spain_Med!$F:$F, "Islas Baleares")</f>
        <v>1</v>
      </c>
      <c r="Q21" s="28">
        <f>SUMIFS(P_violacea_Spain_Med!$J:$J, P_violacea_Spain_Med!$B:$B, "&gt;="&amp;DATE(2023,1,1), P_violacea_Spain_Med!$B:$B, "&lt;"&amp;DATE(2024,1,1), P_violacea_Spain_Med!$F:$F, "Ceuta")</f>
        <v>0</v>
      </c>
      <c r="R21" s="29">
        <f>SUMIFS(P_violacea_Spain_Med!$J:$J, P_violacea_Spain_Med!$B:$B, "&gt;="&amp;DATE(2023,1,1), P_violacea_Spain_Med!$B:$B, "&lt;"&amp;DATE(2024,1,1), P_violacea_Spain_Med!$F:$F, "Melilla")</f>
        <v>0</v>
      </c>
      <c r="S21" s="46">
        <f>SUMIFS(P_violacea_Spain_Med!$J:$J, P_violacea_Spain_Med!$B:$B, "&gt;="&amp;DATE(2023,1,1), P_violacea_Spain_Med!$B:$B, "&lt;"&amp;DATE(2024,1,1), P_violacea_Spain_Med!$F:$F, "nd")</f>
        <v>1</v>
      </c>
      <c r="T21" s="41">
        <f t="shared" si="3"/>
        <v>14</v>
      </c>
    </row>
    <row r="22" spans="1:20" x14ac:dyDescent="0.25">
      <c r="A22" s="10">
        <v>2024</v>
      </c>
      <c r="B22" s="19">
        <f>SUMIFS(P_violacea_Spain_Med!$J:$J, P_violacea_Spain_Med!$B:$B, "&gt;="&amp;DATE(2024,1,1), P_violacea_Spain_Med!$B:$B, "&lt;"&amp;DATE(2025,1,1), P_violacea_Spain_Med!$F:$F, "Girona")</f>
        <v>2</v>
      </c>
      <c r="C22" s="19">
        <f>SUMIFS(P_violacea_Spain_Med!$J:$J, P_violacea_Spain_Med!$B:$B, "&gt;="&amp;DATE(2024,1,1), P_violacea_Spain_Med!$B:$B, "&lt;"&amp;DATE(2025,1,1), P_violacea_Spain_Med!$F:$F, "Barcelona")</f>
        <v>8</v>
      </c>
      <c r="D22" s="19">
        <f>SUMIFS(P_violacea_Spain_Med!$J:$J, P_violacea_Spain_Med!$B:$B, "&gt;="&amp;DATE(2024,1,1), P_violacea_Spain_Med!$B:$B, "&lt;"&amp;DATE(2025,1,1), P_violacea_Spain_Med!$F:$F, "Tarragona")</f>
        <v>0</v>
      </c>
      <c r="E22" s="23">
        <f t="shared" si="0"/>
        <v>10</v>
      </c>
      <c r="F22" s="20">
        <f>SUMIFS(P_violacea_Spain_Med!$J:$J, P_violacea_Spain_Med!$B:$B, "&gt;="&amp;DATE(2024,1,1), P_violacea_Spain_Med!$B:$B, "&lt;"&amp;DATE(2025,1,1), P_violacea_Spain_Med!$F:$F, "Castellón")</f>
        <v>2</v>
      </c>
      <c r="G22" s="20">
        <f>SUMIFS(P_violacea_Spain_Med!$J:$J, P_violacea_Spain_Med!$B:$B, "&gt;="&amp;DATE(2024,1,1), P_violacea_Spain_Med!$B:$B, "&lt;"&amp;DATE(2025,1,1), P_violacea_Spain_Med!$F:$F, "Valencia")</f>
        <v>1</v>
      </c>
      <c r="H22" s="20">
        <f>SUMIFS(P_violacea_Spain_Med!$J:$J, P_violacea_Spain_Med!$B:$B, "&gt;="&amp;DATE(2024,1,1), P_violacea_Spain_Med!$B:$B, "&lt;"&amp;DATE(2025,1,1), P_violacea_Spain_Med!$F:$F, "Alicante")</f>
        <v>18</v>
      </c>
      <c r="I22" s="24">
        <f t="shared" si="1"/>
        <v>21</v>
      </c>
      <c r="J22" s="25">
        <f>SUMIFS(P_violacea_Spain_Med!$J:$J, P_violacea_Spain_Med!$B:$B, "&gt;="&amp;DATE(2024,1,1), P_violacea_Spain_Med!$B:$B, "&lt;"&amp;DATE(2025,1,1), P_violacea_Spain_Med!$F:$F, "Región de Murcia")</f>
        <v>24</v>
      </c>
      <c r="K22" s="18">
        <f>SUMIFS(P_violacea_Spain_Med!$J:$J, P_violacea_Spain_Med!$B:$B, "&gt;="&amp;DATE(2024,1,1), P_violacea_Spain_Med!$B:$B, "&lt;"&amp;DATE(2025,1,1), P_violacea_Spain_Med!$F:$F, "Almería")</f>
        <v>9</v>
      </c>
      <c r="L22" s="18">
        <f>SUMIFS(P_violacea_Spain_Med!$J:$J, P_violacea_Spain_Med!$B:$B, "&gt;="&amp;DATE(2024,1,1), P_violacea_Spain_Med!$B:$B, "&lt;"&amp;DATE(2025,1,1), P_violacea_Spain_Med!$F:$F, "Granada")</f>
        <v>5</v>
      </c>
      <c r="M22" s="18">
        <f>SUMIFS(P_violacea_Spain_Med!$J:$J, P_violacea_Spain_Med!$B:$B, "&gt;="&amp;DATE(2024,1,1), P_violacea_Spain_Med!$B:$B, "&lt;"&amp;DATE(2025,1,1), P_violacea_Spain_Med!$F:$F, "Málaga")</f>
        <v>4</v>
      </c>
      <c r="N22" s="18">
        <f>SUMIFS(P_violacea_Spain_Med!$J:$J, P_violacea_Spain_Med!$B:$B, "&gt;="&amp;DATE(2024,1,1), P_violacea_Spain_Med!$B:$B, "&lt;"&amp;DATE(2025,1,1), P_violacea_Spain_Med!$F:$F, "Cádiz")</f>
        <v>0</v>
      </c>
      <c r="O22" s="26">
        <f t="shared" si="2"/>
        <v>18</v>
      </c>
      <c r="P22" s="27">
        <f>SUMIFS(P_violacea_Spain_Med!$J:$J, P_violacea_Spain_Med!$B:$B, "&gt;="&amp;DATE(2024,1,1), P_violacea_Spain_Med!$B:$B, "&lt;"&amp;DATE(2025,1,1), P_violacea_Spain_Med!$F:$F, "Islas Baleares")</f>
        <v>9</v>
      </c>
      <c r="Q22" s="28">
        <f>SUMIFS(P_violacea_Spain_Med!$J:$J, P_violacea_Spain_Med!$B:$B, "&gt;="&amp;DATE(2024,1,1), P_violacea_Spain_Med!$B:$B, "&lt;"&amp;DATE(2025,1,1), P_violacea_Spain_Med!$F:$F, "Ceuta")</f>
        <v>0</v>
      </c>
      <c r="R22" s="29">
        <f>SUMIFS(P_violacea_Spain_Med!$J:$J, P_violacea_Spain_Med!$B:$B, "&gt;="&amp;DATE(2024,1,1), P_violacea_Spain_Med!$B:$B, "&lt;"&amp;DATE(2025,1,1), P_violacea_Spain_Med!$F:$F, "Melilla")</f>
        <v>0</v>
      </c>
      <c r="S22" s="46">
        <f>SUMIFS(P_violacea_Spain_Med!$J:$J, P_violacea_Spain_Med!$B:$B, "&gt;="&amp;DATE(2024,1,1), P_violacea_Spain_Med!$B:$B, "&lt;"&amp;DATE(2025,1,1), P_violacea_Spain_Med!$F:$F, "nd")</f>
        <v>0</v>
      </c>
      <c r="T22" s="41">
        <f t="shared" si="3"/>
        <v>82</v>
      </c>
    </row>
    <row r="23" spans="1:20" x14ac:dyDescent="0.25">
      <c r="A23" s="10">
        <v>2025</v>
      </c>
      <c r="B23" s="19">
        <f>SUMIFS(P_violacea_Spain_Med!$J:$J, P_violacea_Spain_Med!$B:$B, "&gt;="&amp;DATE(2025,1,1), P_violacea_Spain_Med!$B:$B, "&lt;"&amp;DATE(2026,1,1), P_violacea_Spain_Med!$F:$F, "Girona")</f>
        <v>15</v>
      </c>
      <c r="C23" s="19">
        <f>SUMIFS(P_violacea_Spain_Med!$J:$J, P_violacea_Spain_Med!$B:$B, "&gt;="&amp;DATE(2025,1,1), P_violacea_Spain_Med!$B:$B, "&lt;"&amp;DATE(2026,1,1), P_violacea_Spain_Med!$F:$F, "Barcelona")</f>
        <v>25</v>
      </c>
      <c r="D23" s="19">
        <f>SUMIFS(P_violacea_Spain_Med!$J:$J, P_violacea_Spain_Med!$B:$B, "&gt;="&amp;DATE(2025,1,1), P_violacea_Spain_Med!$B:$B, "&lt;"&amp;DATE(2026,1,1), P_violacea_Spain_Med!$F:$F, "Tarragona")</f>
        <v>9</v>
      </c>
      <c r="E23" s="23">
        <f t="shared" si="0"/>
        <v>49</v>
      </c>
      <c r="F23" s="20">
        <f>SUMIFS(P_violacea_Spain_Med!$J:$J, P_violacea_Spain_Med!$B:$B, "&gt;="&amp;DATE(2025,1,1), P_violacea_Spain_Med!$B:$B, "&lt;"&amp;DATE(2026,1,1), P_violacea_Spain_Med!$F:$F, "Castellón")</f>
        <v>2</v>
      </c>
      <c r="G23" s="20">
        <f>SUMIFS(P_violacea_Spain_Med!$J:$J, P_violacea_Spain_Med!$B:$B, "&gt;="&amp;DATE(2025,1,1), P_violacea_Spain_Med!$B:$B, "&lt;"&amp;DATE(2026,1,1), P_violacea_Spain_Med!$F:$F, "Valencia")</f>
        <v>3</v>
      </c>
      <c r="H23" s="20">
        <f>SUMIFS(P_violacea_Spain_Med!$J:$J, P_violacea_Spain_Med!$B:$B, "&gt;="&amp;DATE(2025,1,1), P_violacea_Spain_Med!$B:$B, "&lt;"&amp;DATE(2026,1,1), P_violacea_Spain_Med!$F:$F, "Alicante")</f>
        <v>5</v>
      </c>
      <c r="I23" s="24">
        <f t="shared" si="1"/>
        <v>10</v>
      </c>
      <c r="J23" s="25">
        <f>SUMIFS(P_violacea_Spain_Med!$J:$J, P_violacea_Spain_Med!$B:$B, "&gt;="&amp;DATE(2025,1,1), P_violacea_Spain_Med!$B:$B, "&lt;"&amp;DATE(2026,1,1), P_violacea_Spain_Med!$F:$F, "Región de Murcia")</f>
        <v>4</v>
      </c>
      <c r="K23" s="18">
        <f>SUMIFS(P_violacea_Spain_Med!$J:$J, P_violacea_Spain_Med!$B:$B, "&gt;="&amp;DATE(2025,1,1), P_violacea_Spain_Med!$B:$B, "&lt;"&amp;DATE(2026,1,1), P_violacea_Spain_Med!$F:$F, "Almería")</f>
        <v>0</v>
      </c>
      <c r="L23" s="18">
        <f>SUMIFS(P_violacea_Spain_Med!$J:$J, P_violacea_Spain_Med!$B:$B, "&gt;="&amp;DATE(2025,1,1), P_violacea_Spain_Med!$B:$B, "&lt;"&amp;DATE(2026,1,1), P_violacea_Spain_Med!$F:$F, "Granada")</f>
        <v>0</v>
      </c>
      <c r="M23" s="18">
        <f>SUMIFS(P_violacea_Spain_Med!$J:$J, P_violacea_Spain_Med!$B:$B, "&gt;="&amp;DATE(2025,1,1), P_violacea_Spain_Med!$B:$B, "&lt;"&amp;DATE(2026,1,1), P_violacea_Spain_Med!$F:$F, "Málaga")</f>
        <v>0</v>
      </c>
      <c r="N23" s="18">
        <f>SUMIFS(P_violacea_Spain_Med!$J:$J, P_violacea_Spain_Med!$B:$B, "&gt;="&amp;DATE(2025,1,1), P_violacea_Spain_Med!$B:$B, "&lt;"&amp;DATE(2026,1,1), P_violacea_Spain_Med!$F:$F, "Cádiz")</f>
        <v>1</v>
      </c>
      <c r="O23" s="26">
        <f t="shared" si="2"/>
        <v>1</v>
      </c>
      <c r="P23" s="27">
        <f>SUMIFS(P_violacea_Spain_Med!$J:$J, P_violacea_Spain_Med!$B:$B, "&gt;="&amp;DATE(2025,1,1), P_violacea_Spain_Med!$B:$B, "&lt;"&amp;DATE(2026,1,1), P_violacea_Spain_Med!$F:$F, "Islas Baleares")</f>
        <v>66</v>
      </c>
      <c r="Q23" s="28">
        <f>SUMIFS(P_violacea_Spain_Med!$J:$J, P_violacea_Spain_Med!$B:$B, "&gt;="&amp;DATE(2025,1,1), P_violacea_Spain_Med!$B:$B, "&lt;"&amp;DATE(2026,1,1), P_violacea_Spain_Med!$F:$F, "Ceuta")</f>
        <v>0</v>
      </c>
      <c r="R23" s="29">
        <f>SUMIFS(P_violacea_Spain_Med!$J:$J, P_violacea_Spain_Med!$B:$B, "&gt;="&amp;DATE(2025,1,1), P_violacea_Spain_Med!$B:$B, "&lt;"&amp;DATE(2026,1,1), P_violacea_Spain_Med!$F:$F, "Melilla")</f>
        <v>0</v>
      </c>
      <c r="S23" s="46">
        <f>SUMIFS(P_violacea_Spain_Med!$J:$J, P_violacea_Spain_Med!$B:$B, "&gt;="&amp;DATE(2025,1,1), P_violacea_Spain_Med!$B:$B, "&lt;"&amp;DATE(2026,1,1), P_violacea_Spain_Med!$F:$F, "nd")</f>
        <v>1</v>
      </c>
      <c r="T23" s="41">
        <f t="shared" si="3"/>
        <v>131</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E795B-F293-4046-927E-C76ECC7F2681}">
  <dimension ref="A1:AH23"/>
  <sheetViews>
    <sheetView zoomScale="80" zoomScaleNormal="80" workbookViewId="0">
      <selection activeCell="N24" sqref="N24"/>
    </sheetView>
  </sheetViews>
  <sheetFormatPr baseColWidth="10" defaultRowHeight="15" x14ac:dyDescent="0.25"/>
  <cols>
    <col min="1" max="1" width="5.5703125" style="10" bestFit="1" customWidth="1"/>
    <col min="2" max="13" width="4.7109375" style="21" customWidth="1"/>
    <col min="14" max="14" width="12.85546875" style="44" bestFit="1" customWidth="1"/>
    <col min="15" max="32" width="7.7109375" customWidth="1"/>
    <col min="33" max="33" width="12.5703125" bestFit="1" customWidth="1"/>
    <col min="34" max="34" width="21.42578125" customWidth="1"/>
  </cols>
  <sheetData>
    <row r="1" spans="1:34" s="10" customFormat="1" x14ac:dyDescent="0.25">
      <c r="A1" s="22" t="s">
        <v>517</v>
      </c>
      <c r="B1" s="11" t="s">
        <v>518</v>
      </c>
      <c r="C1" s="12" t="s">
        <v>519</v>
      </c>
      <c r="D1" s="13" t="s">
        <v>520</v>
      </c>
      <c r="E1" s="13" t="s">
        <v>529</v>
      </c>
      <c r="F1" s="13" t="s">
        <v>521</v>
      </c>
      <c r="G1" s="14" t="s">
        <v>522</v>
      </c>
      <c r="H1" s="14" t="s">
        <v>523</v>
      </c>
      <c r="I1" s="14" t="s">
        <v>524</v>
      </c>
      <c r="J1" s="15" t="s">
        <v>525</v>
      </c>
      <c r="K1" s="15" t="s">
        <v>526</v>
      </c>
      <c r="L1" s="15" t="s">
        <v>527</v>
      </c>
      <c r="M1" s="12" t="s">
        <v>528</v>
      </c>
      <c r="N1" s="40" t="s">
        <v>597</v>
      </c>
      <c r="O1" s="30" t="s">
        <v>530</v>
      </c>
      <c r="P1" s="30" t="s">
        <v>531</v>
      </c>
      <c r="Q1" s="30" t="s">
        <v>532</v>
      </c>
      <c r="R1" s="31" t="s">
        <v>533</v>
      </c>
      <c r="S1" s="32" t="s">
        <v>534</v>
      </c>
      <c r="T1" s="32" t="s">
        <v>535</v>
      </c>
      <c r="U1" s="32" t="s">
        <v>536</v>
      </c>
      <c r="V1" s="33" t="s">
        <v>537</v>
      </c>
      <c r="W1" s="34" t="s">
        <v>538</v>
      </c>
      <c r="X1" s="35" t="s">
        <v>539</v>
      </c>
      <c r="Y1" s="35" t="s">
        <v>540</v>
      </c>
      <c r="Z1" s="35" t="s">
        <v>541</v>
      </c>
      <c r="AA1" s="35" t="s">
        <v>542</v>
      </c>
      <c r="AB1" s="36" t="s">
        <v>543</v>
      </c>
      <c r="AC1" s="37" t="s">
        <v>544</v>
      </c>
      <c r="AD1" s="38" t="s">
        <v>545</v>
      </c>
      <c r="AE1" s="39" t="s">
        <v>546</v>
      </c>
      <c r="AF1" s="45" t="s">
        <v>6</v>
      </c>
      <c r="AG1" s="40" t="s">
        <v>599</v>
      </c>
      <c r="AH1" s="42" t="s">
        <v>598</v>
      </c>
    </row>
    <row r="2" spans="1:34" x14ac:dyDescent="0.25">
      <c r="A2" s="10">
        <v>1987</v>
      </c>
      <c r="B2" s="16">
        <f>SUMIFS(P_violacea_Spain_Med!$J:$J, P_violacea_Spain_Med!$B:$B, "&gt;="&amp;DATE(1987,1,1), P_violacea_Spain_Med!$B:$B, "&lt;="&amp;DATE(1987,1,31))</f>
        <v>0</v>
      </c>
      <c r="C2" s="17">
        <f>SUMIFS(P_violacea_Spain_Med!$J:$J, P_violacea_Spain_Med!$B:$B, "&gt;="&amp;DATE(1987,2,1), P_violacea_Spain_Med!$B:$B, "&lt;="&amp;DATE(1987,2,28))</f>
        <v>0</v>
      </c>
      <c r="D2" s="18">
        <f>SUMIFS(P_violacea_Spain_Med!$J:$J, P_violacea_Spain_Med!$B:$B, "&gt;="&amp;DATE(1987,3,1), P_violacea_Spain_Med!$B:$B, "&lt;="&amp;DATE(1987,3,31))</f>
        <v>0</v>
      </c>
      <c r="E2" s="18">
        <f>SUMIFS(P_violacea_Spain_Med!$J:$J, P_violacea_Spain_Med!$B:$B, "&gt;="&amp;DATE(1987,4,1), P_violacea_Spain_Med!$B:$B, "&lt;="&amp;DATE(1987,4,30))</f>
        <v>0</v>
      </c>
      <c r="F2" s="18">
        <f>SUMIFS(P_violacea_Spain_Med!$J:$J, P_violacea_Spain_Med!$B:$B, "&gt;="&amp;DATE(1987,5,1), P_violacea_Spain_Med!$B:$B, "&lt;="&amp;DATE(1987,5,31))</f>
        <v>0</v>
      </c>
      <c r="G2" s="19">
        <f>SUMIFS(P_violacea_Spain_Med!$J:$J, P_violacea_Spain_Med!$B:$B, "&gt;="&amp;DATE(1987,6,1), P_violacea_Spain_Med!$B:$B, "&lt;="&amp;DATE(1987,6,30))</f>
        <v>0</v>
      </c>
      <c r="H2" s="19">
        <f>SUMIFS(P_violacea_Spain_Med!$J:$J, P_violacea_Spain_Med!$B:$B, "&gt;="&amp;DATE(1987,7,1), P_violacea_Spain_Med!$B:$B, "&lt;="&amp;DATE(1987,7,31))</f>
        <v>1</v>
      </c>
      <c r="I2" s="19">
        <f>SUMIFS(P_violacea_Spain_Med!$J:$J, P_violacea_Spain_Med!$B:$B, "&gt;="&amp;DATE(1987,8,1), P_violacea_Spain_Med!$B:$B, "&lt;="&amp;DATE(1987,8,31))</f>
        <v>0</v>
      </c>
      <c r="J2" s="20">
        <f>SUMIFS(P_violacea_Spain_Med!$J:$J, P_violacea_Spain_Med!$B:$B, "&gt;="&amp;DATE(1987,9,1), P_violacea_Spain_Med!$B:$B, "&lt;="&amp;DATE(1987,9,30))</f>
        <v>0</v>
      </c>
      <c r="K2" s="20">
        <f>SUMIFS(P_violacea_Spain_Med!$J:$J, P_violacea_Spain_Med!$B:$B, "&gt;="&amp;DATE(1987,10,1), P_violacea_Spain_Med!$B:$B, "&lt;="&amp;DATE(1987,10,31))</f>
        <v>0</v>
      </c>
      <c r="L2" s="20">
        <f>SUMIFS(P_violacea_Spain_Med!$J:$J, P_violacea_Spain_Med!$B:$B, "&gt;="&amp;DATE(1987,11,1), P_violacea_Spain_Med!$B:$B, "&lt;="&amp;DATE(1987,11,30))</f>
        <v>0</v>
      </c>
      <c r="M2" s="17">
        <f>SUMIFS(P_violacea_Spain_Med!$J:$J, P_violacea_Spain_Med!$B:$B, "&gt;="&amp;DATE(1987,12,1), P_violacea_Spain_Med!$B:$B, "&lt;="&amp;DATE(1987,12,31))</f>
        <v>0</v>
      </c>
      <c r="N2" s="41">
        <f>SUM($B2:$M2)</f>
        <v>1</v>
      </c>
      <c r="O2" s="19">
        <f>SUMIFS(P_violacea_Spain_Med!$J:$J, P_violacea_Spain_Med!$B:$B, "&gt;="&amp;DATE(1987,1,1), P_violacea_Spain_Med!$B:$B, "&lt;"&amp;DATE(1988,1,1), P_violacea_Spain_Med!$F:$F, "Girona")</f>
        <v>0</v>
      </c>
      <c r="P2" s="19">
        <f>SUMIFS(P_violacea_Spain_Med!$J:$J, P_violacea_Spain_Med!$B:$B, "&gt;="&amp;DATE(1987,1,1), P_violacea_Spain_Med!$B:$B, "&lt;"&amp;DATE(1988,1,1), P_violacea_Spain_Med!$F:$F, "Barcelona")</f>
        <v>1</v>
      </c>
      <c r="Q2" s="19">
        <f>SUMIFS(P_violacea_Spain_Med!$J:$J, P_violacea_Spain_Med!$B:$B, "&gt;="&amp;DATE(1987,1,1), P_violacea_Spain_Med!$B:$B, "&lt;"&amp;DATE(1988,1,1), P_violacea_Spain_Med!$F:$F, "Tarragona")</f>
        <v>0</v>
      </c>
      <c r="R2" s="23">
        <f>SUM(O2:Q2)</f>
        <v>1</v>
      </c>
      <c r="S2" s="20">
        <f>SUMIFS(P_violacea_Spain_Med!$J:$J, P_violacea_Spain_Med!$B:$B, "&gt;="&amp;DATE(1987,1,1), P_violacea_Spain_Med!$B:$B, "&lt;"&amp;DATE(1988,1,1), P_violacea_Spain_Med!$F:$F, "Castellón")</f>
        <v>0</v>
      </c>
      <c r="T2" s="20">
        <f>SUMIFS(P_violacea_Spain_Med!$J:$J, P_violacea_Spain_Med!$B:$B, "&gt;="&amp;DATE(1987,1,1), P_violacea_Spain_Med!$B:$B, "&lt;"&amp;DATE(1988,1,1), P_violacea_Spain_Med!$F:$F, "Valencia")</f>
        <v>0</v>
      </c>
      <c r="U2" s="20">
        <f>SUMIFS(P_violacea_Spain_Med!$J:$J, P_violacea_Spain_Med!$B:$B, "&gt;="&amp;DATE(1987,1,1), P_violacea_Spain_Med!$B:$B, "&lt;"&amp;DATE(1988,1,1), P_violacea_Spain_Med!$F:$F, "Alicante")</f>
        <v>0</v>
      </c>
      <c r="V2" s="24">
        <f>SUM(S2:U2)</f>
        <v>0</v>
      </c>
      <c r="W2" s="25">
        <f>SUMIFS(P_violacea_Spain_Med!$J:$J, P_violacea_Spain_Med!$B:$B, "&gt;="&amp;DATE(1987,1,1), P_violacea_Spain_Med!$B:$B, "&lt;"&amp;DATE(1988,1,1), P_violacea_Spain_Med!$F:$F, "Región de Murcia")</f>
        <v>0</v>
      </c>
      <c r="X2" s="18">
        <f>SUMIFS(P_violacea_Spain_Med!$J:$J, P_violacea_Spain_Med!$B:$B, "&gt;="&amp;DATE(1987,1,1), P_violacea_Spain_Med!$B:$B, "&lt;"&amp;DATE(1988,1,1), P_violacea_Spain_Med!$F:$F, "Almería")</f>
        <v>0</v>
      </c>
      <c r="Y2" s="18">
        <f>SUMIFS(P_violacea_Spain_Med!$J:$J, P_violacea_Spain_Med!$B:$B, "&gt;="&amp;DATE(1987,1,1), P_violacea_Spain_Med!$B:$B, "&lt;"&amp;DATE(1988,1,1), P_violacea_Spain_Med!$F:$F, "Granada")</f>
        <v>0</v>
      </c>
      <c r="Z2" s="18">
        <f>SUMIFS(P_violacea_Spain_Med!$J:$J, P_violacea_Spain_Med!$B:$B, "&gt;="&amp;DATE(1987,1,1), P_violacea_Spain_Med!$B:$B, "&lt;"&amp;DATE(1988,1,1), P_violacea_Spain_Med!$F:$F, "Málaga")</f>
        <v>0</v>
      </c>
      <c r="AA2" s="18">
        <f>SUMIFS(P_violacea_Spain_Med!$J:$J, P_violacea_Spain_Med!$B:$B, "&gt;="&amp;DATE(1987,1,1), P_violacea_Spain_Med!$B:$B, "&lt;"&amp;DATE(1988,1,1), P_violacea_Spain_Med!$F:$F, "Cádiz")</f>
        <v>0</v>
      </c>
      <c r="AB2" s="26">
        <f>SUM(X2:AA2)</f>
        <v>0</v>
      </c>
      <c r="AC2" s="27">
        <f>SUMIFS(P_violacea_Spain_Med!$J:$J, P_violacea_Spain_Med!$B:$B, "&gt;="&amp;DATE(1987,1,1), P_violacea_Spain_Med!$B:$B, "&lt;"&amp;DATE(1988,1,1), P_violacea_Spain_Med!$F:$F, "Islas Baleares")</f>
        <v>0</v>
      </c>
      <c r="AD2" s="28">
        <f>SUMIFS(P_violacea_Spain_Med!$J:$J, P_violacea_Spain_Med!$B:$B, "&gt;="&amp;DATE(1987,1,1), P_violacea_Spain_Med!$B:$B, "&lt;"&amp;DATE(1988,1,1), P_violacea_Spain_Med!$F:$F, "Ceuta")</f>
        <v>0</v>
      </c>
      <c r="AE2" s="29">
        <f>SUMIFS(P_violacea_Spain_Med!$J:$J, P_violacea_Spain_Med!$B:$B, "&gt;="&amp;DATE(1987,1,1), P_violacea_Spain_Med!$B:$B, "&lt;"&amp;DATE(1988,1,1), P_violacea_Spain_Med!$F:$F, "Melilla")</f>
        <v>0</v>
      </c>
      <c r="AF2" s="46">
        <f>SUMIFS(P_violacea_Spain_Med!$J:$J, P_violacea_Spain_Med!$B:$B, "&gt;="&amp;DATE(1987,1,1), P_violacea_Spain_Med!$B:$B, "&lt;"&amp;DATE(1988,1,1), P_violacea_Spain_Med!$F:$F, "nd")</f>
        <v>0</v>
      </c>
      <c r="AG2" s="41">
        <f>SUM(R2+V2+W2+AB2+AC2+AD2+AE2+AF2)</f>
        <v>1</v>
      </c>
      <c r="AH2" s="43">
        <f>N2-AG2</f>
        <v>0</v>
      </c>
    </row>
    <row r="3" spans="1:34" x14ac:dyDescent="0.25">
      <c r="A3" s="10">
        <v>2005</v>
      </c>
      <c r="B3" s="16">
        <f>SUMIFS(P_violacea_Spain_Med!$J:$J, P_violacea_Spain_Med!$B:$B, "&gt;="&amp;DATE(2005,1,1), P_violacea_Spain_Med!$B:$B, "&lt;="&amp;DATE(2005,1,31))</f>
        <v>0</v>
      </c>
      <c r="C3" s="17">
        <f>SUMIFS(P_violacea_Spain_Med!$J:$J, P_violacea_Spain_Med!$B:$B, "&gt;="&amp;DATE(2005,2,1), P_violacea_Spain_Med!$B:$B, "&lt;="&amp;DATE(2005,2,28))</f>
        <v>0</v>
      </c>
      <c r="D3" s="18">
        <f>SUMIFS(P_violacea_Spain_Med!$J:$J, P_violacea_Spain_Med!$B:$B, "&gt;="&amp;DATE(2005,3,1), P_violacea_Spain_Med!$B:$B, "&lt;="&amp;DATE(2005,3,31))</f>
        <v>0</v>
      </c>
      <c r="E3" s="18">
        <f>SUMIFS(P_violacea_Spain_Med!$J:$J, P_violacea_Spain_Med!$B:$B, "&gt;="&amp;DATE(2005,4,1), P_violacea_Spain_Med!$B:$B, "&lt;="&amp;DATE(2005,4,30))</f>
        <v>0</v>
      </c>
      <c r="F3" s="18">
        <f>SUMIFS(P_violacea_Spain_Med!$J:$J, P_violacea_Spain_Med!$B:$B, "&gt;="&amp;DATE(2005,5,1), P_violacea_Spain_Med!$B:$B, "&lt;="&amp;DATE(2005,5,31))</f>
        <v>0</v>
      </c>
      <c r="G3" s="19">
        <f>SUMIFS(P_violacea_Spain_Med!$J:$J, P_violacea_Spain_Med!$B:$B, "&gt;="&amp;DATE(2005,6,1), P_violacea_Spain_Med!$B:$B, "&lt;="&amp;DATE(2005,6,30))</f>
        <v>0</v>
      </c>
      <c r="H3" s="19">
        <f>SUMIFS(P_violacea_Spain_Med!$J:$J, P_violacea_Spain_Med!$B:$B, "&gt;="&amp;DATE(2005,7,1), P_violacea_Spain_Med!$B:$B, "&lt;="&amp;DATE(2005,7,31))</f>
        <v>0</v>
      </c>
      <c r="I3" s="19">
        <f>SUMIFS(P_violacea_Spain_Med!$J:$J, P_violacea_Spain_Med!$B:$B, "&gt;="&amp;DATE(2005,8,1), P_violacea_Spain_Med!$B:$B, "&lt;="&amp;DATE(2005,8,31))</f>
        <v>1</v>
      </c>
      <c r="J3" s="20">
        <f>SUMIFS(P_violacea_Spain_Med!$J:$J, P_violacea_Spain_Med!$B:$B, "&gt;="&amp;DATE(2005,9,1), P_violacea_Spain_Med!$B:$B, "&lt;="&amp;DATE(2005,9,30))</f>
        <v>0</v>
      </c>
      <c r="K3" s="20">
        <f>SUMIFS(P_violacea_Spain_Med!$J:$J, P_violacea_Spain_Med!$B:$B, "&gt;="&amp;DATE(2005,10,1), P_violacea_Spain_Med!$B:$B, "&lt;="&amp;DATE(2005,10,31))</f>
        <v>0</v>
      </c>
      <c r="L3" s="20">
        <f>SUMIFS(P_violacea_Spain_Med!$J:$J, P_violacea_Spain_Med!$B:$B, "&gt;="&amp;DATE(2005,11,1), P_violacea_Spain_Med!$B:$B, "&lt;="&amp;DATE(2005,11,30))</f>
        <v>0</v>
      </c>
      <c r="M3" s="17">
        <f>SUMIFS(P_violacea_Spain_Med!$J:$J, P_violacea_Spain_Med!$B:$B, "&gt;="&amp;DATE(2005,12,1), P_violacea_Spain_Med!$B:$B, "&lt;="&amp;DATE(2005,12,31))</f>
        <v>0</v>
      </c>
      <c r="N3" s="41">
        <f t="shared" ref="N3:N8" si="0">SUM($B3:$M3)</f>
        <v>1</v>
      </c>
      <c r="O3" s="19">
        <f>SUMIFS(P_violacea_Spain_Med!$J:$J, P_violacea_Spain_Med!$B:$B, "&gt;="&amp;DATE(2005,1,1), P_violacea_Spain_Med!$B:$B, "&lt;"&amp;DATE(2006,1,1), P_violacea_Spain_Med!$F:$F, "Girona")</f>
        <v>0</v>
      </c>
      <c r="P3" s="19">
        <f>SUMIFS(P_violacea_Spain_Med!$J:$J, P_violacea_Spain_Med!$B:$B, "&gt;="&amp;DATE(2005,1,1), P_violacea_Spain_Med!$B:$B, "&lt;"&amp;DATE(2006,1,1), P_violacea_Spain_Med!$F:$F, "Barcelona")</f>
        <v>1</v>
      </c>
      <c r="Q3" s="19">
        <f>SUMIFS(P_violacea_Spain_Med!$J:$J, P_violacea_Spain_Med!$B:$B, "&gt;="&amp;DATE(2005,1,1), P_violacea_Spain_Med!$B:$B, "&lt;"&amp;DATE(2006,1,1), P_violacea_Spain_Med!$F:$F, "Tarragona")</f>
        <v>0</v>
      </c>
      <c r="R3" s="23">
        <f t="shared" ref="R3:R8" si="1">SUM(O3:Q3)</f>
        <v>1</v>
      </c>
      <c r="S3" s="20">
        <f>SUMIFS(P_violacea_Spain_Med!$J:$J, P_violacea_Spain_Med!$B:$B, "&gt;="&amp;DATE(2005,1,1), P_violacea_Spain_Med!$B:$B, "&lt;"&amp;DATE(2006,1,1), P_violacea_Spain_Med!$F:$F, "Castellón")</f>
        <v>0</v>
      </c>
      <c r="T3" s="20">
        <f>SUMIFS(P_violacea_Spain_Med!$J:$J, P_violacea_Spain_Med!$B:$B, "&gt;="&amp;DATE(2005,1,1), P_violacea_Spain_Med!$B:$B, "&lt;"&amp;DATE(2006,1,1), P_violacea_Spain_Med!$F:$F, "Valencia")</f>
        <v>0</v>
      </c>
      <c r="U3" s="20">
        <f>SUMIFS(P_violacea_Spain_Med!$J:$J, P_violacea_Spain_Med!$B:$B, "&gt;="&amp;DATE(2005,1,1), P_violacea_Spain_Med!$B:$B, "&lt;"&amp;DATE(2006,1,1), P_violacea_Spain_Med!$F:$F, "Alicante")</f>
        <v>0</v>
      </c>
      <c r="V3" s="24">
        <f t="shared" ref="V3:V8" si="2">SUM(S3:U3)</f>
        <v>0</v>
      </c>
      <c r="W3" s="25">
        <f>SUMIFS(P_violacea_Spain_Med!$J:$J, P_violacea_Spain_Med!$B:$B, "&gt;="&amp;DATE(2005,1,1), P_violacea_Spain_Med!$B:$B, "&lt;"&amp;DATE(2006,1,1), P_violacea_Spain_Med!$F:$F, "Región de Murcia")</f>
        <v>0</v>
      </c>
      <c r="X3" s="18">
        <f>SUMIFS(P_violacea_Spain_Med!$J:$J, P_violacea_Spain_Med!$B:$B, "&gt;="&amp;DATE(2005,1,1), P_violacea_Spain_Med!$B:$B, "&lt;"&amp;DATE(2006,1,1), P_violacea_Spain_Med!$F:$F, "Almería")</f>
        <v>0</v>
      </c>
      <c r="Y3" s="18">
        <f>SUMIFS(P_violacea_Spain_Med!$J:$J, P_violacea_Spain_Med!$B:$B, "&gt;="&amp;DATE(2005,1,1), P_violacea_Spain_Med!$B:$B, "&lt;"&amp;DATE(2006,1,1), P_violacea_Spain_Med!$F:$F, "Granada")</f>
        <v>0</v>
      </c>
      <c r="Z3" s="18">
        <f>SUMIFS(P_violacea_Spain_Med!$J:$J, P_violacea_Spain_Med!$B:$B, "&gt;="&amp;DATE(2005,1,1), P_violacea_Spain_Med!$B:$B, "&lt;"&amp;DATE(2006,1,1), P_violacea_Spain_Med!$F:$F, "Málaga")</f>
        <v>0</v>
      </c>
      <c r="AA3" s="18">
        <f>SUMIFS(P_violacea_Spain_Med!$J:$J, P_violacea_Spain_Med!$B:$B, "&gt;="&amp;DATE(2005,1,1), P_violacea_Spain_Med!$B:$B, "&lt;"&amp;DATE(2006,1,1), P_violacea_Spain_Med!$F:$F, "Cádiz")</f>
        <v>0</v>
      </c>
      <c r="AB3" s="26">
        <f t="shared" ref="AB3:AB8" si="3">SUM(X3:AA3)</f>
        <v>0</v>
      </c>
      <c r="AC3" s="27">
        <f>SUMIFS(P_violacea_Spain_Med!$J:$J, P_violacea_Spain_Med!$B:$B, "&gt;="&amp;DATE(2005,1,1), P_violacea_Spain_Med!$B:$B, "&lt;"&amp;DATE(2006,1,1), P_violacea_Spain_Med!$F:$F, "Islas Baleares")</f>
        <v>0</v>
      </c>
      <c r="AD3" s="28">
        <f>SUMIFS(P_violacea_Spain_Med!$J:$J, P_violacea_Spain_Med!$B:$B, "&gt;="&amp;DATE(2005,1,1), P_violacea_Spain_Med!$B:$B, "&lt;"&amp;DATE(2006,1,1), P_violacea_Spain_Med!$F:$F, "Ceuta")</f>
        <v>0</v>
      </c>
      <c r="AE3" s="29">
        <f>SUMIFS(P_violacea_Spain_Med!$J:$J, P_violacea_Spain_Med!$B:$B, "&gt;="&amp;DATE(2005,1,1), P_violacea_Spain_Med!$B:$B, "&lt;"&amp;DATE(2006,1,1), P_violacea_Spain_Med!$F:$F, "Melilla")</f>
        <v>0</v>
      </c>
      <c r="AF3" s="46">
        <f>SUMIFS(P_violacea_Spain_Med!$J:$J, P_violacea_Spain_Med!$B:$B, "&gt;="&amp;DATE(1987,1,1), P_violacea_Spain_Med!$B:$B, "&lt;"&amp;DATE(1988,1,1), P_violacea_Spain_Med!$F:$F, "nd")</f>
        <v>0</v>
      </c>
      <c r="AG3" s="41">
        <f t="shared" ref="AG3:AG23" si="4">SUM(R3+V3+W3+AB3+AC3+AD3+AE3+AF3)</f>
        <v>1</v>
      </c>
      <c r="AH3" s="43">
        <f t="shared" ref="AH3:AH8" si="5">N3-AG3</f>
        <v>0</v>
      </c>
    </row>
    <row r="4" spans="1:34" x14ac:dyDescent="0.25">
      <c r="A4" s="10">
        <v>2006</v>
      </c>
      <c r="B4" s="16">
        <f>SUMIFS(P_violacea_Spain_Med!$J:$J, P_violacea_Spain_Med!$B:$B, "&gt;="&amp;DATE(2006,1,1), P_violacea_Spain_Med!$B:$B, "&lt;="&amp;DATE(2006,1,31))</f>
        <v>0</v>
      </c>
      <c r="C4" s="17">
        <f>SUMIFS(P_violacea_Spain_Med!$J:$J, P_violacea_Spain_Med!$B:$B, "&gt;="&amp;DATE(2006,2,1), P_violacea_Spain_Med!$B:$B, "&lt;="&amp;DATE(2006,2,28))</f>
        <v>0</v>
      </c>
      <c r="D4" s="18">
        <f>SUMIFS(P_violacea_Spain_Med!$J:$J, P_violacea_Spain_Med!$B:$B, "&gt;="&amp;DATE(2006,3,1), P_violacea_Spain_Med!$B:$B, "&lt;="&amp;DATE(2006,3,31))</f>
        <v>0</v>
      </c>
      <c r="E4" s="18">
        <f>SUMIFS(P_violacea_Spain_Med!$J:$J, P_violacea_Spain_Med!$B:$B, "&gt;="&amp;DATE(2006,4,1), P_violacea_Spain_Med!$B:$B, "&lt;="&amp;DATE(2006,4,30))</f>
        <v>0</v>
      </c>
      <c r="F4" s="18">
        <f>SUMIFS(P_violacea_Spain_Med!$J:$J, P_violacea_Spain_Med!$B:$B, "&gt;="&amp;DATE(2006,5,1), P_violacea_Spain_Med!$B:$B, "&lt;="&amp;DATE(2006,5,31))</f>
        <v>0</v>
      </c>
      <c r="G4" s="19">
        <f>SUMIFS(P_violacea_Spain_Med!$J:$J, P_violacea_Spain_Med!$B:$B, "&gt;="&amp;DATE(2006,6,1), P_violacea_Spain_Med!$B:$B, "&lt;="&amp;DATE(2006,6,30))</f>
        <v>0</v>
      </c>
      <c r="H4" s="19">
        <f>SUMIFS(P_violacea_Spain_Med!$J:$J, P_violacea_Spain_Med!$B:$B, "&gt;="&amp;DATE(2006,7,1), P_violacea_Spain_Med!$B:$B, "&lt;="&amp;DATE(2006,7,31))</f>
        <v>1</v>
      </c>
      <c r="I4" s="19">
        <f>SUMIFS(P_violacea_Spain_Med!$J:$J, P_violacea_Spain_Med!$B:$B, "&gt;="&amp;DATE(2006,8,1), P_violacea_Spain_Med!$B:$B, "&lt;="&amp;DATE(2006,8,31))</f>
        <v>0</v>
      </c>
      <c r="J4" s="20">
        <f>SUMIFS(P_violacea_Spain_Med!$J:$J, P_violacea_Spain_Med!$B:$B, "&gt;="&amp;DATE(2006,9,1), P_violacea_Spain_Med!$B:$B, "&lt;="&amp;DATE(2006,9,30))</f>
        <v>0</v>
      </c>
      <c r="K4" s="20">
        <f>SUMIFS(P_violacea_Spain_Med!$J:$J, P_violacea_Spain_Med!$B:$B, "&gt;="&amp;DATE(2006,10,1), P_violacea_Spain_Med!$B:$B, "&lt;="&amp;DATE(2006,10,31))</f>
        <v>0</v>
      </c>
      <c r="L4" s="20">
        <f>SUMIFS(P_violacea_Spain_Med!$J:$J, P_violacea_Spain_Med!$B:$B, "&gt;="&amp;DATE(2006,11,1), P_violacea_Spain_Med!$B:$B, "&lt;="&amp;DATE(2006,11,30))</f>
        <v>0</v>
      </c>
      <c r="M4" s="17">
        <f>SUMIFS(P_violacea_Spain_Med!$J:$J, P_violacea_Spain_Med!$B:$B, "&gt;="&amp;DATE(2006,12,1), P_violacea_Spain_Med!$B:$B, "&lt;="&amp;DATE(2006,12,31))</f>
        <v>0</v>
      </c>
      <c r="N4" s="41">
        <f t="shared" si="0"/>
        <v>1</v>
      </c>
      <c r="O4" s="19">
        <f>SUMIFS(P_violacea_Spain_Med!$J:$J, P_violacea_Spain_Med!$B:$B, "&gt;="&amp;DATE(2006,1,1), P_violacea_Spain_Med!$B:$B, "&lt;"&amp;DATE(2007,1,1), P_violacea_Spain_Med!$F:$F, "Girona")</f>
        <v>0</v>
      </c>
      <c r="P4" s="19">
        <f>SUMIFS(P_violacea_Spain_Med!$J:$J, P_violacea_Spain_Med!$B:$B, "&gt;="&amp;DATE(2006,1,1), P_violacea_Spain_Med!$B:$B, "&lt;"&amp;DATE(2007,1,1), P_violacea_Spain_Med!$F:$F, "Barcelona")</f>
        <v>1</v>
      </c>
      <c r="Q4" s="19">
        <f>SUMIFS(P_violacea_Spain_Med!$J:$J, P_violacea_Spain_Med!$B:$B, "&gt;="&amp;DATE(2006,1,1), P_violacea_Spain_Med!$B:$B, "&lt;"&amp;DATE(2007,1,1), P_violacea_Spain_Med!$F:$F, "Tarragona")</f>
        <v>0</v>
      </c>
      <c r="R4" s="23">
        <f t="shared" si="1"/>
        <v>1</v>
      </c>
      <c r="S4" s="20">
        <f>SUMIFS(P_violacea_Spain_Med!$J:$J, P_violacea_Spain_Med!$B:$B, "&gt;="&amp;DATE(2006,1,1), P_violacea_Spain_Med!$B:$B, "&lt;"&amp;DATE(2007,1,1), P_violacea_Spain_Med!$F:$F, "Castellón")</f>
        <v>0</v>
      </c>
      <c r="T4" s="20">
        <f>SUMIFS(P_violacea_Spain_Med!$J:$J, P_violacea_Spain_Med!$B:$B, "&gt;="&amp;DATE(2006,1,1), P_violacea_Spain_Med!$B:$B, "&lt;"&amp;DATE(2007,1,1), P_violacea_Spain_Med!$F:$F, "Valencia")</f>
        <v>0</v>
      </c>
      <c r="U4" s="20">
        <f>SUMIFS(P_violacea_Spain_Med!$J:$J, P_violacea_Spain_Med!$B:$B, "&gt;="&amp;DATE(2006,1,1), P_violacea_Spain_Med!$B:$B, "&lt;"&amp;DATE(2007,1,1), P_violacea_Spain_Med!$F:$F, "Alicante")</f>
        <v>0</v>
      </c>
      <c r="V4" s="24">
        <f t="shared" si="2"/>
        <v>0</v>
      </c>
      <c r="W4" s="25">
        <f>SUMIFS(P_violacea_Spain_Med!$J:$J, P_violacea_Spain_Med!$B:$B, "&gt;="&amp;DATE(2006,1,1), P_violacea_Spain_Med!$B:$B, "&lt;"&amp;DATE(2007,1,1), P_violacea_Spain_Med!$F:$F, "Región de Murcia")</f>
        <v>0</v>
      </c>
      <c r="X4" s="18">
        <f>SUMIFS(P_violacea_Spain_Med!$J:$J, P_violacea_Spain_Med!$B:$B, "&gt;="&amp;DATE(2006,1,1), P_violacea_Spain_Med!$B:$B, "&lt;"&amp;DATE(2007,1,1), P_violacea_Spain_Med!$F:$F, "Almería")</f>
        <v>0</v>
      </c>
      <c r="Y4" s="18">
        <f>SUMIFS(P_violacea_Spain_Med!$J:$J, P_violacea_Spain_Med!$B:$B, "&gt;="&amp;DATE(2006,1,1), P_violacea_Spain_Med!$B:$B, "&lt;"&amp;DATE(2007,1,1), P_violacea_Spain_Med!$F:$F, "Granada")</f>
        <v>0</v>
      </c>
      <c r="Z4" s="18">
        <f>SUMIFS(P_violacea_Spain_Med!$J:$J, P_violacea_Spain_Med!$B:$B, "&gt;="&amp;DATE(2006,1,1), P_violacea_Spain_Med!$B:$B, "&lt;"&amp;DATE(2007,1,1), P_violacea_Spain_Med!$F:$F, "Málaga")</f>
        <v>0</v>
      </c>
      <c r="AA4" s="18">
        <f>SUMIFS(P_violacea_Spain_Med!$J:$J, P_violacea_Spain_Med!$B:$B, "&gt;="&amp;DATE(2006,1,1), P_violacea_Spain_Med!$B:$B, "&lt;"&amp;DATE(2007,1,1), P_violacea_Spain_Med!$F:$F, "Cádiz")</f>
        <v>0</v>
      </c>
      <c r="AB4" s="26">
        <f t="shared" si="3"/>
        <v>0</v>
      </c>
      <c r="AC4" s="27">
        <f>SUMIFS(P_violacea_Spain_Med!$J:$J, P_violacea_Spain_Med!$B:$B, "&gt;="&amp;DATE(2006,1,1), P_violacea_Spain_Med!$B:$B, "&lt;"&amp;DATE(2007,1,1), P_violacea_Spain_Med!$F:$F, "Islas Baleares")</f>
        <v>0</v>
      </c>
      <c r="AD4" s="28">
        <f>SUMIFS(P_violacea_Spain_Med!$J:$J, P_violacea_Spain_Med!$B:$B, "&gt;="&amp;DATE(2006,1,1), P_violacea_Spain_Med!$B:$B, "&lt;"&amp;DATE(2007,1,1), P_violacea_Spain_Med!$F:$F, "Ceuta")</f>
        <v>0</v>
      </c>
      <c r="AE4" s="29">
        <f>SUMIFS(P_violacea_Spain_Med!$J:$J, P_violacea_Spain_Med!$B:$B, "&gt;="&amp;DATE(2006,1,1), P_violacea_Spain_Med!$B:$B, "&lt;"&amp;DATE(2007,1,1), P_violacea_Spain_Med!$F:$F, "Melilla")</f>
        <v>0</v>
      </c>
      <c r="AF4" s="46">
        <f>SUMIFS(P_violacea_Spain_Med!$J:$J, P_violacea_Spain_Med!$B:$B, "&gt;="&amp;DATE(2006,1,1), P_violacea_Spain_Med!$B:$B, "&lt;"&amp;DATE(2007,1,1), P_violacea_Spain_Med!$F:$F, "nd")</f>
        <v>0</v>
      </c>
      <c r="AG4" s="41">
        <f t="shared" si="4"/>
        <v>1</v>
      </c>
      <c r="AH4" s="43">
        <f t="shared" si="5"/>
        <v>0</v>
      </c>
    </row>
    <row r="5" spans="1:34" x14ac:dyDescent="0.25">
      <c r="A5" s="10">
        <v>2007</v>
      </c>
      <c r="B5" s="16">
        <f>SUMIFS(P_violacea_Spain_Med!$J:$J, P_violacea_Spain_Med!$B:$B, "&gt;="&amp;DATE(2007,1,1), P_violacea_Spain_Med!$B:$B, "&lt;="&amp;DATE(2007,1,31))</f>
        <v>0</v>
      </c>
      <c r="C5" s="17">
        <f>SUMIFS(P_violacea_Spain_Med!$J:$J, P_violacea_Spain_Med!$B:$B, "&gt;="&amp;DATE(2007,2,1), P_violacea_Spain_Med!$B:$B, "&lt;="&amp;DATE(2007,2,28))</f>
        <v>0</v>
      </c>
      <c r="D5" s="18">
        <f>SUMIFS(P_violacea_Spain_Med!$J:$J, P_violacea_Spain_Med!$B:$B, "&gt;="&amp;DATE(2007,3,1), P_violacea_Spain_Med!$B:$B, "&lt;="&amp;DATE(2007,3,31))</f>
        <v>0</v>
      </c>
      <c r="E5" s="18">
        <f>SUMIFS(P_violacea_Spain_Med!$J:$J, P_violacea_Spain_Med!$B:$B, "&gt;="&amp;DATE(2007,4,1), P_violacea_Spain_Med!$B:$B, "&lt;="&amp;DATE(2007,4,30))</f>
        <v>0</v>
      </c>
      <c r="F5" s="18">
        <f>SUMIFS(P_violacea_Spain_Med!$J:$J, P_violacea_Spain_Med!$B:$B, "&gt;="&amp;DATE(2007,5,1), P_violacea_Spain_Med!$B:$B, "&lt;="&amp;DATE(2007,5,31))</f>
        <v>0</v>
      </c>
      <c r="G5" s="19">
        <f>SUMIFS(P_violacea_Spain_Med!$J:$J, P_violacea_Spain_Med!$B:$B, "&gt;="&amp;DATE(2007,6,1), P_violacea_Spain_Med!$B:$B, "&lt;="&amp;DATE(2007,6,30))</f>
        <v>0</v>
      </c>
      <c r="H5" s="19">
        <f>SUMIFS(P_violacea_Spain_Med!$J:$J, P_violacea_Spain_Med!$B:$B, "&gt;="&amp;DATE(2007,7,1), P_violacea_Spain_Med!$B:$B, "&lt;="&amp;DATE(2007,7,31))</f>
        <v>0</v>
      </c>
      <c r="I5" s="19">
        <f>SUMIFS(P_violacea_Spain_Med!$J:$J, P_violacea_Spain_Med!$B:$B, "&gt;="&amp;DATE(2007,8,1), P_violacea_Spain_Med!$B:$B, "&lt;="&amp;DATE(2007,8,31))</f>
        <v>1</v>
      </c>
      <c r="J5" s="20">
        <f>SUMIFS(P_violacea_Spain_Med!$J:$J, P_violacea_Spain_Med!$B:$B, "&gt;="&amp;DATE(2007,9,1), P_violacea_Spain_Med!$B:$B, "&lt;="&amp;DATE(2007,9,30))</f>
        <v>3</v>
      </c>
      <c r="K5" s="20">
        <f>SUMIFS(P_violacea_Spain_Med!$J:$J, P_violacea_Spain_Med!$B:$B, "&gt;="&amp;DATE(2007,10,1), P_violacea_Spain_Med!$B:$B, "&lt;="&amp;DATE(2007,10,31))</f>
        <v>0</v>
      </c>
      <c r="L5" s="20">
        <f>SUMIFS(P_violacea_Spain_Med!$J:$J, P_violacea_Spain_Med!$B:$B, "&gt;="&amp;DATE(2007,11,1), P_violacea_Spain_Med!$B:$B, "&lt;="&amp;DATE(2007,11,30))</f>
        <v>0</v>
      </c>
      <c r="M5" s="17">
        <f>SUMIFS(P_violacea_Spain_Med!$J:$J, P_violacea_Spain_Med!$B:$B, "&gt;="&amp;DATE(2007,12,1), P_violacea_Spain_Med!$B:$B, "&lt;="&amp;DATE(2007,12,31))</f>
        <v>0</v>
      </c>
      <c r="N5" s="41">
        <f t="shared" si="0"/>
        <v>4</v>
      </c>
      <c r="O5" s="19">
        <f>SUMIFS(P_violacea_Spain_Med!$J:$J, P_violacea_Spain_Med!$B:$B, "&gt;="&amp;DATE(2007,1,1), P_violacea_Spain_Med!$B:$B, "&lt;"&amp;DATE(2008,1,1), P_violacea_Spain_Med!$F:$F, "Girona")</f>
        <v>0</v>
      </c>
      <c r="P5" s="19">
        <f>SUMIFS(P_violacea_Spain_Med!$J:$J, P_violacea_Spain_Med!$B:$B, "&gt;="&amp;DATE(2007,1,1), P_violacea_Spain_Med!$B:$B, "&lt;"&amp;DATE(2008,1,1), P_violacea_Spain_Med!$F:$F, "Barcelona")</f>
        <v>2</v>
      </c>
      <c r="Q5" s="19">
        <f>SUMIFS(P_violacea_Spain_Med!$J:$J, P_violacea_Spain_Med!$B:$B, "&gt;="&amp;DATE(2007,1,1), P_violacea_Spain_Med!$B:$B, "&lt;"&amp;DATE(2008,1,1), P_violacea_Spain_Med!$F:$F, "Tarragona")</f>
        <v>2</v>
      </c>
      <c r="R5" s="23">
        <f t="shared" si="1"/>
        <v>4</v>
      </c>
      <c r="S5" s="20">
        <f>SUMIFS(P_violacea_Spain_Med!$J:$J, P_violacea_Spain_Med!$B:$B, "&gt;="&amp;DATE(2007,1,1), P_violacea_Spain_Med!$B:$B, "&lt;"&amp;DATE(2008,1,1), P_violacea_Spain_Med!$F:$F, "Castellón")</f>
        <v>0</v>
      </c>
      <c r="T5" s="20">
        <f>SUMIFS(P_violacea_Spain_Med!$J:$J, P_violacea_Spain_Med!$B:$B, "&gt;="&amp;DATE(2007,1,1), P_violacea_Spain_Med!$B:$B, "&lt;"&amp;DATE(2008,1,1), P_violacea_Spain_Med!$F:$F, "Valencia")</f>
        <v>0</v>
      </c>
      <c r="U5" s="20">
        <f>SUMIFS(P_violacea_Spain_Med!$J:$J, P_violacea_Spain_Med!$B:$B, "&gt;="&amp;DATE(2007,1,1), P_violacea_Spain_Med!$B:$B, "&lt;"&amp;DATE(2008,1,1), P_violacea_Spain_Med!$F:$F, "Alicante")</f>
        <v>0</v>
      </c>
      <c r="V5" s="24">
        <f t="shared" si="2"/>
        <v>0</v>
      </c>
      <c r="W5" s="25">
        <f>SUMIFS(P_violacea_Spain_Med!$J:$J, P_violacea_Spain_Med!$B:$B, "&gt;="&amp;DATE(2007,1,1), P_violacea_Spain_Med!$B:$B, "&lt;"&amp;DATE(2008,1,1), P_violacea_Spain_Med!$F:$F, "Región de Murcia")</f>
        <v>0</v>
      </c>
      <c r="X5" s="18">
        <f>SUMIFS(P_violacea_Spain_Med!$J:$J, P_violacea_Spain_Med!$B:$B, "&gt;="&amp;DATE(2007,1,1), P_violacea_Spain_Med!$B:$B, "&lt;"&amp;DATE(2008,1,1), P_violacea_Spain_Med!$F:$F, "Almería")</f>
        <v>0</v>
      </c>
      <c r="Y5" s="18">
        <f>SUMIFS(P_violacea_Spain_Med!$J:$J, P_violacea_Spain_Med!$B:$B, "&gt;="&amp;DATE(2007,1,1), P_violacea_Spain_Med!$B:$B, "&lt;"&amp;DATE(2008,1,1), P_violacea_Spain_Med!$F:$F, "Granada")</f>
        <v>0</v>
      </c>
      <c r="Z5" s="18">
        <f>SUMIFS(P_violacea_Spain_Med!$J:$J, P_violacea_Spain_Med!$B:$B, "&gt;="&amp;DATE(2007,1,1), P_violacea_Spain_Med!$B:$B, "&lt;"&amp;DATE(2008,1,1), P_violacea_Spain_Med!$F:$F, "Málaga")</f>
        <v>0</v>
      </c>
      <c r="AA5" s="18">
        <f>SUMIFS(P_violacea_Spain_Med!$J:$J, P_violacea_Spain_Med!$B:$B, "&gt;="&amp;DATE(2007,1,1), P_violacea_Spain_Med!$B:$B, "&lt;"&amp;DATE(2008,1,1), P_violacea_Spain_Med!$F:$F, "Cádiz")</f>
        <v>0</v>
      </c>
      <c r="AB5" s="26">
        <f t="shared" si="3"/>
        <v>0</v>
      </c>
      <c r="AC5" s="27">
        <f>SUMIFS(P_violacea_Spain_Med!$J:$J, P_violacea_Spain_Med!$B:$B, "&gt;="&amp;DATE(2007,1,1), P_violacea_Spain_Med!$B:$B, "&lt;"&amp;DATE(2008,1,1), P_violacea_Spain_Med!$F:$F, "Islas Baleares")</f>
        <v>0</v>
      </c>
      <c r="AD5" s="28">
        <f>SUMIFS(P_violacea_Spain_Med!$J:$J, P_violacea_Spain_Med!$B:$B, "&gt;="&amp;DATE(2007,1,1), P_violacea_Spain_Med!$B:$B, "&lt;"&amp;DATE(2008,1,1), P_violacea_Spain_Med!$F:$F, "Ceuta")</f>
        <v>0</v>
      </c>
      <c r="AE5" s="29">
        <f>SUMIFS(P_violacea_Spain_Med!$J:$J, P_violacea_Spain_Med!$B:$B, "&gt;="&amp;DATE(2007,1,1), P_violacea_Spain_Med!$B:$B, "&lt;"&amp;DATE(2008,1,1), P_violacea_Spain_Med!$F:$F, "Melilla")</f>
        <v>0</v>
      </c>
      <c r="AF5" s="46">
        <f>SUMIFS(P_violacea_Spain_Med!$J:$J, P_violacea_Spain_Med!$B:$B, "&gt;="&amp;DATE(2007,1,1), P_violacea_Spain_Med!$B:$B, "&lt;"&amp;DATE(2008,1,1), P_violacea_Spain_Med!$F:$F, "nd")</f>
        <v>0</v>
      </c>
      <c r="AG5" s="41">
        <f t="shared" si="4"/>
        <v>4</v>
      </c>
      <c r="AH5" s="43">
        <f t="shared" si="5"/>
        <v>0</v>
      </c>
    </row>
    <row r="6" spans="1:34" x14ac:dyDescent="0.25">
      <c r="A6" s="10">
        <v>2008</v>
      </c>
      <c r="B6" s="16">
        <f>SUMIFS(P_violacea_Spain_Med!$J:$J, P_violacea_Spain_Med!$B:$B, "&gt;="&amp;DATE(2008,1,1), P_violacea_Spain_Med!$B:$B, "&lt;="&amp;DATE(2008,1,31))</f>
        <v>0</v>
      </c>
      <c r="C6" s="17">
        <f>SUMIFS(P_violacea_Spain_Med!$J:$J, P_violacea_Spain_Med!$B:$B, "&gt;="&amp;DATE(2008,2,1), P_violacea_Spain_Med!$B:$B, "&lt;="&amp;DATE(2008,2,28))</f>
        <v>0</v>
      </c>
      <c r="D6" s="18">
        <f>SUMIFS(P_violacea_Spain_Med!$J:$J, P_violacea_Spain_Med!$B:$B, "&gt;="&amp;DATE(2008,3,1), P_violacea_Spain_Med!$B:$B, "&lt;="&amp;DATE(2008,3,31))</f>
        <v>0</v>
      </c>
      <c r="E6" s="18">
        <f>SUMIFS(P_violacea_Spain_Med!$J:$J, P_violacea_Spain_Med!$B:$B, "&gt;="&amp;DATE(2008,4,1), P_violacea_Spain_Med!$B:$B, "&lt;="&amp;DATE(2008,4,30))</f>
        <v>0</v>
      </c>
      <c r="F6" s="18">
        <f>SUMIFS(P_violacea_Spain_Med!$J:$J, P_violacea_Spain_Med!$B:$B, "&gt;="&amp;DATE(2008,5,1), P_violacea_Spain_Med!$B:$B, "&lt;="&amp;DATE(2008,5,31))</f>
        <v>0</v>
      </c>
      <c r="G6" s="19">
        <f>SUMIFS(P_violacea_Spain_Med!$J:$J, P_violacea_Spain_Med!$B:$B, "&gt;="&amp;DATE(2008,6,1), P_violacea_Spain_Med!$B:$B, "&lt;="&amp;DATE(2008,6,30))</f>
        <v>0</v>
      </c>
      <c r="H6" s="19">
        <f>SUMIFS(P_violacea_Spain_Med!$J:$J, P_violacea_Spain_Med!$B:$B, "&gt;="&amp;DATE(2008,7,1), P_violacea_Spain_Med!$B:$B, "&lt;="&amp;DATE(2008,7,31))</f>
        <v>0</v>
      </c>
      <c r="I6" s="19">
        <f>SUMIFS(P_violacea_Spain_Med!$J:$J, P_violacea_Spain_Med!$B:$B, "&gt;="&amp;DATE(2008,8,1), P_violacea_Spain_Med!$B:$B, "&lt;="&amp;DATE(2008,8,31))</f>
        <v>0</v>
      </c>
      <c r="J6" s="20">
        <f>SUMIFS(P_violacea_Spain_Med!$J:$J, P_violacea_Spain_Med!$B:$B, "&gt;="&amp;DATE(2008,9,1), P_violacea_Spain_Med!$B:$B, "&lt;="&amp;DATE(2008,9,30))</f>
        <v>0</v>
      </c>
      <c r="K6" s="20">
        <f>SUMIFS(P_violacea_Spain_Med!$J:$J, P_violacea_Spain_Med!$B:$B, "&gt;="&amp;DATE(2008,10,1), P_violacea_Spain_Med!$B:$B, "&lt;="&amp;DATE(2008,10,31))</f>
        <v>0</v>
      </c>
      <c r="L6" s="20">
        <f>SUMIFS(P_violacea_Spain_Med!$J:$J, P_violacea_Spain_Med!$B:$B, "&gt;="&amp;DATE(2008,11,1), P_violacea_Spain_Med!$B:$B, "&lt;="&amp;DATE(2008,11,30))</f>
        <v>0</v>
      </c>
      <c r="M6" s="17">
        <f>SUMIFS(P_violacea_Spain_Med!$J:$J, P_violacea_Spain_Med!$B:$B, "&gt;="&amp;DATE(2008,12,1), P_violacea_Spain_Med!$B:$B, "&lt;="&amp;DATE(2008,12,31))</f>
        <v>0</v>
      </c>
      <c r="N6" s="41">
        <f t="shared" si="0"/>
        <v>0</v>
      </c>
      <c r="O6" s="19">
        <f>SUMIFS(P_violacea_Spain_Med!$J:$J, P_violacea_Spain_Med!$B:$B, "&gt;="&amp;DATE(2008,1,1), P_violacea_Spain_Med!$B:$B, "&lt;"&amp;DATE(2009,1,1), P_violacea_Spain_Med!$F:$F, "Girona")</f>
        <v>0</v>
      </c>
      <c r="P6" s="19">
        <f>SUMIFS(P_violacea_Spain_Med!$J:$J, P_violacea_Spain_Med!$B:$B, "&gt;="&amp;DATE(2008,1,1), P_violacea_Spain_Med!$B:$B, "&lt;"&amp;DATE(2009,1,1), P_violacea_Spain_Med!$F:$F, "Barcelona")</f>
        <v>0</v>
      </c>
      <c r="Q6" s="19">
        <f>SUMIFS(P_violacea_Spain_Med!$J:$J, P_violacea_Spain_Med!$B:$B, "&gt;="&amp;DATE(2008,1,1), P_violacea_Spain_Med!$B:$B, "&lt;"&amp;DATE(2009,1,1), P_violacea_Spain_Med!$F:$F, "Tarragona")</f>
        <v>0</v>
      </c>
      <c r="R6" s="23">
        <f t="shared" si="1"/>
        <v>0</v>
      </c>
      <c r="S6" s="20">
        <f>SUMIFS(P_violacea_Spain_Med!$J:$J, P_violacea_Spain_Med!$B:$B, "&gt;="&amp;DATE(2008,1,1), P_violacea_Spain_Med!$B:$B, "&lt;"&amp;DATE(2009,1,1), P_violacea_Spain_Med!$F:$F, "Castellón")</f>
        <v>0</v>
      </c>
      <c r="T6" s="20">
        <f>SUMIFS(P_violacea_Spain_Med!$J:$J, P_violacea_Spain_Med!$B:$B, "&gt;="&amp;DATE(2008,1,1), P_violacea_Spain_Med!$B:$B, "&lt;"&amp;DATE(2009,1,1), P_violacea_Spain_Med!$F:$F, "Valencia")</f>
        <v>0</v>
      </c>
      <c r="U6" s="20">
        <f>SUMIFS(P_violacea_Spain_Med!$J:$J, P_violacea_Spain_Med!$B:$B, "&gt;="&amp;DATE(2008,1,1), P_violacea_Spain_Med!$B:$B, "&lt;"&amp;DATE(2009,1,1), P_violacea_Spain_Med!$F:$F, "Alicante")</f>
        <v>0</v>
      </c>
      <c r="V6" s="24">
        <f t="shared" si="2"/>
        <v>0</v>
      </c>
      <c r="W6" s="25">
        <f>SUMIFS(P_violacea_Spain_Med!$J:$J, P_violacea_Spain_Med!$B:$B, "&gt;="&amp;DATE(2008,1,1), P_violacea_Spain_Med!$B:$B, "&lt;"&amp;DATE(2009,1,1), P_violacea_Spain_Med!$F:$F, "Región de Murcia")</f>
        <v>0</v>
      </c>
      <c r="X6" s="18">
        <f>SUMIFS(P_violacea_Spain_Med!$J:$J, P_violacea_Spain_Med!$B:$B, "&gt;="&amp;DATE(2008,1,1), P_violacea_Spain_Med!$B:$B, "&lt;"&amp;DATE(2009,1,1), P_violacea_Spain_Med!$F:$F, "Almería")</f>
        <v>0</v>
      </c>
      <c r="Y6" s="18">
        <f>SUMIFS(P_violacea_Spain_Med!$J:$J, P_violacea_Spain_Med!$B:$B, "&gt;="&amp;DATE(2008,1,1), P_violacea_Spain_Med!$B:$B, "&lt;"&amp;DATE(2009,1,1), P_violacea_Spain_Med!$F:$F, "Granada")</f>
        <v>0</v>
      </c>
      <c r="Z6" s="18">
        <f>SUMIFS(P_violacea_Spain_Med!$J:$J, P_violacea_Spain_Med!$B:$B, "&gt;="&amp;DATE(2008,1,1), P_violacea_Spain_Med!$B:$B, "&lt;"&amp;DATE(2009,1,1), P_violacea_Spain_Med!$F:$F, "Málaga")</f>
        <v>0</v>
      </c>
      <c r="AA6" s="18">
        <f>SUMIFS(P_violacea_Spain_Med!$J:$J, P_violacea_Spain_Med!$B:$B, "&gt;="&amp;DATE(2008,1,1), P_violacea_Spain_Med!$B:$B, "&lt;"&amp;DATE(2009,1,1), P_violacea_Spain_Med!$F:$F, "Cádiz")</f>
        <v>0</v>
      </c>
      <c r="AB6" s="26">
        <f t="shared" si="3"/>
        <v>0</v>
      </c>
      <c r="AC6" s="27">
        <f>SUMIFS(P_violacea_Spain_Med!$J:$J, P_violacea_Spain_Med!$B:$B, "&gt;="&amp;DATE(2008,1,1), P_violacea_Spain_Med!$B:$B, "&lt;"&amp;DATE(2009,1,1), P_violacea_Spain_Med!$F:$F, "Islas Baleares")</f>
        <v>0</v>
      </c>
      <c r="AD6" s="28">
        <f>SUMIFS(P_violacea_Spain_Med!$J:$J, P_violacea_Spain_Med!$B:$B, "&gt;="&amp;DATE(2008,1,1), P_violacea_Spain_Med!$B:$B, "&lt;"&amp;DATE(2009,1,1), P_violacea_Spain_Med!$F:$F, "Ceuta")</f>
        <v>0</v>
      </c>
      <c r="AE6" s="29">
        <f>SUMIFS(P_violacea_Spain_Med!$J:$J, P_violacea_Spain_Med!$B:$B, "&gt;="&amp;DATE(2008,1,1), P_violacea_Spain_Med!$B:$B, "&lt;"&amp;DATE(2009,1,1), P_violacea_Spain_Med!$F:$F, "Melilla")</f>
        <v>0</v>
      </c>
      <c r="AF6" s="46">
        <f>SUMIFS(P_violacea_Spain_Med!$J:$J, P_violacea_Spain_Med!$B:$B, "&gt;="&amp;DATE(2008,1,1), P_violacea_Spain_Med!$B:$B, "&lt;"&amp;DATE(2009,1,1), P_violacea_Spain_Med!$F:$F, "nd")</f>
        <v>0</v>
      </c>
      <c r="AG6" s="41">
        <f t="shared" si="4"/>
        <v>0</v>
      </c>
      <c r="AH6" s="43">
        <f t="shared" si="5"/>
        <v>0</v>
      </c>
    </row>
    <row r="7" spans="1:34" x14ac:dyDescent="0.25">
      <c r="A7" s="10">
        <v>2009</v>
      </c>
      <c r="B7" s="16">
        <f>SUMIFS(P_violacea_Spain_Med!$J:$J, P_violacea_Spain_Med!$B:$B, "&gt;="&amp;DATE(2009,1,1), P_violacea_Spain_Med!$B:$B, "&lt;="&amp;DATE(2009,1,31))</f>
        <v>0</v>
      </c>
      <c r="C7" s="17">
        <f>SUMIFS(P_violacea_Spain_Med!$J:$J, P_violacea_Spain_Med!$B:$B, "&gt;="&amp;DATE(2009,2,1), P_violacea_Spain_Med!$B:$B, "&lt;="&amp;DATE(2009,2,28))</f>
        <v>0</v>
      </c>
      <c r="D7" s="18">
        <f>SUMIFS(P_violacea_Spain_Med!$J:$J, P_violacea_Spain_Med!$B:$B, "&gt;="&amp;DATE(2009,3,1), P_violacea_Spain_Med!$B:$B, "&lt;="&amp;DATE(2009,3,31))</f>
        <v>0</v>
      </c>
      <c r="E7" s="18">
        <f>SUMIFS(P_violacea_Spain_Med!$J:$J, P_violacea_Spain_Med!$B:$B, "&gt;="&amp;DATE(2009,4,1), P_violacea_Spain_Med!$B:$B, "&lt;="&amp;DATE(2009,4,30))</f>
        <v>0</v>
      </c>
      <c r="F7" s="18">
        <f>SUMIFS(P_violacea_Spain_Med!$J:$J, P_violacea_Spain_Med!$B:$B, "&gt;="&amp;DATE(2009,5,1), P_violacea_Spain_Med!$B:$B, "&lt;="&amp;DATE(2009,5,31))</f>
        <v>0</v>
      </c>
      <c r="G7" s="19">
        <f>SUMIFS(P_violacea_Spain_Med!$J:$J, P_violacea_Spain_Med!$B:$B, "&gt;="&amp;DATE(2009,6,1), P_violacea_Spain_Med!$B:$B, "&lt;="&amp;DATE(2009,6,30))</f>
        <v>0</v>
      </c>
      <c r="H7" s="19">
        <f>SUMIFS(P_violacea_Spain_Med!$J:$J, P_violacea_Spain_Med!$B:$B, "&gt;="&amp;DATE(2009,7,1), P_violacea_Spain_Med!$B:$B, "&lt;="&amp;DATE(2009,7,31))</f>
        <v>0</v>
      </c>
      <c r="I7" s="19">
        <f>SUMIFS(P_violacea_Spain_Med!$J:$J, P_violacea_Spain_Med!$B:$B, "&gt;="&amp;DATE(2009,8,1), P_violacea_Spain_Med!$B:$B, "&lt;="&amp;DATE(2009,8,31))</f>
        <v>0</v>
      </c>
      <c r="J7" s="20">
        <f>SUMIFS(P_violacea_Spain_Med!$J:$J, P_violacea_Spain_Med!$B:$B, "&gt;="&amp;DATE(2009,9,1), P_violacea_Spain_Med!$B:$B, "&lt;="&amp;DATE(2009,9,30))</f>
        <v>0</v>
      </c>
      <c r="K7" s="20">
        <f>SUMIFS(P_violacea_Spain_Med!$J:$J, P_violacea_Spain_Med!$B:$B, "&gt;="&amp;DATE(2009,10,1), P_violacea_Spain_Med!$B:$B, "&lt;="&amp;DATE(2009,10,31))</f>
        <v>0</v>
      </c>
      <c r="L7" s="20">
        <f>SUMIFS(P_violacea_Spain_Med!$J:$J, P_violacea_Spain_Med!$B:$B, "&gt;="&amp;DATE(2009,11,1), P_violacea_Spain_Med!$B:$B, "&lt;="&amp;DATE(2009,11,30))</f>
        <v>0</v>
      </c>
      <c r="M7" s="17">
        <f>SUMIFS(P_violacea_Spain_Med!$J:$J, P_violacea_Spain_Med!$B:$B, "&gt;="&amp;DATE(2009,12,1), P_violacea_Spain_Med!$B:$B, "&lt;="&amp;DATE(2009,12,31))</f>
        <v>0</v>
      </c>
      <c r="N7" s="41">
        <f t="shared" si="0"/>
        <v>0</v>
      </c>
      <c r="O7" s="19">
        <f>SUMIFS(P_violacea_Spain_Med!$J:$J, P_violacea_Spain_Med!$B:$B, "&gt;="&amp;DATE(2009,1,1), P_violacea_Spain_Med!$B:$B, "&lt;"&amp;DATE(2010,1,1), P_violacea_Spain_Med!$F:$F, "Girona")</f>
        <v>0</v>
      </c>
      <c r="P7" s="19">
        <f>SUMIFS(P_violacea_Spain_Med!$J:$J, P_violacea_Spain_Med!$B:$B, "&gt;="&amp;DATE(2009,1,1), P_violacea_Spain_Med!$B:$B, "&lt;"&amp;DATE(2010,1,1), P_violacea_Spain_Med!$F:$F, "Barcelona")</f>
        <v>0</v>
      </c>
      <c r="Q7" s="19">
        <f>SUMIFS(P_violacea_Spain_Med!$J:$J, P_violacea_Spain_Med!$B:$B, "&gt;="&amp;DATE(2009,1,1), P_violacea_Spain_Med!$B:$B, "&lt;"&amp;DATE(2010,1,1), P_violacea_Spain_Med!$F:$F, "Tarragona")</f>
        <v>0</v>
      </c>
      <c r="R7" s="23">
        <f t="shared" si="1"/>
        <v>0</v>
      </c>
      <c r="S7" s="20">
        <f>SUMIFS(P_violacea_Spain_Med!$J:$J, P_violacea_Spain_Med!$B:$B, "&gt;="&amp;DATE(2009,1,1), P_violacea_Spain_Med!$B:$B, "&lt;"&amp;DATE(2010,1,1), P_violacea_Spain_Med!$F:$F, "Castellón")</f>
        <v>0</v>
      </c>
      <c r="T7" s="20">
        <f>SUMIFS(P_violacea_Spain_Med!$J:$J, P_violacea_Spain_Med!$B:$B, "&gt;="&amp;DATE(2009,1,1), P_violacea_Spain_Med!$B:$B, "&lt;"&amp;DATE(2010,1,1), P_violacea_Spain_Med!$F:$F, "Valencia")</f>
        <v>0</v>
      </c>
      <c r="U7" s="20">
        <f>SUMIFS(P_violacea_Spain_Med!$J:$J, P_violacea_Spain_Med!$B:$B, "&gt;="&amp;DATE(2009,1,1), P_violacea_Spain_Med!$B:$B, "&lt;"&amp;DATE(2010,1,1), P_violacea_Spain_Med!$F:$F, "Alicante")</f>
        <v>0</v>
      </c>
      <c r="V7" s="24">
        <f t="shared" si="2"/>
        <v>0</v>
      </c>
      <c r="W7" s="25">
        <f>SUMIFS(P_violacea_Spain_Med!$J:$J, P_violacea_Spain_Med!$B:$B, "&gt;="&amp;DATE(2009,1,1), P_violacea_Spain_Med!$B:$B, "&lt;"&amp;DATE(2010,1,1), P_violacea_Spain_Med!$F:$F, "Región de Murcia")</f>
        <v>0</v>
      </c>
      <c r="X7" s="18">
        <f>SUMIFS(P_violacea_Spain_Med!$J:$J, P_violacea_Spain_Med!$B:$B, "&gt;="&amp;DATE(2009,1,1), P_violacea_Spain_Med!$B:$B, "&lt;"&amp;DATE(2010,1,1), P_violacea_Spain_Med!$F:$F, "Almería")</f>
        <v>0</v>
      </c>
      <c r="Y7" s="18">
        <f>SUMIFS(P_violacea_Spain_Med!$J:$J, P_violacea_Spain_Med!$B:$B, "&gt;="&amp;DATE(2009,1,1), P_violacea_Spain_Med!$B:$B, "&lt;"&amp;DATE(2010,1,1), P_violacea_Spain_Med!$F:$F, "Granada")</f>
        <v>0</v>
      </c>
      <c r="Z7" s="18">
        <f>SUMIFS(P_violacea_Spain_Med!$J:$J, P_violacea_Spain_Med!$B:$B, "&gt;="&amp;DATE(2009,1,1), P_violacea_Spain_Med!$B:$B, "&lt;"&amp;DATE(2010,1,1), P_violacea_Spain_Med!$F:$F, "Málaga")</f>
        <v>0</v>
      </c>
      <c r="AA7" s="18">
        <f>SUMIFS(P_violacea_Spain_Med!$J:$J, P_violacea_Spain_Med!$B:$B, "&gt;="&amp;DATE(2009,1,1), P_violacea_Spain_Med!$B:$B, "&lt;"&amp;DATE(2010,1,1), P_violacea_Spain_Med!$F:$F, "Cádiz")</f>
        <v>0</v>
      </c>
      <c r="AB7" s="26">
        <f t="shared" si="3"/>
        <v>0</v>
      </c>
      <c r="AC7" s="27">
        <f>SUMIFS(P_violacea_Spain_Med!$J:$J, P_violacea_Spain_Med!$B:$B, "&gt;="&amp;DATE(2009,1,1), P_violacea_Spain_Med!$B:$B, "&lt;"&amp;DATE(2010,1,1), P_violacea_Spain_Med!$F:$F, "Islas Baleares")</f>
        <v>0</v>
      </c>
      <c r="AD7" s="28">
        <f>SUMIFS(P_violacea_Spain_Med!$J:$J, P_violacea_Spain_Med!$B:$B, "&gt;="&amp;DATE(2009,1,1), P_violacea_Spain_Med!$B:$B, "&lt;"&amp;DATE(2010,1,1), P_violacea_Spain_Med!$F:$F, "Ceuta")</f>
        <v>0</v>
      </c>
      <c r="AE7" s="29">
        <f>SUMIFS(P_violacea_Spain_Med!$J:$J, P_violacea_Spain_Med!$B:$B, "&gt;="&amp;DATE(2009,1,1), P_violacea_Spain_Med!$B:$B, "&lt;"&amp;DATE(2010,1,1), P_violacea_Spain_Med!$F:$F, "Melilla")</f>
        <v>0</v>
      </c>
      <c r="AF7" s="46">
        <f>SUMIFS(P_violacea_Spain_Med!$J:$J, P_violacea_Spain_Med!$B:$B, "&gt;="&amp;DATE(2009,1,1), P_violacea_Spain_Med!$B:$B, "&lt;"&amp;DATE(2010,1,1), P_violacea_Spain_Med!$F:$F, "nd")</f>
        <v>0</v>
      </c>
      <c r="AG7" s="41">
        <f t="shared" si="4"/>
        <v>0</v>
      </c>
      <c r="AH7" s="43">
        <f t="shared" si="5"/>
        <v>0</v>
      </c>
    </row>
    <row r="8" spans="1:34" x14ac:dyDescent="0.25">
      <c r="A8" s="10">
        <v>2010</v>
      </c>
      <c r="B8" s="16">
        <f>SUMIFS(P_violacea_Spain_Med!$J:$J, P_violacea_Spain_Med!$B:$B, "&gt;="&amp;DATE(2010,1,1), P_violacea_Spain_Med!$B:$B, "&lt;="&amp;DATE(2010,1,31))</f>
        <v>0</v>
      </c>
      <c r="C8" s="17">
        <f>SUMIFS(P_violacea_Spain_Med!$J:$J, P_violacea_Spain_Med!$B:$B, "&gt;="&amp;DATE(2010,2,1), P_violacea_Spain_Med!$B:$B, "&lt;="&amp;DATE(2010,2,28))</f>
        <v>0</v>
      </c>
      <c r="D8" s="18">
        <f>SUMIFS(P_violacea_Spain_Med!$J:$J, P_violacea_Spain_Med!$B:$B, "&gt;="&amp;DATE(2010,3,1), P_violacea_Spain_Med!$B:$B, "&lt;="&amp;DATE(2010,3,31))</f>
        <v>0</v>
      </c>
      <c r="E8" s="18">
        <f>SUMIFS(P_violacea_Spain_Med!$J:$J, P_violacea_Spain_Med!$B:$B, "&gt;="&amp;DATE(2010,4,1), P_violacea_Spain_Med!$B:$B, "&lt;="&amp;DATE(2010,4,30))</f>
        <v>0</v>
      </c>
      <c r="F8" s="18">
        <f>SUMIFS(P_violacea_Spain_Med!$J:$J, P_violacea_Spain_Med!$B:$B, "&gt;="&amp;DATE(2010,5,1), P_violacea_Spain_Med!$B:$B, "&lt;="&amp;DATE(2010,5,31))</f>
        <v>0</v>
      </c>
      <c r="G8" s="19">
        <f>SUMIFS(P_violacea_Spain_Med!$J:$J, P_violacea_Spain_Med!$B:$B, "&gt;="&amp;DATE(2010,6,1), P_violacea_Spain_Med!$B:$B, "&lt;="&amp;DATE(2010,6,30))</f>
        <v>0</v>
      </c>
      <c r="H8" s="19">
        <f>SUMIFS(P_violacea_Spain_Med!$J:$J, P_violacea_Spain_Med!$B:$B, "&gt;="&amp;DATE(2010,7,1), P_violacea_Spain_Med!$B:$B, "&lt;="&amp;DATE(2010,7,31))</f>
        <v>0</v>
      </c>
      <c r="I8" s="19">
        <f>SUMIFS(P_violacea_Spain_Med!$J:$J, P_violacea_Spain_Med!$B:$B, "&gt;="&amp;DATE(2010,8,1), P_violacea_Spain_Med!$B:$B, "&lt;="&amp;DATE(2010,8,31))</f>
        <v>0</v>
      </c>
      <c r="J8" s="20">
        <f>SUMIFS(P_violacea_Spain_Med!$J:$J, P_violacea_Spain_Med!$B:$B, "&gt;="&amp;DATE(2010,9,1), P_violacea_Spain_Med!$B:$B, "&lt;="&amp;DATE(2010,9,30))</f>
        <v>0</v>
      </c>
      <c r="K8" s="20">
        <f>SUMIFS(P_violacea_Spain_Med!$J:$J, P_violacea_Spain_Med!$B:$B, "&gt;="&amp;DATE(2010,10,1), P_violacea_Spain_Med!$B:$B, "&lt;="&amp;DATE(2010,10,31))</f>
        <v>0</v>
      </c>
      <c r="L8" s="20">
        <f>SUMIFS(P_violacea_Spain_Med!$J:$J, P_violacea_Spain_Med!$B:$B, "&gt;="&amp;DATE(2010,11,1), P_violacea_Spain_Med!$B:$B, "&lt;="&amp;DATE(2010,11,30))</f>
        <v>0</v>
      </c>
      <c r="M8" s="17">
        <f>SUMIFS(P_violacea_Spain_Med!$J:$J, P_violacea_Spain_Med!$B:$B, "&gt;="&amp;DATE(2010,12,1), P_violacea_Spain_Med!$B:$B, "&lt;="&amp;DATE(2010,12,31))</f>
        <v>0</v>
      </c>
      <c r="N8" s="41">
        <f t="shared" si="0"/>
        <v>0</v>
      </c>
      <c r="O8" s="19">
        <f>SUMIFS(P_violacea_Spain_Med!$J:$J, P_violacea_Spain_Med!$B:$B, "&gt;="&amp;DATE(2010,1,1), P_violacea_Spain_Med!$B:$B, "&lt;"&amp;DATE(2011,1,1), P_violacea_Spain_Med!$F:$F, "Girona")</f>
        <v>0</v>
      </c>
      <c r="P8" s="19">
        <f>SUMIFS(P_violacea_Spain_Med!$J:$J, P_violacea_Spain_Med!$B:$B, "&gt;="&amp;DATE(2010,1,1), P_violacea_Spain_Med!$B:$B, "&lt;"&amp;DATE(2011,1,1), P_violacea_Spain_Med!$F:$F, "Barcelona")</f>
        <v>0</v>
      </c>
      <c r="Q8" s="19">
        <f>SUMIFS(P_violacea_Spain_Med!$J:$J, P_violacea_Spain_Med!$B:$B, "&gt;="&amp;DATE(2010,1,1), P_violacea_Spain_Med!$B:$B, "&lt;"&amp;DATE(2011,1,1), P_violacea_Spain_Med!$F:$F, "Tarragona")</f>
        <v>0</v>
      </c>
      <c r="R8" s="23">
        <f t="shared" si="1"/>
        <v>0</v>
      </c>
      <c r="S8" s="20">
        <f>SUMIFS(P_violacea_Spain_Med!$J:$J, P_violacea_Spain_Med!$B:$B, "&gt;="&amp;DATE(2010,1,1), P_violacea_Spain_Med!$B:$B, "&lt;"&amp;DATE(2011,1,1), P_violacea_Spain_Med!$F:$F, "Castellón")</f>
        <v>0</v>
      </c>
      <c r="T8" s="20">
        <f>SUMIFS(P_violacea_Spain_Med!$J:$J, P_violacea_Spain_Med!$B:$B, "&gt;="&amp;DATE(2010,1,1), P_violacea_Spain_Med!$B:$B, "&lt;"&amp;DATE(2011,1,1), P_violacea_Spain_Med!$F:$F, "Valencia")</f>
        <v>0</v>
      </c>
      <c r="U8" s="20">
        <f>SUMIFS(P_violacea_Spain_Med!$J:$J, P_violacea_Spain_Med!$B:$B, "&gt;="&amp;DATE(2010,1,1), P_violacea_Spain_Med!$B:$B, "&lt;"&amp;DATE(2011,1,1), P_violacea_Spain_Med!$F:$F, "Alicante")</f>
        <v>0</v>
      </c>
      <c r="V8" s="24">
        <f t="shared" si="2"/>
        <v>0</v>
      </c>
      <c r="W8" s="25">
        <f>SUMIFS(P_violacea_Spain_Med!$J:$J, P_violacea_Spain_Med!$B:$B, "&gt;="&amp;DATE(2010,1,1), P_violacea_Spain_Med!$B:$B, "&lt;"&amp;DATE(2011,1,1), P_violacea_Spain_Med!$F:$F, "Región de Murcia")</f>
        <v>0</v>
      </c>
      <c r="X8" s="18">
        <f>SUMIFS(P_violacea_Spain_Med!$J:$J, P_violacea_Spain_Med!$B:$B, "&gt;="&amp;DATE(2010,1,1), P_violacea_Spain_Med!$B:$B, "&lt;"&amp;DATE(2011,1,1), P_violacea_Spain_Med!$F:$F, "Almería")</f>
        <v>0</v>
      </c>
      <c r="Y8" s="18">
        <f>SUMIFS(P_violacea_Spain_Med!$J:$J, P_violacea_Spain_Med!$B:$B, "&gt;="&amp;DATE(2010,1,1), P_violacea_Spain_Med!$B:$B, "&lt;"&amp;DATE(2011,1,1), P_violacea_Spain_Med!$F:$F, "Granada")</f>
        <v>0</v>
      </c>
      <c r="Z8" s="18">
        <f>SUMIFS(P_violacea_Spain_Med!$J:$J, P_violacea_Spain_Med!$B:$B, "&gt;="&amp;DATE(2010,1,1), P_violacea_Spain_Med!$B:$B, "&lt;"&amp;DATE(2011,1,1), P_violacea_Spain_Med!$F:$F, "Málaga")</f>
        <v>0</v>
      </c>
      <c r="AA8" s="18">
        <f>SUMIFS(P_violacea_Spain_Med!$J:$J, P_violacea_Spain_Med!$B:$B, "&gt;="&amp;DATE(2010,1,1), P_violacea_Spain_Med!$B:$B, "&lt;"&amp;DATE(2011,1,1), P_violacea_Spain_Med!$F:$F, "Cádiz")</f>
        <v>0</v>
      </c>
      <c r="AB8" s="26">
        <f t="shared" si="3"/>
        <v>0</v>
      </c>
      <c r="AC8" s="27">
        <f>SUMIFS(P_violacea_Spain_Med!$J:$J, P_violacea_Spain_Med!$B:$B, "&gt;="&amp;DATE(2010,1,1), P_violacea_Spain_Med!$B:$B, "&lt;"&amp;DATE(2011,1,1), P_violacea_Spain_Med!$F:$F, "Islas Baleares")</f>
        <v>0</v>
      </c>
      <c r="AD8" s="28">
        <f>SUMIFS(P_violacea_Spain_Med!$J:$J, P_violacea_Spain_Med!$B:$B, "&gt;="&amp;DATE(2010,1,1), P_violacea_Spain_Med!$B:$B, "&lt;"&amp;DATE(2011,1,1), P_violacea_Spain_Med!$F:$F, "Ceuta")</f>
        <v>0</v>
      </c>
      <c r="AE8" s="29">
        <f>SUMIFS(P_violacea_Spain_Med!$J:$J, P_violacea_Spain_Med!$B:$B, "&gt;="&amp;DATE(2010,1,1), P_violacea_Spain_Med!$B:$B, "&lt;"&amp;DATE(2011,1,1), P_violacea_Spain_Med!$F:$F, "Melilla")</f>
        <v>0</v>
      </c>
      <c r="AF8" s="46">
        <f>SUMIFS(P_violacea_Spain_Med!$J:$J, P_violacea_Spain_Med!$B:$B, "&gt;="&amp;DATE(2010,1,1), P_violacea_Spain_Med!$B:$B, "&lt;"&amp;DATE(2011,1,1), P_violacea_Spain_Med!$F:$F, "nd")</f>
        <v>0</v>
      </c>
      <c r="AG8" s="41">
        <f t="shared" si="4"/>
        <v>0</v>
      </c>
      <c r="AH8" s="43">
        <f t="shared" si="5"/>
        <v>0</v>
      </c>
    </row>
    <row r="9" spans="1:34" x14ac:dyDescent="0.25">
      <c r="A9" s="10">
        <v>2011</v>
      </c>
      <c r="B9" s="16">
        <f>SUMIFS(P_violacea_Spain_Med!$J:$J, P_violacea_Spain_Med!$B:$B, "&gt;="&amp;DATE(2011,1,1), P_violacea_Spain_Med!$B:$B, "&lt;="&amp;DATE(2011,1,31))</f>
        <v>0</v>
      </c>
      <c r="C9" s="17">
        <f>SUMIFS(P_violacea_Spain_Med!$J:$J, P_violacea_Spain_Med!$B:$B, "&gt;="&amp;DATE(2011,2,1), P_violacea_Spain_Med!$B:$B, "&lt;="&amp;DATE(2011,2,28))</f>
        <v>0</v>
      </c>
      <c r="D9" s="18">
        <f>SUMIFS(P_violacea_Spain_Med!$J:$J, P_violacea_Spain_Med!$B:$B, "&gt;="&amp;DATE(2011,3,1), P_violacea_Spain_Med!$B:$B, "&lt;="&amp;DATE(2011,3,31))</f>
        <v>0</v>
      </c>
      <c r="E9" s="18">
        <f>SUMIFS(P_violacea_Spain_Med!$J:$J, P_violacea_Spain_Med!$B:$B, "&gt;="&amp;DATE(2011,4,1), P_violacea_Spain_Med!$B:$B, "&lt;="&amp;DATE(2011,4,30))</f>
        <v>0</v>
      </c>
      <c r="F9" s="18">
        <f>SUMIFS(P_violacea_Spain_Med!$J:$J, P_violacea_Spain_Med!$B:$B, "&gt;="&amp;DATE(2011,5,1), P_violacea_Spain_Med!$B:$B, "&lt;="&amp;DATE(2011,5,31))</f>
        <v>1</v>
      </c>
      <c r="G9" s="19">
        <f>SUMIFS(P_violacea_Spain_Med!$J:$J, P_violacea_Spain_Med!$B:$B, "&gt;="&amp;DATE(2011,6,1), P_violacea_Spain_Med!$B:$B, "&lt;="&amp;DATE(2011,6,30))</f>
        <v>0</v>
      </c>
      <c r="H9" s="19">
        <f>SUMIFS(P_violacea_Spain_Med!$J:$J, P_violacea_Spain_Med!$B:$B, "&gt;="&amp;DATE(2011,7,1), P_violacea_Spain_Med!$B:$B, "&lt;="&amp;DATE(2011,7,31))</f>
        <v>2</v>
      </c>
      <c r="I9" s="19">
        <f>SUMIFS(P_violacea_Spain_Med!$J:$J, P_violacea_Spain_Med!$B:$B, "&gt;="&amp;DATE(2011,8,1), P_violacea_Spain_Med!$B:$B, "&lt;="&amp;DATE(2011,8,31))</f>
        <v>1</v>
      </c>
      <c r="J9" s="20">
        <f>SUMIFS(P_violacea_Spain_Med!$J:$J, P_violacea_Spain_Med!$B:$B, "&gt;="&amp;DATE(2011,9,1), P_violacea_Spain_Med!$B:$B, "&lt;="&amp;DATE(2011,9,30))</f>
        <v>0</v>
      </c>
      <c r="K9" s="20">
        <f>SUMIFS(P_violacea_Spain_Med!$J:$J, P_violacea_Spain_Med!$B:$B, "&gt;="&amp;DATE(2011,10,1), P_violacea_Spain_Med!$B:$B, "&lt;="&amp;DATE(2011,10,31))</f>
        <v>0</v>
      </c>
      <c r="L9" s="20">
        <f>SUMIFS(P_violacea_Spain_Med!$J:$J, P_violacea_Spain_Med!$B:$B, "&gt;="&amp;DATE(2011,11,1), P_violacea_Spain_Med!$B:$B, "&lt;="&amp;DATE(2011,11,30))</f>
        <v>0</v>
      </c>
      <c r="M9" s="17">
        <f>SUMIFS(P_violacea_Spain_Med!$J:$J, P_violacea_Spain_Med!$B:$B, "&gt;="&amp;DATE(2011,12,1), P_violacea_Spain_Med!$B:$B, "&lt;="&amp;DATE(2011,12,31))</f>
        <v>0</v>
      </c>
      <c r="N9" s="41">
        <f t="shared" ref="N9:N23" si="6">SUM($B9:$M9)</f>
        <v>4</v>
      </c>
      <c r="O9" s="19">
        <f>SUMIFS(P_violacea_Spain_Med!$J:$J, P_violacea_Spain_Med!$B:$B, "&gt;="&amp;DATE(2011,1,1), P_violacea_Spain_Med!$B:$B, "&lt;"&amp;DATE(2012,1,1), P_violacea_Spain_Med!$F:$F, "Girona")</f>
        <v>0</v>
      </c>
      <c r="P9" s="19">
        <f>SUMIFS(P_violacea_Spain_Med!$J:$J, P_violacea_Spain_Med!$B:$B, "&gt;="&amp;DATE(2011,1,1), P_violacea_Spain_Med!$B:$B, "&lt;"&amp;DATE(2012,1,1), P_violacea_Spain_Med!$F:$F, "Barcelona")</f>
        <v>0</v>
      </c>
      <c r="Q9" s="19">
        <f>SUMIFS(P_violacea_Spain_Med!$J:$J, P_violacea_Spain_Med!$B:$B, "&gt;="&amp;DATE(2011,1,1), P_violacea_Spain_Med!$B:$B, "&lt;"&amp;DATE(2012,1,1), P_violacea_Spain_Med!$F:$F, "Tarragona")</f>
        <v>0</v>
      </c>
      <c r="R9" s="23">
        <f t="shared" ref="R9:R23" si="7">SUM(O9:Q9)</f>
        <v>0</v>
      </c>
      <c r="S9" s="20">
        <f>SUMIFS(P_violacea_Spain_Med!$J:$J, P_violacea_Spain_Med!$B:$B, "&gt;="&amp;DATE(2011,1,1), P_violacea_Spain_Med!$B:$B, "&lt;"&amp;DATE(2012,1,1), P_violacea_Spain_Med!$F:$F, "Castellón")</f>
        <v>0</v>
      </c>
      <c r="T9" s="20">
        <f>SUMIFS(P_violacea_Spain_Med!$J:$J, P_violacea_Spain_Med!$B:$B, "&gt;="&amp;DATE(2011,1,1), P_violacea_Spain_Med!$B:$B, "&lt;"&amp;DATE(2012,1,1), P_violacea_Spain_Med!$F:$F, "Valencia")</f>
        <v>0</v>
      </c>
      <c r="U9" s="20">
        <f>SUMIFS(P_violacea_Spain_Med!$J:$J, P_violacea_Spain_Med!$B:$B, "&gt;="&amp;DATE(2011,1,1), P_violacea_Spain_Med!$B:$B, "&lt;"&amp;DATE(2012,1,1), P_violacea_Spain_Med!$F:$F, "Alicante")</f>
        <v>0</v>
      </c>
      <c r="V9" s="24">
        <f t="shared" ref="V9:V23" si="8">SUM(S9:U9)</f>
        <v>0</v>
      </c>
      <c r="W9" s="25">
        <f>SUMIFS(P_violacea_Spain_Med!$J:$J, P_violacea_Spain_Med!$B:$B, "&gt;="&amp;DATE(2011,1,1), P_violacea_Spain_Med!$B:$B, "&lt;"&amp;DATE(2012,1,1), P_violacea_Spain_Med!$F:$F, "Región de Murcia")</f>
        <v>0</v>
      </c>
      <c r="X9" s="18">
        <f>SUMIFS(P_violacea_Spain_Med!$J:$J, P_violacea_Spain_Med!$B:$B, "&gt;="&amp;DATE(2011,1,1), P_violacea_Spain_Med!$B:$B, "&lt;"&amp;DATE(2012,1,1), P_violacea_Spain_Med!$F:$F, "Almería")</f>
        <v>3</v>
      </c>
      <c r="Y9" s="18">
        <f>SUMIFS(P_violacea_Spain_Med!$J:$J, P_violacea_Spain_Med!$B:$B, "&gt;="&amp;DATE(2011,1,1), P_violacea_Spain_Med!$B:$B, "&lt;"&amp;DATE(2012,1,1), P_violacea_Spain_Med!$F:$F, "Granada")</f>
        <v>0</v>
      </c>
      <c r="Z9" s="18">
        <f>SUMIFS(P_violacea_Spain_Med!$J:$J, P_violacea_Spain_Med!$B:$B, "&gt;="&amp;DATE(2011,1,1), P_violacea_Spain_Med!$B:$B, "&lt;"&amp;DATE(2012,1,1), P_violacea_Spain_Med!$F:$F, "Málaga")</f>
        <v>1</v>
      </c>
      <c r="AA9" s="18">
        <f>SUMIFS(P_violacea_Spain_Med!$J:$J, P_violacea_Spain_Med!$B:$B, "&gt;="&amp;DATE(2011,1,1), P_violacea_Spain_Med!$B:$B, "&lt;"&amp;DATE(2012,1,1), P_violacea_Spain_Med!$F:$F, "Cádiz")</f>
        <v>0</v>
      </c>
      <c r="AB9" s="26">
        <f t="shared" ref="AB9:AB23" si="9">SUM(X9:AA9)</f>
        <v>4</v>
      </c>
      <c r="AC9" s="27">
        <f>SUMIFS(P_violacea_Spain_Med!$J:$J, P_violacea_Spain_Med!$B:$B, "&gt;="&amp;DATE(2011,1,1), P_violacea_Spain_Med!$B:$B, "&lt;"&amp;DATE(2012,1,1), P_violacea_Spain_Med!$F:$F, "Islas Baleares")</f>
        <v>0</v>
      </c>
      <c r="AD9" s="28">
        <f>SUMIFS(P_violacea_Spain_Med!$J:$J, P_violacea_Spain_Med!$B:$B, "&gt;="&amp;DATE(2011,1,1), P_violacea_Spain_Med!$B:$B, "&lt;"&amp;DATE(2012,1,1), P_violacea_Spain_Med!$F:$F, "Ceuta")</f>
        <v>0</v>
      </c>
      <c r="AE9" s="29">
        <f>SUMIFS(P_violacea_Spain_Med!$J:$J, P_violacea_Spain_Med!$B:$B, "&gt;="&amp;DATE(2011,1,1), P_violacea_Spain_Med!$B:$B, "&lt;"&amp;DATE(2012,1,1), P_violacea_Spain_Med!$F:$F, "Melilla")</f>
        <v>0</v>
      </c>
      <c r="AF9" s="46">
        <f>SUMIFS(P_violacea_Spain_Med!$J:$J, P_violacea_Spain_Med!$B:$B, "&gt;="&amp;DATE(2011,1,1), P_violacea_Spain_Med!$B:$B, "&lt;"&amp;DATE(2012,1,1), P_violacea_Spain_Med!$F:$F, "nd")</f>
        <v>0</v>
      </c>
      <c r="AG9" s="41">
        <f t="shared" si="4"/>
        <v>4</v>
      </c>
      <c r="AH9" s="43">
        <f t="shared" ref="AH9:AH23" si="10">N9-AG9</f>
        <v>0</v>
      </c>
    </row>
    <row r="10" spans="1:34" x14ac:dyDescent="0.25">
      <c r="A10" s="10">
        <v>2012</v>
      </c>
      <c r="B10" s="16">
        <f>SUMIFS(P_violacea_Spain_Med!$J:$J, P_violacea_Spain_Med!$B:$B, "&gt;="&amp;DATE(2012,1,1), P_violacea_Spain_Med!$B:$B, "&lt;="&amp;DATE(2012,1,31))</f>
        <v>0</v>
      </c>
      <c r="C10" s="17">
        <f>SUMIFS(P_violacea_Spain_Med!$J:$J, P_violacea_Spain_Med!$B:$B, "&gt;="&amp;DATE(2012,2,1), P_violacea_Spain_Med!$B:$B, "&lt;="&amp;DATE(2012,2,29))</f>
        <v>0</v>
      </c>
      <c r="D10" s="18">
        <f>SUMIFS(P_violacea_Spain_Med!$J:$J, P_violacea_Spain_Med!$B:$B, "&gt;="&amp;DATE(2012,3,1), P_violacea_Spain_Med!$B:$B, "&lt;="&amp;DATE(2012,3,31))</f>
        <v>0</v>
      </c>
      <c r="E10" s="18">
        <f>SUMIFS(P_violacea_Spain_Med!$J:$J, P_violacea_Spain_Med!$B:$B, "&gt;="&amp;DATE(2012,4,1), P_violacea_Spain_Med!$B:$B, "&lt;="&amp;DATE(2012,4,30))</f>
        <v>0</v>
      </c>
      <c r="F10" s="18">
        <f>SUMIFS(P_violacea_Spain_Med!$J:$J, P_violacea_Spain_Med!$B:$B, "&gt;="&amp;DATE(2012,5,1), P_violacea_Spain_Med!$B:$B, "&lt;="&amp;DATE(2012,5,31))</f>
        <v>0</v>
      </c>
      <c r="G10" s="19">
        <f>SUMIFS(P_violacea_Spain_Med!$J:$J, P_violacea_Spain_Med!$B:$B, "&gt;="&amp;DATE(2012,6,1), P_violacea_Spain_Med!$B:$B, "&lt;="&amp;DATE(2012,6,30))</f>
        <v>0</v>
      </c>
      <c r="H10" s="19">
        <f>SUMIFS(P_violacea_Spain_Med!$J:$J, P_violacea_Spain_Med!$B:$B, "&gt;="&amp;DATE(2012,7,1), P_violacea_Spain_Med!$B:$B, "&lt;="&amp;DATE(2012,7,31))</f>
        <v>0</v>
      </c>
      <c r="I10" s="19">
        <f>SUMIFS(P_violacea_Spain_Med!$J:$J, P_violacea_Spain_Med!$B:$B, "&gt;="&amp;DATE(2012,8,1), P_violacea_Spain_Med!$B:$B, "&lt;="&amp;DATE(2012,8,31))</f>
        <v>2</v>
      </c>
      <c r="J10" s="20">
        <f>SUMIFS(P_violacea_Spain_Med!$J:$J, P_violacea_Spain_Med!$B:$B, "&gt;="&amp;DATE(2012,9,1), P_violacea_Spain_Med!$B:$B, "&lt;="&amp;DATE(2012,9,30))</f>
        <v>0</v>
      </c>
      <c r="K10" s="20">
        <f>SUMIFS(P_violacea_Spain_Med!$J:$J, P_violacea_Spain_Med!$B:$B, "&gt;="&amp;DATE(2012,10,1), P_violacea_Spain_Med!$B:$B, "&lt;="&amp;DATE(2012,10,31))</f>
        <v>0</v>
      </c>
      <c r="L10" s="20">
        <f>SUMIFS(P_violacea_Spain_Med!$J:$J, P_violacea_Spain_Med!$B:$B, "&gt;="&amp;DATE(2012,11,1), P_violacea_Spain_Med!$B:$B, "&lt;="&amp;DATE(2012,11,30))</f>
        <v>0</v>
      </c>
      <c r="M10" s="17">
        <f>SUMIFS(P_violacea_Spain_Med!$J:$J, P_violacea_Spain_Med!$B:$B, "&gt;="&amp;DATE(2012,12,1), P_violacea_Spain_Med!$B:$B, "&lt;="&amp;DATE(2012,12,31))</f>
        <v>0</v>
      </c>
      <c r="N10" s="41">
        <f t="shared" si="6"/>
        <v>2</v>
      </c>
      <c r="O10" s="19">
        <f>SUMIFS(P_violacea_Spain_Med!$J:$J, P_violacea_Spain_Med!$B:$B, "&gt;="&amp;DATE(2012,1,1), P_violacea_Spain_Med!$B:$B, "&lt;"&amp;DATE(2013,1,1), P_violacea_Spain_Med!$F:$F, "Girona")</f>
        <v>0</v>
      </c>
      <c r="P10" s="19">
        <f>SUMIFS(P_violacea_Spain_Med!$J:$J, P_violacea_Spain_Med!$B:$B, "&gt;="&amp;DATE(2012,1,1), P_violacea_Spain_Med!$B:$B, "&lt;"&amp;DATE(2013,1,1), P_violacea_Spain_Med!$F:$F, "Barcelona")</f>
        <v>1</v>
      </c>
      <c r="Q10" s="19">
        <f>SUMIFS(P_violacea_Spain_Med!$J:$J, P_violacea_Spain_Med!$B:$B, "&gt;="&amp;DATE(2012,1,1), P_violacea_Spain_Med!$B:$B, "&lt;"&amp;DATE(2013,1,1), P_violacea_Spain_Med!$F:$F, "Tarragona")</f>
        <v>0</v>
      </c>
      <c r="R10" s="23">
        <f t="shared" si="7"/>
        <v>1</v>
      </c>
      <c r="S10" s="20">
        <f>SUMIFS(P_violacea_Spain_Med!$J:$J, P_violacea_Spain_Med!$B:$B, "&gt;="&amp;DATE(2012,1,1), P_violacea_Spain_Med!$B:$B, "&lt;"&amp;DATE(2013,1,1), P_violacea_Spain_Med!$F:$F, "Castellón")</f>
        <v>0</v>
      </c>
      <c r="T10" s="20">
        <f>SUMIFS(P_violacea_Spain_Med!$J:$J, P_violacea_Spain_Med!$B:$B, "&gt;="&amp;DATE(2012,1,1), P_violacea_Spain_Med!$B:$B, "&lt;"&amp;DATE(2013,1,1), P_violacea_Spain_Med!$F:$F, "Valencia")</f>
        <v>0</v>
      </c>
      <c r="U10" s="20">
        <f>SUMIFS(P_violacea_Spain_Med!$J:$J, P_violacea_Spain_Med!$B:$B, "&gt;="&amp;DATE(2012,1,1), P_violacea_Spain_Med!$B:$B, "&lt;"&amp;DATE(2013,1,1), P_violacea_Spain_Med!$F:$F, "Alicante")</f>
        <v>1</v>
      </c>
      <c r="V10" s="24">
        <f t="shared" si="8"/>
        <v>1</v>
      </c>
      <c r="W10" s="25">
        <f>SUMIFS(P_violacea_Spain_Med!$J:$J, P_violacea_Spain_Med!$B:$B, "&gt;="&amp;DATE(2012,1,1), P_violacea_Spain_Med!$B:$B, "&lt;"&amp;DATE(2013,1,1), P_violacea_Spain_Med!$F:$F, "Región de Murcia")</f>
        <v>0</v>
      </c>
      <c r="X10" s="18">
        <f>SUMIFS(P_violacea_Spain_Med!$J:$J, P_violacea_Spain_Med!$B:$B, "&gt;="&amp;DATE(2012,1,1), P_violacea_Spain_Med!$B:$B, "&lt;"&amp;DATE(2013,1,1), P_violacea_Spain_Med!$F:$F, "Almería")</f>
        <v>0</v>
      </c>
      <c r="Y10" s="18">
        <f>SUMIFS(P_violacea_Spain_Med!$J:$J, P_violacea_Spain_Med!$B:$B, "&gt;="&amp;DATE(2012,1,1), P_violacea_Spain_Med!$B:$B, "&lt;"&amp;DATE(2013,1,1), P_violacea_Spain_Med!$F:$F, "Granada")</f>
        <v>0</v>
      </c>
      <c r="Z10" s="18">
        <f>SUMIFS(P_violacea_Spain_Med!$J:$J, P_violacea_Spain_Med!$B:$B, "&gt;="&amp;DATE(2012,1,1), P_violacea_Spain_Med!$B:$B, "&lt;"&amp;DATE(2013,1,1), P_violacea_Spain_Med!$F:$F, "Málaga")</f>
        <v>0</v>
      </c>
      <c r="AA10" s="18">
        <f>SUMIFS(P_violacea_Spain_Med!$J:$J, P_violacea_Spain_Med!$B:$B, "&gt;="&amp;DATE(2012,1,1), P_violacea_Spain_Med!$B:$B, "&lt;"&amp;DATE(2013,1,1), P_violacea_Spain_Med!$F:$F, "Cádiz")</f>
        <v>0</v>
      </c>
      <c r="AB10" s="26">
        <f t="shared" si="9"/>
        <v>0</v>
      </c>
      <c r="AC10" s="27">
        <f>SUMIFS(P_violacea_Spain_Med!$J:$J, P_violacea_Spain_Med!$B:$B, "&gt;="&amp;DATE(2012,1,1), P_violacea_Spain_Med!$B:$B, "&lt;"&amp;DATE(2013,1,1), P_violacea_Spain_Med!$F:$F, "Islas Baleares")</f>
        <v>0</v>
      </c>
      <c r="AD10" s="28">
        <f>SUMIFS(P_violacea_Spain_Med!$J:$J, P_violacea_Spain_Med!$B:$B, "&gt;="&amp;DATE(2012,1,1), P_violacea_Spain_Med!$B:$B, "&lt;"&amp;DATE(2013,1,1), P_violacea_Spain_Med!$F:$F, "Ceuta")</f>
        <v>0</v>
      </c>
      <c r="AE10" s="29">
        <f>SUMIFS(P_violacea_Spain_Med!$J:$J, P_violacea_Spain_Med!$B:$B, "&gt;="&amp;DATE(2012,1,1), P_violacea_Spain_Med!$B:$B, "&lt;"&amp;DATE(2013,1,1), P_violacea_Spain_Med!$F:$F, "Melilla")</f>
        <v>0</v>
      </c>
      <c r="AF10" s="46">
        <f>SUMIFS(P_violacea_Spain_Med!$J:$J, P_violacea_Spain_Med!$B:$B, "&gt;="&amp;DATE(2012,1,1), P_violacea_Spain_Med!$B:$B, "&lt;"&amp;DATE(2013,1,1), P_violacea_Spain_Med!$F:$F, "nd")</f>
        <v>0</v>
      </c>
      <c r="AG10" s="41">
        <f t="shared" si="4"/>
        <v>2</v>
      </c>
      <c r="AH10" s="43">
        <f t="shared" si="10"/>
        <v>0</v>
      </c>
    </row>
    <row r="11" spans="1:34" x14ac:dyDescent="0.25">
      <c r="A11" s="10">
        <v>2013</v>
      </c>
      <c r="B11" s="16">
        <f>SUMIFS(P_violacea_Spain_Med!$J:$J, P_violacea_Spain_Med!$B:$B, "&gt;="&amp;DATE(2013,1,1), P_violacea_Spain_Med!$B:$B, "&lt;="&amp;DATE(2013,1,31))</f>
        <v>0</v>
      </c>
      <c r="C11" s="17">
        <f>SUMIFS(P_violacea_Spain_Med!$J:$J, P_violacea_Spain_Med!$B:$B, "&gt;="&amp;DATE(2013,2,1), P_violacea_Spain_Med!$B:$B, "&lt;="&amp;DATE(2013,2,28))</f>
        <v>0</v>
      </c>
      <c r="D11" s="18">
        <f>SUMIFS(P_violacea_Spain_Med!$J:$J, P_violacea_Spain_Med!$B:$B, "&gt;="&amp;DATE(2013,3,1), P_violacea_Spain_Med!$B:$B, "&lt;="&amp;DATE(2013,3,31))</f>
        <v>0</v>
      </c>
      <c r="E11" s="18">
        <f>SUMIFS(P_violacea_Spain_Med!$J:$J, P_violacea_Spain_Med!$B:$B, "&gt;="&amp;DATE(2013,4,1), P_violacea_Spain_Med!$B:$B, "&lt;="&amp;DATE(2013,4,30))</f>
        <v>0</v>
      </c>
      <c r="F11" s="18">
        <f>SUMIFS(P_violacea_Spain_Med!$J:$J, P_violacea_Spain_Med!$B:$B, "&gt;="&amp;DATE(2013,5,1), P_violacea_Spain_Med!$B:$B, "&lt;="&amp;DATE(2013,5,31))</f>
        <v>0</v>
      </c>
      <c r="G11" s="19">
        <f>SUMIFS(P_violacea_Spain_Med!$J:$J, P_violacea_Spain_Med!$B:$B, "&gt;="&amp;DATE(2013,6,1), P_violacea_Spain_Med!$B:$B, "&lt;="&amp;DATE(2013,6,30))</f>
        <v>0</v>
      </c>
      <c r="H11" s="19">
        <f>SUMIFS(P_violacea_Spain_Med!$J:$J, P_violacea_Spain_Med!$B:$B, "&gt;="&amp;DATE(2013,7,1), P_violacea_Spain_Med!$B:$B, "&lt;="&amp;DATE(2013,7,31))</f>
        <v>0</v>
      </c>
      <c r="I11" s="19">
        <f>SUMIFS(P_violacea_Spain_Med!$J:$J, P_violacea_Spain_Med!$B:$B, "&gt;="&amp;DATE(2013,8,1), P_violacea_Spain_Med!$B:$B, "&lt;="&amp;DATE(2013,8,31))</f>
        <v>9</v>
      </c>
      <c r="J11" s="20">
        <f>SUMIFS(P_violacea_Spain_Med!$J:$J, P_violacea_Spain_Med!$B:$B, "&gt;="&amp;DATE(2013,9,1), P_violacea_Spain_Med!$B:$B, "&lt;="&amp;DATE(2013,9,30))</f>
        <v>0</v>
      </c>
      <c r="K11" s="20">
        <f>SUMIFS(P_violacea_Spain_Med!$J:$J, P_violacea_Spain_Med!$B:$B, "&gt;="&amp;DATE(2013,10,1), P_violacea_Spain_Med!$B:$B, "&lt;="&amp;DATE(2013,10,31))</f>
        <v>0</v>
      </c>
      <c r="L11" s="20">
        <f>SUMIFS(P_violacea_Spain_Med!$J:$J, P_violacea_Spain_Med!$B:$B, "&gt;="&amp;DATE(2013,11,1), P_violacea_Spain_Med!$B:$B, "&lt;="&amp;DATE(2013,11,30))</f>
        <v>0</v>
      </c>
      <c r="M11" s="17">
        <f>SUMIFS(P_violacea_Spain_Med!$J:$J, P_violacea_Spain_Med!$B:$B, "&gt;="&amp;DATE(2013,12,1), P_violacea_Spain_Med!$B:$B, "&lt;="&amp;DATE(2013,12,31))</f>
        <v>0</v>
      </c>
      <c r="N11" s="41">
        <f t="shared" si="6"/>
        <v>9</v>
      </c>
      <c r="O11" s="19">
        <f>SUMIFS(P_violacea_Spain_Med!$J:$J, P_violacea_Spain_Med!$B:$B, "&gt;="&amp;DATE(2013,1,1), P_violacea_Spain_Med!$B:$B, "&lt;"&amp;DATE(2014,1,1), P_violacea_Spain_Med!$F:$F, "Girona")</f>
        <v>0</v>
      </c>
      <c r="P11" s="19">
        <f>SUMIFS(P_violacea_Spain_Med!$J:$J, P_violacea_Spain_Med!$B:$B, "&gt;="&amp;DATE(2013,1,1), P_violacea_Spain_Med!$B:$B, "&lt;"&amp;DATE(2014,1,1), P_violacea_Spain_Med!$F:$F, "Barcelona")</f>
        <v>1</v>
      </c>
      <c r="Q11" s="19">
        <f>SUMIFS(P_violacea_Spain_Med!$J:$J, P_violacea_Spain_Med!$B:$B, "&gt;="&amp;DATE(2013,1,1), P_violacea_Spain_Med!$B:$B, "&lt;"&amp;DATE(2014,1,1), P_violacea_Spain_Med!$F:$F, "Tarragona")</f>
        <v>0</v>
      </c>
      <c r="R11" s="23">
        <f t="shared" si="7"/>
        <v>1</v>
      </c>
      <c r="S11" s="20">
        <f>SUMIFS(P_violacea_Spain_Med!$J:$J, P_violacea_Spain_Med!$B:$B, "&gt;="&amp;DATE(2013,1,1), P_violacea_Spain_Med!$B:$B, "&lt;"&amp;DATE(2014,1,1), P_violacea_Spain_Med!$F:$F, "Castellón")</f>
        <v>1</v>
      </c>
      <c r="T11" s="20">
        <f>SUMIFS(P_violacea_Spain_Med!$J:$J, P_violacea_Spain_Med!$B:$B, "&gt;="&amp;DATE(2013,1,1), P_violacea_Spain_Med!$B:$B, "&lt;"&amp;DATE(2014,1,1), P_violacea_Spain_Med!$F:$F, "Valencia")</f>
        <v>5</v>
      </c>
      <c r="U11" s="20">
        <f>SUMIFS(P_violacea_Spain_Med!$J:$J, P_violacea_Spain_Med!$B:$B, "&gt;="&amp;DATE(2013,1,1), P_violacea_Spain_Med!$B:$B, "&lt;"&amp;DATE(2014,1,1), P_violacea_Spain_Med!$F:$F, "Alicante")</f>
        <v>1</v>
      </c>
      <c r="V11" s="24">
        <f t="shared" si="8"/>
        <v>7</v>
      </c>
      <c r="W11" s="25">
        <f>SUMIFS(P_violacea_Spain_Med!$J:$J, P_violacea_Spain_Med!$B:$B, "&gt;="&amp;DATE(2013,1,1), P_violacea_Spain_Med!$B:$B, "&lt;"&amp;DATE(2014,1,1), P_violacea_Spain_Med!$F:$F, "Región de Murcia")</f>
        <v>0</v>
      </c>
      <c r="X11" s="18">
        <f>SUMIFS(P_violacea_Spain_Med!$J:$J, P_violacea_Spain_Med!$B:$B, "&gt;="&amp;DATE(2013,1,1), P_violacea_Spain_Med!$B:$B, "&lt;"&amp;DATE(2014,1,1), P_violacea_Spain_Med!$F:$F, "Almería")</f>
        <v>0</v>
      </c>
      <c r="Y11" s="18">
        <f>SUMIFS(P_violacea_Spain_Med!$J:$J, P_violacea_Spain_Med!$B:$B, "&gt;="&amp;DATE(2013,1,1), P_violacea_Spain_Med!$B:$B, "&lt;"&amp;DATE(2014,1,1), P_violacea_Spain_Med!$F:$F, "Granada")</f>
        <v>0</v>
      </c>
      <c r="Z11" s="18">
        <f>SUMIFS(P_violacea_Spain_Med!$J:$J, P_violacea_Spain_Med!$B:$B, "&gt;="&amp;DATE(2013,1,1), P_violacea_Spain_Med!$B:$B, "&lt;"&amp;DATE(2014,1,1), P_violacea_Spain_Med!$F:$F, "Málaga")</f>
        <v>0</v>
      </c>
      <c r="AA11" s="18">
        <f>SUMIFS(P_violacea_Spain_Med!$J:$J, P_violacea_Spain_Med!$B:$B, "&gt;="&amp;DATE(2013,1,1), P_violacea_Spain_Med!$B:$B, "&lt;"&amp;DATE(2014,1,1), P_violacea_Spain_Med!$F:$F, "Cádiz")</f>
        <v>0</v>
      </c>
      <c r="AB11" s="26">
        <f t="shared" si="9"/>
        <v>0</v>
      </c>
      <c r="AC11" s="27">
        <f>SUMIFS(P_violacea_Spain_Med!$J:$J, P_violacea_Spain_Med!$B:$B, "&gt;="&amp;DATE(2013,1,1), P_violacea_Spain_Med!$B:$B, "&lt;"&amp;DATE(2014,1,1), P_violacea_Spain_Med!$F:$F, "Islas Baleares")</f>
        <v>1</v>
      </c>
      <c r="AD11" s="28">
        <f>SUMIFS(P_violacea_Spain_Med!$J:$J, P_violacea_Spain_Med!$B:$B, "&gt;="&amp;DATE(2013,1,1), P_violacea_Spain_Med!$B:$B, "&lt;"&amp;DATE(2014,1,1), P_violacea_Spain_Med!$F:$F, "Ceuta")</f>
        <v>0</v>
      </c>
      <c r="AE11" s="29">
        <f>SUMIFS(P_violacea_Spain_Med!$J:$J, P_violacea_Spain_Med!$B:$B, "&gt;="&amp;DATE(2013,1,1), P_violacea_Spain_Med!$B:$B, "&lt;"&amp;DATE(2014,1,1), P_violacea_Spain_Med!$F:$F, "Melilla")</f>
        <v>0</v>
      </c>
      <c r="AF11" s="46">
        <f>SUMIFS(P_violacea_Spain_Med!$J:$J, P_violacea_Spain_Med!$B:$B, "&gt;="&amp;DATE(2013,1,1), P_violacea_Spain_Med!$B:$B, "&lt;"&amp;DATE(2014,1,1), P_violacea_Spain_Med!$F:$F, "nd")</f>
        <v>0</v>
      </c>
      <c r="AG11" s="41">
        <f t="shared" si="4"/>
        <v>9</v>
      </c>
      <c r="AH11" s="43">
        <f t="shared" si="10"/>
        <v>0</v>
      </c>
    </row>
    <row r="12" spans="1:34" x14ac:dyDescent="0.25">
      <c r="A12" s="10">
        <v>2014</v>
      </c>
      <c r="B12" s="16">
        <f>SUMIFS(P_violacea_Spain_Med!$J:$J, P_violacea_Spain_Med!$B:$B, "&gt;="&amp;DATE(2014,1,1), P_violacea_Spain_Med!$B:$B, "&lt;="&amp;DATE(2014,1,31))</f>
        <v>0</v>
      </c>
      <c r="C12" s="17">
        <f>SUMIFS(P_violacea_Spain_Med!$J:$J, P_violacea_Spain_Med!$B:$B, "&gt;="&amp;DATE(2014,2,1), P_violacea_Spain_Med!$B:$B, "&lt;="&amp;DATE(2014,2,28))</f>
        <v>0</v>
      </c>
      <c r="D12" s="18">
        <f>SUMIFS(P_violacea_Spain_Med!$J:$J, P_violacea_Spain_Med!$B:$B, "&gt;="&amp;DATE(2014,3,1), P_violacea_Spain_Med!$B:$B, "&lt;="&amp;DATE(2014,3,31))</f>
        <v>0</v>
      </c>
      <c r="E12" s="18">
        <f>SUMIFS(P_violacea_Spain_Med!$J:$J, P_violacea_Spain_Med!$B:$B, "&gt;="&amp;DATE(2014,4,1), P_violacea_Spain_Med!$B:$B, "&lt;="&amp;DATE(2014,4,30))</f>
        <v>0</v>
      </c>
      <c r="F12" s="18">
        <f>SUMIFS(P_violacea_Spain_Med!$J:$J, P_violacea_Spain_Med!$B:$B, "&gt;="&amp;DATE(2014,5,1), P_violacea_Spain_Med!$B:$B, "&lt;="&amp;DATE(2014,5,31))</f>
        <v>0</v>
      </c>
      <c r="G12" s="19">
        <f>SUMIFS(P_violacea_Spain_Med!$J:$J, P_violacea_Spain_Med!$B:$B, "&gt;="&amp;DATE(2014,6,1), P_violacea_Spain_Med!$B:$B, "&lt;="&amp;DATE(2014,6,30))</f>
        <v>0</v>
      </c>
      <c r="H12" s="19">
        <f>SUMIFS(P_violacea_Spain_Med!$J:$J, P_violacea_Spain_Med!$B:$B, "&gt;="&amp;DATE(2014,7,1), P_violacea_Spain_Med!$B:$B, "&lt;="&amp;DATE(2014,7,31))</f>
        <v>1</v>
      </c>
      <c r="I12" s="19">
        <f>SUMIFS(P_violacea_Spain_Med!$J:$J, P_violacea_Spain_Med!$B:$B, "&gt;="&amp;DATE(2014,8,1), P_violacea_Spain_Med!$B:$B, "&lt;="&amp;DATE(2014,8,31))</f>
        <v>0</v>
      </c>
      <c r="J12" s="20">
        <f>SUMIFS(P_violacea_Spain_Med!$J:$J, P_violacea_Spain_Med!$B:$B, "&gt;="&amp;DATE(2014,9,1), P_violacea_Spain_Med!$B:$B, "&lt;="&amp;DATE(2014,9,30))</f>
        <v>0</v>
      </c>
      <c r="K12" s="20">
        <f>SUMIFS(P_violacea_Spain_Med!$J:$J, P_violacea_Spain_Med!$B:$B, "&gt;="&amp;DATE(2014,10,1), P_violacea_Spain_Med!$B:$B, "&lt;="&amp;DATE(2014,10,31))</f>
        <v>0</v>
      </c>
      <c r="L12" s="20">
        <f>SUMIFS(P_violacea_Spain_Med!$J:$J, P_violacea_Spain_Med!$B:$B, "&gt;="&amp;DATE(2014,11,1), P_violacea_Spain_Med!$B:$B, "&lt;="&amp;DATE(2014,11,30))</f>
        <v>0</v>
      </c>
      <c r="M12" s="17">
        <f>SUMIFS(P_violacea_Spain_Med!$J:$J, P_violacea_Spain_Med!$B:$B, "&gt;="&amp;DATE(2014,12,1), P_violacea_Spain_Med!$B:$B, "&lt;="&amp;DATE(2014,12,31))</f>
        <v>0</v>
      </c>
      <c r="N12" s="41">
        <f t="shared" si="6"/>
        <v>1</v>
      </c>
      <c r="O12" s="19">
        <f>SUMIFS(P_violacea_Spain_Med!$J:$J, P_violacea_Spain_Med!$B:$B, "&gt;="&amp;DATE(2014,1,1), P_violacea_Spain_Med!$B:$B, "&lt;"&amp;DATE(2015,1,1), P_violacea_Spain_Med!$F:$F, "Girona")</f>
        <v>0</v>
      </c>
      <c r="P12" s="19">
        <f>SUMIFS(P_violacea_Spain_Med!$J:$J, P_violacea_Spain_Med!$B:$B, "&gt;="&amp;DATE(2014,1,1), P_violacea_Spain_Med!$B:$B, "&lt;"&amp;DATE(2015,1,1), P_violacea_Spain_Med!$F:$F, "Barcelona")</f>
        <v>0</v>
      </c>
      <c r="Q12" s="19">
        <f>SUMIFS(P_violacea_Spain_Med!$J:$J, P_violacea_Spain_Med!$B:$B, "&gt;="&amp;DATE(2014,1,1), P_violacea_Spain_Med!$B:$B, "&lt;"&amp;DATE(2015,1,1), P_violacea_Spain_Med!$F:$F, "Tarragona")</f>
        <v>0</v>
      </c>
      <c r="R12" s="23">
        <f t="shared" si="7"/>
        <v>0</v>
      </c>
      <c r="S12" s="20">
        <f>SUMIFS(P_violacea_Spain_Med!$J:$J, P_violacea_Spain_Med!$B:$B, "&gt;="&amp;DATE(2014,1,1), P_violacea_Spain_Med!$B:$B, "&lt;"&amp;DATE(2015,1,1), P_violacea_Spain_Med!$F:$F, "Castellón")</f>
        <v>0</v>
      </c>
      <c r="T12" s="20">
        <f>SUMIFS(P_violacea_Spain_Med!$J:$J, P_violacea_Spain_Med!$B:$B, "&gt;="&amp;DATE(2014,1,1), P_violacea_Spain_Med!$B:$B, "&lt;"&amp;DATE(2015,1,1), P_violacea_Spain_Med!$F:$F, "Valencia")</f>
        <v>0</v>
      </c>
      <c r="U12" s="20">
        <f>SUMIFS(P_violacea_Spain_Med!$J:$J, P_violacea_Spain_Med!$B:$B, "&gt;="&amp;DATE(2014,1,1), P_violacea_Spain_Med!$B:$B, "&lt;"&amp;DATE(2015,1,1), P_violacea_Spain_Med!$F:$F, "Alicante")</f>
        <v>1</v>
      </c>
      <c r="V12" s="24">
        <f t="shared" si="8"/>
        <v>1</v>
      </c>
      <c r="W12" s="25">
        <f>SUMIFS(P_violacea_Spain_Med!$J:$J, P_violacea_Spain_Med!$B:$B, "&gt;="&amp;DATE(2014,1,1), P_violacea_Spain_Med!$B:$B, "&lt;"&amp;DATE(2015,1,1), P_violacea_Spain_Med!$F:$F, "Región de Murcia")</f>
        <v>0</v>
      </c>
      <c r="X12" s="18">
        <f>SUMIFS(P_violacea_Spain_Med!$J:$J, P_violacea_Spain_Med!$B:$B, "&gt;="&amp;DATE(2014,1,1), P_violacea_Spain_Med!$B:$B, "&lt;"&amp;DATE(2015,1,1), P_violacea_Spain_Med!$F:$F, "Almería")</f>
        <v>0</v>
      </c>
      <c r="Y12" s="18">
        <f>SUMIFS(P_violacea_Spain_Med!$J:$J, P_violacea_Spain_Med!$B:$B, "&gt;="&amp;DATE(2014,1,1), P_violacea_Spain_Med!$B:$B, "&lt;"&amp;DATE(2015,1,1), P_violacea_Spain_Med!$F:$F, "Granada")</f>
        <v>0</v>
      </c>
      <c r="Z12" s="18">
        <f>SUMIFS(P_violacea_Spain_Med!$J:$J, P_violacea_Spain_Med!$B:$B, "&gt;="&amp;DATE(2014,1,1), P_violacea_Spain_Med!$B:$B, "&lt;"&amp;DATE(2015,1,1), P_violacea_Spain_Med!$F:$F, "Málaga")</f>
        <v>0</v>
      </c>
      <c r="AA12" s="18">
        <f>SUMIFS(P_violacea_Spain_Med!$J:$J, P_violacea_Spain_Med!$B:$B, "&gt;="&amp;DATE(2014,1,1), P_violacea_Spain_Med!$B:$B, "&lt;"&amp;DATE(2015,1,1), P_violacea_Spain_Med!$F:$F, "Cádiz")</f>
        <v>0</v>
      </c>
      <c r="AB12" s="26">
        <f t="shared" si="9"/>
        <v>0</v>
      </c>
      <c r="AC12" s="27">
        <f>SUMIFS(P_violacea_Spain_Med!$J:$J, P_violacea_Spain_Med!$B:$B, "&gt;="&amp;DATE(2014,1,1), P_violacea_Spain_Med!$B:$B, "&lt;"&amp;DATE(2015,1,1), P_violacea_Spain_Med!$F:$F, "Islas Baleares")</f>
        <v>0</v>
      </c>
      <c r="AD12" s="28">
        <f>SUMIFS(P_violacea_Spain_Med!$J:$J, P_violacea_Spain_Med!$B:$B, "&gt;="&amp;DATE(2014,1,1), P_violacea_Spain_Med!$B:$B, "&lt;"&amp;DATE(2015,1,1), P_violacea_Spain_Med!$F:$F, "Ceuta")</f>
        <v>0</v>
      </c>
      <c r="AE12" s="29">
        <f>SUMIFS(P_violacea_Spain_Med!$J:$J, P_violacea_Spain_Med!$B:$B, "&gt;="&amp;DATE(2014,1,1), P_violacea_Spain_Med!$B:$B, "&lt;"&amp;DATE(2015,1,1), P_violacea_Spain_Med!$F:$F, "Melilla")</f>
        <v>0</v>
      </c>
      <c r="AF12" s="46">
        <f>SUMIFS(P_violacea_Spain_Med!$J:$J, P_violacea_Spain_Med!$B:$B, "&gt;="&amp;DATE(2014,1,1), P_violacea_Spain_Med!$B:$B, "&lt;"&amp;DATE(2015,1,1), P_violacea_Spain_Med!$F:$F, "nd")</f>
        <v>0</v>
      </c>
      <c r="AG12" s="41">
        <f t="shared" si="4"/>
        <v>1</v>
      </c>
      <c r="AH12" s="43">
        <f t="shared" si="10"/>
        <v>0</v>
      </c>
    </row>
    <row r="13" spans="1:34" x14ac:dyDescent="0.25">
      <c r="A13" s="10">
        <v>2015</v>
      </c>
      <c r="B13" s="16">
        <f>SUMIFS(P_violacea_Spain_Med!$J:$J, P_violacea_Spain_Med!$B:$B, "&gt;="&amp;DATE(2015,1,1), P_violacea_Spain_Med!$B:$B, "&lt;="&amp;DATE(2015,1,31))</f>
        <v>0</v>
      </c>
      <c r="C13" s="17">
        <f>SUMIFS(P_violacea_Spain_Med!$J:$J, P_violacea_Spain_Med!$B:$B, "&gt;="&amp;DATE(2015,2,1), P_violacea_Spain_Med!$B:$B, "&lt;="&amp;DATE(2015,2,28))</f>
        <v>0</v>
      </c>
      <c r="D13" s="18">
        <f>SUMIFS(P_violacea_Spain_Med!$J:$J, P_violacea_Spain_Med!$B:$B, "&gt;="&amp;DATE(2015,3,1), P_violacea_Spain_Med!$B:$B, "&lt;="&amp;DATE(2015,3,31))</f>
        <v>0</v>
      </c>
      <c r="E13" s="18">
        <f>SUMIFS(P_violacea_Spain_Med!$J:$J, P_violacea_Spain_Med!$B:$B, "&gt;="&amp;DATE(2015,4,1), P_violacea_Spain_Med!$B:$B, "&lt;="&amp;DATE(2015,4,30))</f>
        <v>0</v>
      </c>
      <c r="F13" s="18">
        <f>SUMIFS(P_violacea_Spain_Med!$J:$J, P_violacea_Spain_Med!$B:$B, "&gt;="&amp;DATE(2015,5,1), P_violacea_Spain_Med!$B:$B, "&lt;="&amp;DATE(2015,5,31))</f>
        <v>1</v>
      </c>
      <c r="G13" s="19">
        <f>SUMIFS(P_violacea_Spain_Med!$J:$J, P_violacea_Spain_Med!$B:$B, "&gt;="&amp;DATE(2015,6,1), P_violacea_Spain_Med!$B:$B, "&lt;="&amp;DATE(2015,6,30))</f>
        <v>1</v>
      </c>
      <c r="H13" s="19">
        <f>SUMIFS(P_violacea_Spain_Med!$J:$J, P_violacea_Spain_Med!$B:$B, "&gt;="&amp;DATE(2015,7,1), P_violacea_Spain_Med!$B:$B, "&lt;="&amp;DATE(2015,7,31))</f>
        <v>0</v>
      </c>
      <c r="I13" s="19">
        <f>SUMIFS(P_violacea_Spain_Med!$J:$J, P_violacea_Spain_Med!$B:$B, "&gt;="&amp;DATE(2015,8,1), P_violacea_Spain_Med!$B:$B, "&lt;="&amp;DATE(2015,8,31))</f>
        <v>0</v>
      </c>
      <c r="J13" s="20">
        <f>SUMIFS(P_violacea_Spain_Med!$J:$J, P_violacea_Spain_Med!$B:$B, "&gt;="&amp;DATE(2015,9,1), P_violacea_Spain_Med!$B:$B, "&lt;="&amp;DATE(2015,9,30))</f>
        <v>0</v>
      </c>
      <c r="K13" s="20">
        <f>SUMIFS(P_violacea_Spain_Med!$J:$J, P_violacea_Spain_Med!$B:$B, "&gt;="&amp;DATE(2015,10,1), P_violacea_Spain_Med!$B:$B, "&lt;="&amp;DATE(2015,10,31))</f>
        <v>0</v>
      </c>
      <c r="L13" s="20">
        <f>SUMIFS(P_violacea_Spain_Med!$J:$J, P_violacea_Spain_Med!$B:$B, "&gt;="&amp;DATE(2015,11,1), P_violacea_Spain_Med!$B:$B, "&lt;="&amp;DATE(2015,11,30))</f>
        <v>0</v>
      </c>
      <c r="M13" s="17">
        <f>SUMIFS(P_violacea_Spain_Med!$J:$J, P_violacea_Spain_Med!$B:$B, "&gt;="&amp;DATE(2015,12,1), P_violacea_Spain_Med!$B:$B, "&lt;="&amp;DATE(2015,12,31))</f>
        <v>0</v>
      </c>
      <c r="N13" s="41">
        <f t="shared" si="6"/>
        <v>2</v>
      </c>
      <c r="O13" s="19">
        <f>SUMIFS(P_violacea_Spain_Med!$J:$J, P_violacea_Spain_Med!$B:$B, "&gt;="&amp;DATE(2015,1,1), P_violacea_Spain_Med!$B:$B, "&lt;"&amp;DATE(2016,1,1), P_violacea_Spain_Med!$F:$F, "Girona")</f>
        <v>0</v>
      </c>
      <c r="P13" s="19">
        <f>SUMIFS(P_violacea_Spain_Med!$J:$J, P_violacea_Spain_Med!$B:$B, "&gt;="&amp;DATE(2015,1,1), P_violacea_Spain_Med!$B:$B, "&lt;"&amp;DATE(2016,1,1), P_violacea_Spain_Med!$F:$F, "Barcelona")</f>
        <v>0</v>
      </c>
      <c r="Q13" s="19">
        <f>SUMIFS(P_violacea_Spain_Med!$J:$J, P_violacea_Spain_Med!$B:$B, "&gt;="&amp;DATE(2015,1,1), P_violacea_Spain_Med!$B:$B, "&lt;"&amp;DATE(2016,1,1), P_violacea_Spain_Med!$F:$F, "Tarragona")</f>
        <v>0</v>
      </c>
      <c r="R13" s="23">
        <f t="shared" si="7"/>
        <v>0</v>
      </c>
      <c r="S13" s="20">
        <f>SUMIFS(P_violacea_Spain_Med!$J:$J, P_violacea_Spain_Med!$B:$B, "&gt;="&amp;DATE(2015,1,1), P_violacea_Spain_Med!$B:$B, "&lt;"&amp;DATE(2016,1,1), P_violacea_Spain_Med!$F:$F, "Castellón")</f>
        <v>0</v>
      </c>
      <c r="T13" s="20">
        <f>SUMIFS(P_violacea_Spain_Med!$J:$J, P_violacea_Spain_Med!$B:$B, "&gt;="&amp;DATE(2015,1,1), P_violacea_Spain_Med!$B:$B, "&lt;"&amp;DATE(2016,1,1), P_violacea_Spain_Med!$F:$F, "Valencia")</f>
        <v>0</v>
      </c>
      <c r="U13" s="20">
        <f>SUMIFS(P_violacea_Spain_Med!$J:$J, P_violacea_Spain_Med!$B:$B, "&gt;="&amp;DATE(2015,1,1), P_violacea_Spain_Med!$B:$B, "&lt;"&amp;DATE(2016,1,1), P_violacea_Spain_Med!$F:$F, "Alicante")</f>
        <v>1</v>
      </c>
      <c r="V13" s="24">
        <f t="shared" si="8"/>
        <v>1</v>
      </c>
      <c r="W13" s="25">
        <f>SUMIFS(P_violacea_Spain_Med!$J:$J, P_violacea_Spain_Med!$B:$B, "&gt;="&amp;DATE(2015,1,1), P_violacea_Spain_Med!$B:$B, "&lt;"&amp;DATE(2016,1,1), P_violacea_Spain_Med!$F:$F, "Región de Murcia")</f>
        <v>0</v>
      </c>
      <c r="X13" s="18">
        <f>SUMIFS(P_violacea_Spain_Med!$J:$J, P_violacea_Spain_Med!$B:$B, "&gt;="&amp;DATE(2015,1,1), P_violacea_Spain_Med!$B:$B, "&lt;"&amp;DATE(2016,1,1), P_violacea_Spain_Med!$F:$F, "Almería")</f>
        <v>1</v>
      </c>
      <c r="Y13" s="18">
        <f>SUMIFS(P_violacea_Spain_Med!$J:$J, P_violacea_Spain_Med!$B:$B, "&gt;="&amp;DATE(2015,1,1), P_violacea_Spain_Med!$B:$B, "&lt;"&amp;DATE(2016,1,1), P_violacea_Spain_Med!$F:$F, "Granada")</f>
        <v>0</v>
      </c>
      <c r="Z13" s="18">
        <f>SUMIFS(P_violacea_Spain_Med!$J:$J, P_violacea_Spain_Med!$B:$B, "&gt;="&amp;DATE(2015,1,1), P_violacea_Spain_Med!$B:$B, "&lt;"&amp;DATE(2016,1,1), P_violacea_Spain_Med!$F:$F, "Málaga")</f>
        <v>0</v>
      </c>
      <c r="AA13" s="18">
        <f>SUMIFS(P_violacea_Spain_Med!$J:$J, P_violacea_Spain_Med!$B:$B, "&gt;="&amp;DATE(2015,1,1), P_violacea_Spain_Med!$B:$B, "&lt;"&amp;DATE(2016,1,1), P_violacea_Spain_Med!$F:$F, "Cádiz")</f>
        <v>0</v>
      </c>
      <c r="AB13" s="26">
        <f t="shared" si="9"/>
        <v>1</v>
      </c>
      <c r="AC13" s="27">
        <f>SUMIFS(P_violacea_Spain_Med!$J:$J, P_violacea_Spain_Med!$B:$B, "&gt;="&amp;DATE(2015,1,1), P_violacea_Spain_Med!$B:$B, "&lt;"&amp;DATE(2016,1,1), P_violacea_Spain_Med!$F:$F, "Islas Baleares")</f>
        <v>0</v>
      </c>
      <c r="AD13" s="28">
        <f>SUMIFS(P_violacea_Spain_Med!$J:$J, P_violacea_Spain_Med!$B:$B, "&gt;="&amp;DATE(2015,1,1), P_violacea_Spain_Med!$B:$B, "&lt;"&amp;DATE(2016,1,1), P_violacea_Spain_Med!$F:$F, "Ceuta")</f>
        <v>0</v>
      </c>
      <c r="AE13" s="29">
        <f>SUMIFS(P_violacea_Spain_Med!$J:$J, P_violacea_Spain_Med!$B:$B, "&gt;="&amp;DATE(2015,1,1), P_violacea_Spain_Med!$B:$B, "&lt;"&amp;DATE(2016,1,1), P_violacea_Spain_Med!$F:$F, "Melilla")</f>
        <v>0</v>
      </c>
      <c r="AF13" s="46">
        <f>SUMIFS(P_violacea_Spain_Med!$J:$J, P_violacea_Spain_Med!$B:$B, "&gt;="&amp;DATE(2015,1,1), P_violacea_Spain_Med!$B:$B, "&lt;"&amp;DATE(2016,1,1), P_violacea_Spain_Med!$F:$F, "nd")</f>
        <v>0</v>
      </c>
      <c r="AG13" s="41">
        <f t="shared" si="4"/>
        <v>2</v>
      </c>
      <c r="AH13" s="43">
        <f t="shared" si="10"/>
        <v>0</v>
      </c>
    </row>
    <row r="14" spans="1:34" x14ac:dyDescent="0.25">
      <c r="A14" s="10">
        <v>2016</v>
      </c>
      <c r="B14" s="16">
        <f>SUMIFS(P_violacea_Spain_Med!$J:$J, P_violacea_Spain_Med!$B:$B, "&gt;="&amp;DATE(2016,1,1), P_violacea_Spain_Med!$B:$B, "&lt;="&amp;DATE(2016,1,31))</f>
        <v>2</v>
      </c>
      <c r="C14" s="17">
        <f>SUMIFS(P_violacea_Spain_Med!$J:$J, P_violacea_Spain_Med!$B:$B, "&gt;="&amp;DATE(2016,2,1), P_violacea_Spain_Med!$B:$B, "&lt;="&amp;DATE(2016,2,29))</f>
        <v>0</v>
      </c>
      <c r="D14" s="18">
        <f>SUMIFS(P_violacea_Spain_Med!$J:$J, P_violacea_Spain_Med!$B:$B, "&gt;="&amp;DATE(2016,3,1), P_violacea_Spain_Med!$B:$B, "&lt;="&amp;DATE(2016,3,31))</f>
        <v>0</v>
      </c>
      <c r="E14" s="18">
        <f>SUMIFS(P_violacea_Spain_Med!$J:$J, P_violacea_Spain_Med!$B:$B, "&gt;="&amp;DATE(2016,4,1), P_violacea_Spain_Med!$B:$B, "&lt;="&amp;DATE(2016,4,30))</f>
        <v>0</v>
      </c>
      <c r="F14" s="18">
        <f>SUMIFS(P_violacea_Spain_Med!$J:$J, P_violacea_Spain_Med!$B:$B, "&gt;="&amp;DATE(2016,5,1), P_violacea_Spain_Med!$B:$B, "&lt;="&amp;DATE(2016,5,31))</f>
        <v>1</v>
      </c>
      <c r="G14" s="19">
        <f>SUMIFS(P_violacea_Spain_Med!$J:$J, P_violacea_Spain_Med!$B:$B, "&gt;="&amp;DATE(2016,6,1), P_violacea_Spain_Med!$B:$B, "&lt;="&amp;DATE(2016,6,30))</f>
        <v>0</v>
      </c>
      <c r="H14" s="19">
        <f>SUMIFS(P_violacea_Spain_Med!$J:$J, P_violacea_Spain_Med!$B:$B, "&gt;="&amp;DATE(2016,7,1), P_violacea_Spain_Med!$B:$B, "&lt;="&amp;DATE(2016,7,31))</f>
        <v>4</v>
      </c>
      <c r="I14" s="19">
        <f>SUMIFS(P_violacea_Spain_Med!$J:$J, P_violacea_Spain_Med!$B:$B, "&gt;="&amp;DATE(2016,8,1), P_violacea_Spain_Med!$B:$B, "&lt;="&amp;DATE(2016,8,31))</f>
        <v>5</v>
      </c>
      <c r="J14" s="20">
        <f>SUMIFS(P_violacea_Spain_Med!$J:$J, P_violacea_Spain_Med!$B:$B, "&gt;="&amp;DATE(2016,9,1), P_violacea_Spain_Med!$B:$B, "&lt;="&amp;DATE(2016,9,30))</f>
        <v>4</v>
      </c>
      <c r="K14" s="20">
        <f>SUMIFS(P_violacea_Spain_Med!$J:$J, P_violacea_Spain_Med!$B:$B, "&gt;="&amp;DATE(2016,10,1), P_violacea_Spain_Med!$B:$B, "&lt;="&amp;DATE(2016,10,31))</f>
        <v>0</v>
      </c>
      <c r="L14" s="20">
        <f>SUMIFS(P_violacea_Spain_Med!$J:$J, P_violacea_Spain_Med!$B:$B, "&gt;="&amp;DATE(2016,11,1), P_violacea_Spain_Med!$B:$B, "&lt;="&amp;DATE(2016,11,30))</f>
        <v>0</v>
      </c>
      <c r="M14" s="17">
        <f>SUMIFS(P_violacea_Spain_Med!$J:$J, P_violacea_Spain_Med!$B:$B, "&gt;="&amp;DATE(2016,12,1), P_violacea_Spain_Med!$B:$B, "&lt;="&amp;DATE(2016,12,31))</f>
        <v>0</v>
      </c>
      <c r="N14" s="41">
        <f t="shared" si="6"/>
        <v>16</v>
      </c>
      <c r="O14" s="19">
        <f>SUMIFS(P_violacea_Spain_Med!$J:$J, P_violacea_Spain_Med!$B:$B, "&gt;="&amp;DATE(2016,1,1), P_violacea_Spain_Med!$B:$B, "&lt;"&amp;DATE(2017,1,1), P_violacea_Spain_Med!$F:$F, "Girona")</f>
        <v>1</v>
      </c>
      <c r="P14" s="19">
        <f>SUMIFS(P_violacea_Spain_Med!$J:$J, P_violacea_Spain_Med!$B:$B, "&gt;="&amp;DATE(2016,1,1), P_violacea_Spain_Med!$B:$B, "&lt;"&amp;DATE(2017,1,1), P_violacea_Spain_Med!$F:$F, "Barcelona")</f>
        <v>2</v>
      </c>
      <c r="Q14" s="19">
        <f>SUMIFS(P_violacea_Spain_Med!$J:$J, P_violacea_Spain_Med!$B:$B, "&gt;="&amp;DATE(2016,1,1), P_violacea_Spain_Med!$B:$B, "&lt;"&amp;DATE(2017,1,1), P_violacea_Spain_Med!$F:$F, "Tarragona")</f>
        <v>0</v>
      </c>
      <c r="R14" s="23">
        <f t="shared" si="7"/>
        <v>3</v>
      </c>
      <c r="S14" s="20">
        <f>SUMIFS(P_violacea_Spain_Med!$J:$J, P_violacea_Spain_Med!$B:$B, "&gt;="&amp;DATE(2016,1,1), P_violacea_Spain_Med!$B:$B, "&lt;"&amp;DATE(2017,1,1), P_violacea_Spain_Med!$F:$F, "Castellón")</f>
        <v>1</v>
      </c>
      <c r="T14" s="20">
        <f>SUMIFS(P_violacea_Spain_Med!$J:$J, P_violacea_Spain_Med!$B:$B, "&gt;="&amp;DATE(2016,1,1), P_violacea_Spain_Med!$B:$B, "&lt;"&amp;DATE(2017,1,1), P_violacea_Spain_Med!$F:$F, "Valencia")</f>
        <v>0</v>
      </c>
      <c r="U14" s="20">
        <f>SUMIFS(P_violacea_Spain_Med!$J:$J, P_violacea_Spain_Med!$B:$B, "&gt;="&amp;DATE(2016,1,1), P_violacea_Spain_Med!$B:$B, "&lt;"&amp;DATE(2017,1,1), P_violacea_Spain_Med!$F:$F, "Alicante")</f>
        <v>3</v>
      </c>
      <c r="V14" s="24">
        <f t="shared" si="8"/>
        <v>4</v>
      </c>
      <c r="W14" s="25">
        <f>SUMIFS(P_violacea_Spain_Med!$J:$J, P_violacea_Spain_Med!$B:$B, "&gt;="&amp;DATE(2016,1,1), P_violacea_Spain_Med!$B:$B, "&lt;"&amp;DATE(2017,1,1), P_violacea_Spain_Med!$F:$F, "Región de Murcia")</f>
        <v>0</v>
      </c>
      <c r="X14" s="18">
        <f>SUMIFS(P_violacea_Spain_Med!$J:$J, P_violacea_Spain_Med!$B:$B, "&gt;="&amp;DATE(2016,1,1), P_violacea_Spain_Med!$B:$B, "&lt;"&amp;DATE(2017,1,1), P_violacea_Spain_Med!$F:$F, "Almería")</f>
        <v>2</v>
      </c>
      <c r="Y14" s="18">
        <f>SUMIFS(P_violacea_Spain_Med!$J:$J, P_violacea_Spain_Med!$B:$B, "&gt;="&amp;DATE(2016,1,1), P_violacea_Spain_Med!$B:$B, "&lt;"&amp;DATE(2017,1,1), P_violacea_Spain_Med!$F:$F, "Granada")</f>
        <v>3</v>
      </c>
      <c r="Z14" s="18">
        <f>SUMIFS(P_violacea_Spain_Med!$J:$J, P_violacea_Spain_Med!$B:$B, "&gt;="&amp;DATE(2016,1,1), P_violacea_Spain_Med!$B:$B, "&lt;"&amp;DATE(2017,1,1), P_violacea_Spain_Med!$F:$F, "Málaga")</f>
        <v>0</v>
      </c>
      <c r="AA14" s="18">
        <f>SUMIFS(P_violacea_Spain_Med!$J:$J, P_violacea_Spain_Med!$B:$B, "&gt;="&amp;DATE(2016,1,1), P_violacea_Spain_Med!$B:$B, "&lt;"&amp;DATE(2017,1,1), P_violacea_Spain_Med!$F:$F, "Cádiz")</f>
        <v>0</v>
      </c>
      <c r="AB14" s="26">
        <f t="shared" si="9"/>
        <v>5</v>
      </c>
      <c r="AC14" s="27">
        <f>SUMIFS(P_violacea_Spain_Med!$J:$J, P_violacea_Spain_Med!$B:$B, "&gt;="&amp;DATE(2016,1,1), P_violacea_Spain_Med!$B:$B, "&lt;"&amp;DATE(2017,1,1), P_violacea_Spain_Med!$F:$F, "Islas Baleares")</f>
        <v>4</v>
      </c>
      <c r="AD14" s="28">
        <f>SUMIFS(P_violacea_Spain_Med!$J:$J, P_violacea_Spain_Med!$B:$B, "&gt;="&amp;DATE(2016,1,1), P_violacea_Spain_Med!$B:$B, "&lt;"&amp;DATE(2017,1,1), P_violacea_Spain_Med!$F:$F, "Ceuta")</f>
        <v>0</v>
      </c>
      <c r="AE14" s="29">
        <f>SUMIFS(P_violacea_Spain_Med!$J:$J, P_violacea_Spain_Med!$B:$B, "&gt;="&amp;DATE(2016,1,1), P_violacea_Spain_Med!$B:$B, "&lt;"&amp;DATE(2017,1,1), P_violacea_Spain_Med!$F:$F, "Melilla")</f>
        <v>0</v>
      </c>
      <c r="AF14" s="46">
        <f>SUMIFS(P_violacea_Spain_Med!$J:$J, P_violacea_Spain_Med!$B:$B, "&gt;="&amp;DATE(2016,1,1), P_violacea_Spain_Med!$B:$B, "&lt;"&amp;DATE(2017,1,1), P_violacea_Spain_Med!$F:$F, "nd")</f>
        <v>0</v>
      </c>
      <c r="AG14" s="41">
        <f t="shared" si="4"/>
        <v>16</v>
      </c>
      <c r="AH14" s="43">
        <f t="shared" si="10"/>
        <v>0</v>
      </c>
    </row>
    <row r="15" spans="1:34" x14ac:dyDescent="0.25">
      <c r="A15" s="10">
        <v>2017</v>
      </c>
      <c r="B15" s="16">
        <f>SUMIFS(P_violacea_Spain_Med!$J:$J, P_violacea_Spain_Med!$B:$B, "&gt;="&amp;DATE(2017,1,1), P_violacea_Spain_Med!$B:$B, "&lt;="&amp;DATE(2017,1,31))</f>
        <v>0</v>
      </c>
      <c r="C15" s="17">
        <f>SUMIFS(P_violacea_Spain_Med!$J:$J, P_violacea_Spain_Med!$B:$B, "&gt;="&amp;DATE(2017,2,1), P_violacea_Spain_Med!$B:$B, "&lt;="&amp;DATE(2017,2,28))</f>
        <v>0</v>
      </c>
      <c r="D15" s="18">
        <f>SUMIFS(P_violacea_Spain_Med!$J:$J, P_violacea_Spain_Med!$B:$B, "&gt;="&amp;DATE(2017,3,1), P_violacea_Spain_Med!$B:$B, "&lt;="&amp;DATE(2017,3,31))</f>
        <v>0</v>
      </c>
      <c r="E15" s="18">
        <f>SUMIFS(P_violacea_Spain_Med!$J:$J, P_violacea_Spain_Med!$B:$B, "&gt;="&amp;DATE(2017,4,1), P_violacea_Spain_Med!$B:$B, "&lt;="&amp;DATE(2017,4,30))</f>
        <v>0</v>
      </c>
      <c r="F15" s="18">
        <f>SUMIFS(P_violacea_Spain_Med!$J:$J, P_violacea_Spain_Med!$B:$B, "&gt;="&amp;DATE(2017,5,1), P_violacea_Spain_Med!$B:$B, "&lt;="&amp;DATE(2017,5,31))</f>
        <v>0</v>
      </c>
      <c r="G15" s="19">
        <f>SUMIFS(P_violacea_Spain_Med!$J:$J, P_violacea_Spain_Med!$B:$B, "&gt;="&amp;DATE(2017,6,1), P_violacea_Spain_Med!$B:$B, "&lt;="&amp;DATE(2017,6,30))</f>
        <v>1</v>
      </c>
      <c r="H15" s="19">
        <f>SUMIFS(P_violacea_Spain_Med!$J:$J, P_violacea_Spain_Med!$B:$B, "&gt;="&amp;DATE(2017,7,1), P_violacea_Spain_Med!$B:$B, "&lt;="&amp;DATE(2017,7,31))</f>
        <v>1</v>
      </c>
      <c r="I15" s="19">
        <f>SUMIFS(P_violacea_Spain_Med!$J:$J, P_violacea_Spain_Med!$B:$B, "&gt;="&amp;DATE(2017,8,1), P_violacea_Spain_Med!$B:$B, "&lt;="&amp;DATE(2017,8,31))</f>
        <v>4</v>
      </c>
      <c r="J15" s="20">
        <f>SUMIFS(P_violacea_Spain_Med!$J:$J, P_violacea_Spain_Med!$B:$B, "&gt;="&amp;DATE(2017,9,1), P_violacea_Spain_Med!$B:$B, "&lt;="&amp;DATE(2017,9,30))</f>
        <v>0</v>
      </c>
      <c r="K15" s="20">
        <f>SUMIFS(P_violacea_Spain_Med!$J:$J, P_violacea_Spain_Med!$B:$B, "&gt;="&amp;DATE(2017,10,1), P_violacea_Spain_Med!$B:$B, "&lt;="&amp;DATE(2017,10,31))</f>
        <v>0</v>
      </c>
      <c r="L15" s="20">
        <f>SUMIFS(P_violacea_Spain_Med!$J:$J, P_violacea_Spain_Med!$B:$B, "&gt;="&amp;DATE(2017,11,1), P_violacea_Spain_Med!$B:$B, "&lt;="&amp;DATE(2017,11,30))</f>
        <v>0</v>
      </c>
      <c r="M15" s="17">
        <f>SUMIFS(P_violacea_Spain_Med!$J:$J, P_violacea_Spain_Med!$B:$B, "&gt;="&amp;DATE(2017,12,1), P_violacea_Spain_Med!$B:$B, "&lt;="&amp;DATE(2017,12,31))</f>
        <v>0</v>
      </c>
      <c r="N15" s="41">
        <f t="shared" si="6"/>
        <v>6</v>
      </c>
      <c r="O15" s="19">
        <f>SUMIFS(P_violacea_Spain_Med!$J:$J, P_violacea_Spain_Med!$B:$B, "&gt;="&amp;DATE(2017,1,1), P_violacea_Spain_Med!$B:$B, "&lt;"&amp;DATE(2018,1,1), P_violacea_Spain_Med!$F:$F, "Girona")</f>
        <v>1</v>
      </c>
      <c r="P15" s="19">
        <f>SUMIFS(P_violacea_Spain_Med!$J:$J, P_violacea_Spain_Med!$B:$B, "&gt;="&amp;DATE(2017,1,1), P_violacea_Spain_Med!$B:$B, "&lt;"&amp;DATE(2018,1,1), P_violacea_Spain_Med!$F:$F, "Barcelona")</f>
        <v>2</v>
      </c>
      <c r="Q15" s="19">
        <f>SUMIFS(P_violacea_Spain_Med!$J:$J, P_violacea_Spain_Med!$B:$B, "&gt;="&amp;DATE(2017,1,1), P_violacea_Spain_Med!$B:$B, "&lt;"&amp;DATE(2018,1,1), P_violacea_Spain_Med!$F:$F, "Tarragona")</f>
        <v>0</v>
      </c>
      <c r="R15" s="23">
        <f t="shared" si="7"/>
        <v>3</v>
      </c>
      <c r="S15" s="20">
        <f>SUMIFS(P_violacea_Spain_Med!$J:$J, P_violacea_Spain_Med!$B:$B, "&gt;="&amp;DATE(2017,1,1), P_violacea_Spain_Med!$B:$B, "&lt;"&amp;DATE(2018,1,1), P_violacea_Spain_Med!$F:$F, "Castellón")</f>
        <v>0</v>
      </c>
      <c r="T15" s="20">
        <f>SUMIFS(P_violacea_Spain_Med!$J:$J, P_violacea_Spain_Med!$B:$B, "&gt;="&amp;DATE(2017,1,1), P_violacea_Spain_Med!$B:$B, "&lt;"&amp;DATE(2018,1,1), P_violacea_Spain_Med!$F:$F, "Valencia")</f>
        <v>1</v>
      </c>
      <c r="U15" s="20">
        <f>SUMIFS(P_violacea_Spain_Med!$J:$J, P_violacea_Spain_Med!$B:$B, "&gt;="&amp;DATE(2017,1,1), P_violacea_Spain_Med!$B:$B, "&lt;"&amp;DATE(2018,1,1), P_violacea_Spain_Med!$F:$F, "Alicante")</f>
        <v>0</v>
      </c>
      <c r="V15" s="24">
        <f t="shared" si="8"/>
        <v>1</v>
      </c>
      <c r="W15" s="25">
        <f>SUMIFS(P_violacea_Spain_Med!$J:$J, P_violacea_Spain_Med!$B:$B, "&gt;="&amp;DATE(2017,1,1), P_violacea_Spain_Med!$B:$B, "&lt;"&amp;DATE(2018,1,1), P_violacea_Spain_Med!$F:$F, "Región de Murcia")</f>
        <v>0</v>
      </c>
      <c r="X15" s="18">
        <f>SUMIFS(P_violacea_Spain_Med!$J:$J, P_violacea_Spain_Med!$B:$B, "&gt;="&amp;DATE(2017,1,1), P_violacea_Spain_Med!$B:$B, "&lt;"&amp;DATE(2018,1,1), P_violacea_Spain_Med!$F:$F, "Almería")</f>
        <v>0</v>
      </c>
      <c r="Y15" s="18">
        <f>SUMIFS(P_violacea_Spain_Med!$J:$J, P_violacea_Spain_Med!$B:$B, "&gt;="&amp;DATE(2017,1,1), P_violacea_Spain_Med!$B:$B, "&lt;"&amp;DATE(2018,1,1), P_violacea_Spain_Med!$F:$F, "Granada")</f>
        <v>0</v>
      </c>
      <c r="Z15" s="18">
        <f>SUMIFS(P_violacea_Spain_Med!$J:$J, P_violacea_Spain_Med!$B:$B, "&gt;="&amp;DATE(2017,1,1), P_violacea_Spain_Med!$B:$B, "&lt;"&amp;DATE(2018,1,1), P_violacea_Spain_Med!$F:$F, "Málaga")</f>
        <v>0</v>
      </c>
      <c r="AA15" s="18">
        <f>SUMIFS(P_violacea_Spain_Med!$J:$J, P_violacea_Spain_Med!$B:$B, "&gt;="&amp;DATE(2017,1,1), P_violacea_Spain_Med!$B:$B, "&lt;"&amp;DATE(2018,1,1), P_violacea_Spain_Med!$F:$F, "Cádiz")</f>
        <v>0</v>
      </c>
      <c r="AB15" s="26">
        <f t="shared" si="9"/>
        <v>0</v>
      </c>
      <c r="AC15" s="27">
        <f>SUMIFS(P_violacea_Spain_Med!$J:$J, P_violacea_Spain_Med!$B:$B, "&gt;="&amp;DATE(2017,1,1), P_violacea_Spain_Med!$B:$B, "&lt;"&amp;DATE(2018,1,1), P_violacea_Spain_Med!$F:$F, "Islas Baleares")</f>
        <v>2</v>
      </c>
      <c r="AD15" s="28">
        <f>SUMIFS(P_violacea_Spain_Med!$J:$J, P_violacea_Spain_Med!$B:$B, "&gt;="&amp;DATE(2017,1,1), P_violacea_Spain_Med!$B:$B, "&lt;"&amp;DATE(2018,1,1), P_violacea_Spain_Med!$F:$F, "Ceuta")</f>
        <v>0</v>
      </c>
      <c r="AE15" s="29">
        <f>SUMIFS(P_violacea_Spain_Med!$J:$J, P_violacea_Spain_Med!$B:$B, "&gt;="&amp;DATE(2017,1,1), P_violacea_Spain_Med!$B:$B, "&lt;"&amp;DATE(2018,1,1), P_violacea_Spain_Med!$F:$F, "Melilla")</f>
        <v>0</v>
      </c>
      <c r="AF15" s="46">
        <f>SUMIFS(P_violacea_Spain_Med!$J:$J, P_violacea_Spain_Med!$B:$B, "&gt;="&amp;DATE(2017,1,1), P_violacea_Spain_Med!$B:$B, "&lt;"&amp;DATE(2018,1,1), P_violacea_Spain_Med!$F:$F, "nd")</f>
        <v>0</v>
      </c>
      <c r="AG15" s="41">
        <f t="shared" si="4"/>
        <v>6</v>
      </c>
      <c r="AH15" s="43">
        <f t="shared" si="10"/>
        <v>0</v>
      </c>
    </row>
    <row r="16" spans="1:34" x14ac:dyDescent="0.25">
      <c r="A16" s="10">
        <v>2018</v>
      </c>
      <c r="B16" s="16">
        <f>SUMIFS(P_violacea_Spain_Med!$J:$J, P_violacea_Spain_Med!$B:$B, "&gt;="&amp;DATE(2018,1,1), P_violacea_Spain_Med!$B:$B, "&lt;="&amp;DATE(2018,1,31))</f>
        <v>0</v>
      </c>
      <c r="C16" s="17">
        <f>SUMIFS(P_violacea_Spain_Med!$J:$J, P_violacea_Spain_Med!$B:$B, "&gt;="&amp;DATE(2018,2,1), P_violacea_Spain_Med!$B:$B, "&lt;="&amp;DATE(2018,2,28))</f>
        <v>0</v>
      </c>
      <c r="D16" s="18">
        <f>SUMIFS(P_violacea_Spain_Med!$J:$J, P_violacea_Spain_Med!$B:$B, "&gt;="&amp;DATE(2018,3,1), P_violacea_Spain_Med!$B:$B, "&lt;="&amp;DATE(2018,3,31))</f>
        <v>0</v>
      </c>
      <c r="E16" s="18">
        <f>SUMIFS(P_violacea_Spain_Med!$J:$J, P_violacea_Spain_Med!$B:$B, "&gt;="&amp;DATE(2018,4,1), P_violacea_Spain_Med!$B:$B, "&lt;="&amp;DATE(2018,4,30))</f>
        <v>22</v>
      </c>
      <c r="F16" s="18">
        <f>SUMIFS(P_violacea_Spain_Med!$J:$J, P_violacea_Spain_Med!$B:$B, "&gt;="&amp;DATE(2018,5,1), P_violacea_Spain_Med!$B:$B, "&lt;="&amp;DATE(2018,5,31))</f>
        <v>10</v>
      </c>
      <c r="G16" s="19">
        <f>SUMIFS(P_violacea_Spain_Med!$J:$J, P_violacea_Spain_Med!$B:$B, "&gt;="&amp;DATE(2018,6,1), P_violacea_Spain_Med!$B:$B, "&lt;="&amp;DATE(2018,6,30))</f>
        <v>1</v>
      </c>
      <c r="H16" s="19">
        <f>SUMIFS(P_violacea_Spain_Med!$J:$J, P_violacea_Spain_Med!$B:$B, "&gt;="&amp;DATE(2018,7,1), P_violacea_Spain_Med!$B:$B, "&lt;="&amp;DATE(2018,7,31))</f>
        <v>12</v>
      </c>
      <c r="I16" s="19">
        <f>SUMIFS(P_violacea_Spain_Med!$J:$J, P_violacea_Spain_Med!$B:$B, "&gt;="&amp;DATE(2018,8,1), P_violacea_Spain_Med!$B:$B, "&lt;="&amp;DATE(2018,8,31))</f>
        <v>71</v>
      </c>
      <c r="J16" s="20">
        <f>SUMIFS(P_violacea_Spain_Med!$J:$J, P_violacea_Spain_Med!$B:$B, "&gt;="&amp;DATE(2018,9,1), P_violacea_Spain_Med!$B:$B, "&lt;="&amp;DATE(2018,9,30))</f>
        <v>5</v>
      </c>
      <c r="K16" s="20">
        <f>SUMIFS(P_violacea_Spain_Med!$J:$J, P_violacea_Spain_Med!$B:$B, "&gt;="&amp;DATE(2018,10,1), P_violacea_Spain_Med!$B:$B, "&lt;="&amp;DATE(2018,10,31))</f>
        <v>0</v>
      </c>
      <c r="L16" s="20">
        <f>SUMIFS(P_violacea_Spain_Med!$J:$J, P_violacea_Spain_Med!$B:$B, "&gt;="&amp;DATE(2018,11,1), P_violacea_Spain_Med!$B:$B, "&lt;="&amp;DATE(2018,11,30))</f>
        <v>19</v>
      </c>
      <c r="M16" s="17">
        <f>SUMIFS(P_violacea_Spain_Med!$J:$J, P_violacea_Spain_Med!$B:$B, "&gt;="&amp;DATE(2018,12,1), P_violacea_Spain_Med!$B:$B, "&lt;="&amp;DATE(2018,12,31))</f>
        <v>0</v>
      </c>
      <c r="N16" s="41">
        <f t="shared" si="6"/>
        <v>140</v>
      </c>
      <c r="O16" s="19">
        <f>SUMIFS(P_violacea_Spain_Med!$J:$J, P_violacea_Spain_Med!$B:$B, "&gt;="&amp;DATE(2018,1,1), P_violacea_Spain_Med!$B:$B, "&lt;"&amp;DATE(2019,1,1), P_violacea_Spain_Med!$F:$F, "Girona")</f>
        <v>35</v>
      </c>
      <c r="P16" s="19">
        <f>SUMIFS(P_violacea_Spain_Med!$J:$J, P_violacea_Spain_Med!$B:$B, "&gt;="&amp;DATE(2018,1,1), P_violacea_Spain_Med!$B:$B, "&lt;"&amp;DATE(2019,1,1), P_violacea_Spain_Med!$F:$F, "Barcelona")</f>
        <v>15</v>
      </c>
      <c r="Q16" s="19">
        <f>SUMIFS(P_violacea_Spain_Med!$J:$J, P_violacea_Spain_Med!$B:$B, "&gt;="&amp;DATE(2018,1,1), P_violacea_Spain_Med!$B:$B, "&lt;"&amp;DATE(2019,1,1), P_violacea_Spain_Med!$F:$F, "Tarragona")</f>
        <v>60</v>
      </c>
      <c r="R16" s="23">
        <f t="shared" si="7"/>
        <v>110</v>
      </c>
      <c r="S16" s="20">
        <f>SUMIFS(P_violacea_Spain_Med!$J:$J, P_violacea_Spain_Med!$B:$B, "&gt;="&amp;DATE(2018,1,1), P_violacea_Spain_Med!$B:$B, "&lt;"&amp;DATE(2019,1,1), P_violacea_Spain_Med!$F:$F, "Castellón")</f>
        <v>12</v>
      </c>
      <c r="T16" s="20">
        <f>SUMIFS(P_violacea_Spain_Med!$J:$J, P_violacea_Spain_Med!$B:$B, "&gt;="&amp;DATE(2018,1,1), P_violacea_Spain_Med!$B:$B, "&lt;"&amp;DATE(2019,1,1), P_violacea_Spain_Med!$F:$F, "Valencia")</f>
        <v>0</v>
      </c>
      <c r="U16" s="20">
        <f>SUMIFS(P_violacea_Spain_Med!$J:$J, P_violacea_Spain_Med!$B:$B, "&gt;="&amp;DATE(2018,1,1), P_violacea_Spain_Med!$B:$B, "&lt;"&amp;DATE(2019,1,1), P_violacea_Spain_Med!$F:$F, "Alicante")</f>
        <v>2</v>
      </c>
      <c r="V16" s="24">
        <f t="shared" si="8"/>
        <v>14</v>
      </c>
      <c r="W16" s="25">
        <f>SUMIFS(P_violacea_Spain_Med!$J:$J, P_violacea_Spain_Med!$B:$B, "&gt;="&amp;DATE(2018,1,1), P_violacea_Spain_Med!$B:$B, "&lt;"&amp;DATE(2019,1,1), P_violacea_Spain_Med!$F:$F, "Región de Murcia")</f>
        <v>4</v>
      </c>
      <c r="X16" s="18">
        <f>SUMIFS(P_violacea_Spain_Med!$J:$J, P_violacea_Spain_Med!$B:$B, "&gt;="&amp;DATE(2018,1,1), P_violacea_Spain_Med!$B:$B, "&lt;"&amp;DATE(2019,1,1), P_violacea_Spain_Med!$F:$F, "Almería")</f>
        <v>3</v>
      </c>
      <c r="Y16" s="18">
        <f>SUMIFS(P_violacea_Spain_Med!$J:$J, P_violacea_Spain_Med!$B:$B, "&gt;="&amp;DATE(2018,1,1), P_violacea_Spain_Med!$B:$B, "&lt;"&amp;DATE(2019,1,1), P_violacea_Spain_Med!$F:$F, "Granada")</f>
        <v>2</v>
      </c>
      <c r="Z16" s="18">
        <f>SUMIFS(P_violacea_Spain_Med!$J:$J, P_violacea_Spain_Med!$B:$B, "&gt;="&amp;DATE(2018,1,1), P_violacea_Spain_Med!$B:$B, "&lt;"&amp;DATE(2019,1,1), P_violacea_Spain_Med!$F:$F, "Málaga")</f>
        <v>0</v>
      </c>
      <c r="AA16" s="18">
        <f>SUMIFS(P_violacea_Spain_Med!$J:$J, P_violacea_Spain_Med!$B:$B, "&gt;="&amp;DATE(2018,1,1), P_violacea_Spain_Med!$B:$B, "&lt;"&amp;DATE(2019,1,1), P_violacea_Spain_Med!$F:$F, "Cádiz")</f>
        <v>0</v>
      </c>
      <c r="AB16" s="26">
        <f t="shared" si="9"/>
        <v>5</v>
      </c>
      <c r="AC16" s="27">
        <f>SUMIFS(P_violacea_Spain_Med!$J:$J, P_violacea_Spain_Med!$B:$B, "&gt;="&amp;DATE(2018,1,1), P_violacea_Spain_Med!$B:$B, "&lt;"&amp;DATE(2019,1,1), P_violacea_Spain_Med!$F:$F, "Islas Baleares")</f>
        <v>6</v>
      </c>
      <c r="AD16" s="28">
        <f>SUMIFS(P_violacea_Spain_Med!$J:$J, P_violacea_Spain_Med!$B:$B, "&gt;="&amp;DATE(2018,1,1), P_violacea_Spain_Med!$B:$B, "&lt;"&amp;DATE(2019,1,1), P_violacea_Spain_Med!$F:$F, "Ceuta")</f>
        <v>0</v>
      </c>
      <c r="AE16" s="29">
        <f>SUMIFS(P_violacea_Spain_Med!$J:$J, P_violacea_Spain_Med!$B:$B, "&gt;="&amp;DATE(2018,1,1), P_violacea_Spain_Med!$B:$B, "&lt;"&amp;DATE(2019,1,1), P_violacea_Spain_Med!$F:$F, "Melilla")</f>
        <v>0</v>
      </c>
      <c r="AF16" s="46">
        <f>SUMIFS(P_violacea_Spain_Med!$J:$J, P_violacea_Spain_Med!$B:$B, "&gt;="&amp;DATE(2018,1,1), P_violacea_Spain_Med!$B:$B, "&lt;"&amp;DATE(2019,1,1), P_violacea_Spain_Med!$F:$F, "nd")</f>
        <v>1</v>
      </c>
      <c r="AG16" s="41">
        <f t="shared" si="4"/>
        <v>140</v>
      </c>
      <c r="AH16" s="43">
        <f t="shared" si="10"/>
        <v>0</v>
      </c>
    </row>
    <row r="17" spans="1:34" x14ac:dyDescent="0.25">
      <c r="A17" s="10">
        <v>2019</v>
      </c>
      <c r="B17" s="16">
        <f>SUMIFS(P_violacea_Spain_Med!$J:$J, P_violacea_Spain_Med!$B:$B, "&gt;="&amp;DATE(2019,1,1), P_violacea_Spain_Med!$B:$B, "&lt;="&amp;DATE(2019,1,31))</f>
        <v>1</v>
      </c>
      <c r="C17" s="17">
        <f>SUMIFS(P_violacea_Spain_Med!$J:$J, P_violacea_Spain_Med!$B:$B, "&gt;="&amp;DATE(2019,2,1), P_violacea_Spain_Med!$B:$B, "&lt;="&amp;DATE(2019,2,28))</f>
        <v>0</v>
      </c>
      <c r="D17" s="18">
        <f>SUMIFS(P_violacea_Spain_Med!$J:$J, P_violacea_Spain_Med!$B:$B, "&gt;="&amp;DATE(2019,3,1), P_violacea_Spain_Med!$B:$B, "&lt;="&amp;DATE(2019,3,31))</f>
        <v>0</v>
      </c>
      <c r="E17" s="18">
        <f>SUMIFS(P_violacea_Spain_Med!$J:$J, P_violacea_Spain_Med!$B:$B, "&gt;="&amp;DATE(2019,4,1), P_violacea_Spain_Med!$B:$B, "&lt;="&amp;DATE(2019,4,30))</f>
        <v>0</v>
      </c>
      <c r="F17" s="18">
        <f>SUMIFS(P_violacea_Spain_Med!$J:$J, P_violacea_Spain_Med!$B:$B, "&gt;="&amp;DATE(2019,5,1), P_violacea_Spain_Med!$B:$B, "&lt;="&amp;DATE(2019,5,31))</f>
        <v>0</v>
      </c>
      <c r="G17" s="19">
        <f>SUMIFS(P_violacea_Spain_Med!$J:$J, P_violacea_Spain_Med!$B:$B, "&gt;="&amp;DATE(2019,6,1), P_violacea_Spain_Med!$B:$B, "&lt;="&amp;DATE(2019,6,30))</f>
        <v>1</v>
      </c>
      <c r="H17" s="19">
        <f>SUMIFS(P_violacea_Spain_Med!$J:$J, P_violacea_Spain_Med!$B:$B, "&gt;="&amp;DATE(2019,7,1), P_violacea_Spain_Med!$B:$B, "&lt;="&amp;DATE(2019,7,31))</f>
        <v>4</v>
      </c>
      <c r="I17" s="19">
        <f>SUMIFS(P_violacea_Spain_Med!$J:$J, P_violacea_Spain_Med!$B:$B, "&gt;="&amp;DATE(2019,8,1), P_violacea_Spain_Med!$B:$B, "&lt;="&amp;DATE(2019,8,31))</f>
        <v>8</v>
      </c>
      <c r="J17" s="20">
        <f>SUMIFS(P_violacea_Spain_Med!$J:$J, P_violacea_Spain_Med!$B:$B, "&gt;="&amp;DATE(2019,9,1), P_violacea_Spain_Med!$B:$B, "&lt;="&amp;DATE(2019,9,30))</f>
        <v>0</v>
      </c>
      <c r="K17" s="20">
        <f>SUMIFS(P_violacea_Spain_Med!$J:$J, P_violacea_Spain_Med!$B:$B, "&gt;="&amp;DATE(2019,10,1), P_violacea_Spain_Med!$B:$B, "&lt;="&amp;DATE(2019,10,31))</f>
        <v>0</v>
      </c>
      <c r="L17" s="20">
        <f>SUMIFS(P_violacea_Spain_Med!$J:$J, P_violacea_Spain_Med!$B:$B, "&gt;="&amp;DATE(2019,11,1), P_violacea_Spain_Med!$B:$B, "&lt;="&amp;DATE(2019,11,30))</f>
        <v>0</v>
      </c>
      <c r="M17" s="17">
        <f>SUMIFS(P_violacea_Spain_Med!$J:$J, P_violacea_Spain_Med!$B:$B, "&gt;="&amp;DATE(2019,12,1), P_violacea_Spain_Med!$B:$B, "&lt;="&amp;DATE(2019,12,31))</f>
        <v>0</v>
      </c>
      <c r="N17" s="41">
        <f t="shared" si="6"/>
        <v>14</v>
      </c>
      <c r="O17" s="19">
        <f>SUMIFS(P_violacea_Spain_Med!$J:$J, P_violacea_Spain_Med!$B:$B, "&gt;="&amp;DATE(2019,1,1), P_violacea_Spain_Med!$B:$B, "&lt;"&amp;DATE(2020,1,1), P_violacea_Spain_Med!$F:$F, "Girona")</f>
        <v>0</v>
      </c>
      <c r="P17" s="19">
        <f>SUMIFS(P_violacea_Spain_Med!$J:$J, P_violacea_Spain_Med!$B:$B, "&gt;="&amp;DATE(2019,1,1), P_violacea_Spain_Med!$B:$B, "&lt;"&amp;DATE(2020,1,1), P_violacea_Spain_Med!$F:$F, "Barcelona")</f>
        <v>1</v>
      </c>
      <c r="Q17" s="19">
        <f>SUMIFS(P_violacea_Spain_Med!$J:$J, P_violacea_Spain_Med!$B:$B, "&gt;="&amp;DATE(2019,1,1), P_violacea_Spain_Med!$B:$B, "&lt;"&amp;DATE(2020,1,1), P_violacea_Spain_Med!$F:$F, "Tarragona")</f>
        <v>0</v>
      </c>
      <c r="R17" s="23">
        <f t="shared" si="7"/>
        <v>1</v>
      </c>
      <c r="S17" s="20">
        <f>SUMIFS(P_violacea_Spain_Med!$J:$J, P_violacea_Spain_Med!$B:$B, "&gt;="&amp;DATE(2019,1,1), P_violacea_Spain_Med!$B:$B, "&lt;"&amp;DATE(2020,1,1), P_violacea_Spain_Med!$F:$F, "Castellón")</f>
        <v>1</v>
      </c>
      <c r="T17" s="20">
        <f>SUMIFS(P_violacea_Spain_Med!$J:$J, P_violacea_Spain_Med!$B:$B, "&gt;="&amp;DATE(2019,1,1), P_violacea_Spain_Med!$B:$B, "&lt;"&amp;DATE(2020,1,1), P_violacea_Spain_Med!$F:$F, "Valencia")</f>
        <v>1</v>
      </c>
      <c r="U17" s="20">
        <f>SUMIFS(P_violacea_Spain_Med!$J:$J, P_violacea_Spain_Med!$B:$B, "&gt;="&amp;DATE(2019,1,1), P_violacea_Spain_Med!$B:$B, "&lt;"&amp;DATE(2020,1,1), P_violacea_Spain_Med!$F:$F, "Alicante")</f>
        <v>1</v>
      </c>
      <c r="V17" s="24">
        <f t="shared" si="8"/>
        <v>3</v>
      </c>
      <c r="W17" s="25">
        <f>SUMIFS(P_violacea_Spain_Med!$J:$J, P_violacea_Spain_Med!$B:$B, "&gt;="&amp;DATE(2019,1,1), P_violacea_Spain_Med!$B:$B, "&lt;"&amp;DATE(2020,1,1), P_violacea_Spain_Med!$F:$F, "Región de Murcia")</f>
        <v>5</v>
      </c>
      <c r="X17" s="18">
        <f>SUMIFS(P_violacea_Spain_Med!$J:$J, P_violacea_Spain_Med!$B:$B, "&gt;="&amp;DATE(2019,1,1), P_violacea_Spain_Med!$B:$B, "&lt;"&amp;DATE(2020,1,1), P_violacea_Spain_Med!$F:$F, "Almería")</f>
        <v>1</v>
      </c>
      <c r="Y17" s="18">
        <f>SUMIFS(P_violacea_Spain_Med!$J:$J, P_violacea_Spain_Med!$B:$B, "&gt;="&amp;DATE(2019,1,1), P_violacea_Spain_Med!$B:$B, "&lt;"&amp;DATE(2020,1,1), P_violacea_Spain_Med!$F:$F, "Granada")</f>
        <v>1</v>
      </c>
      <c r="Z17" s="18">
        <f>SUMIFS(P_violacea_Spain_Med!$J:$J, P_violacea_Spain_Med!$B:$B, "&gt;="&amp;DATE(2019,1,1), P_violacea_Spain_Med!$B:$B, "&lt;"&amp;DATE(2020,1,1), P_violacea_Spain_Med!$F:$F, "Málaga")</f>
        <v>1</v>
      </c>
      <c r="AA17" s="18">
        <f>SUMIFS(P_violacea_Spain_Med!$J:$J, P_violacea_Spain_Med!$B:$B, "&gt;="&amp;DATE(2019,1,1), P_violacea_Spain_Med!$B:$B, "&lt;"&amp;DATE(2020,1,1), P_violacea_Spain_Med!$F:$F, "Cádiz")</f>
        <v>0</v>
      </c>
      <c r="AB17" s="26">
        <f t="shared" si="9"/>
        <v>3</v>
      </c>
      <c r="AC17" s="27">
        <f>SUMIFS(P_violacea_Spain_Med!$J:$J, P_violacea_Spain_Med!$B:$B, "&gt;="&amp;DATE(2019,1,1), P_violacea_Spain_Med!$B:$B, "&lt;"&amp;DATE(2020,1,1), P_violacea_Spain_Med!$F:$F, "Islas Baleares")</f>
        <v>2</v>
      </c>
      <c r="AD17" s="28">
        <f>SUMIFS(P_violacea_Spain_Med!$J:$J, P_violacea_Spain_Med!$B:$B, "&gt;="&amp;DATE(2019,1,1), P_violacea_Spain_Med!$B:$B, "&lt;"&amp;DATE(2020,1,1), P_violacea_Spain_Med!$F:$F, "Ceuta")</f>
        <v>0</v>
      </c>
      <c r="AE17" s="29">
        <f>SUMIFS(P_violacea_Spain_Med!$J:$J, P_violacea_Spain_Med!$B:$B, "&gt;="&amp;DATE(2019,1,1), P_violacea_Spain_Med!$B:$B, "&lt;"&amp;DATE(2020,1,1), P_violacea_Spain_Med!$F:$F, "Melilla")</f>
        <v>0</v>
      </c>
      <c r="AF17" s="46">
        <f>SUMIFS(P_violacea_Spain_Med!$J:$J, P_violacea_Spain_Med!$B:$B, "&gt;="&amp;DATE(2019,1,1), P_violacea_Spain_Med!$B:$B, "&lt;"&amp;DATE(2020,1,1), P_violacea_Spain_Med!$F:$F, "nd")</f>
        <v>0</v>
      </c>
      <c r="AG17" s="41">
        <f t="shared" si="4"/>
        <v>14</v>
      </c>
      <c r="AH17" s="43">
        <f t="shared" si="10"/>
        <v>0</v>
      </c>
    </row>
    <row r="18" spans="1:34" x14ac:dyDescent="0.25">
      <c r="A18" s="10">
        <v>2020</v>
      </c>
      <c r="B18" s="16">
        <f>SUMIFS(P_violacea_Spain_Med!$J:$J, P_violacea_Spain_Med!$B:$B, "&gt;="&amp;DATE(2020,1,1), P_violacea_Spain_Med!$B:$B, "&lt;="&amp;DATE(2020,1,31))</f>
        <v>0</v>
      </c>
      <c r="C18" s="17">
        <f>SUMIFS(P_violacea_Spain_Med!$J:$J, P_violacea_Spain_Med!$B:$B, "&gt;="&amp;DATE(2020,2,1), P_violacea_Spain_Med!$B:$B, "&lt;="&amp;DATE(2020,2,29))</f>
        <v>0</v>
      </c>
      <c r="D18" s="18">
        <f>SUMIFS(P_violacea_Spain_Med!$J:$J, P_violacea_Spain_Med!$B:$B, "&gt;="&amp;DATE(2020,3,1), P_violacea_Spain_Med!$B:$B, "&lt;="&amp;DATE(2020,3,31))</f>
        <v>0</v>
      </c>
      <c r="E18" s="18">
        <f>SUMIFS(P_violacea_Spain_Med!$J:$J, P_violacea_Spain_Med!$B:$B, "&gt;="&amp;DATE(2020,4,1), P_violacea_Spain_Med!$B:$B, "&lt;="&amp;DATE(2020,4,30))</f>
        <v>1</v>
      </c>
      <c r="F18" s="18">
        <f>SUMIFS(P_violacea_Spain_Med!$J:$J, P_violacea_Spain_Med!$B:$B, "&gt;="&amp;DATE(2020,5,1), P_violacea_Spain_Med!$B:$B, "&lt;="&amp;DATE(2020,5,31))</f>
        <v>1</v>
      </c>
      <c r="G18" s="19">
        <f>SUMIFS(P_violacea_Spain_Med!$J:$J, P_violacea_Spain_Med!$B:$B, "&gt;="&amp;DATE(2020,6,1), P_violacea_Spain_Med!$B:$B, "&lt;="&amp;DATE(2020,6,30))</f>
        <v>21</v>
      </c>
      <c r="H18" s="19">
        <f>SUMIFS(P_violacea_Spain_Med!$J:$J, P_violacea_Spain_Med!$B:$B, "&gt;="&amp;DATE(2020,7,1), P_violacea_Spain_Med!$B:$B, "&lt;="&amp;DATE(2020,7,31))</f>
        <v>44</v>
      </c>
      <c r="I18" s="19">
        <f>SUMIFS(P_violacea_Spain_Med!$J:$J, P_violacea_Spain_Med!$B:$B, "&gt;="&amp;DATE(2020,8,1), P_violacea_Spain_Med!$B:$B, "&lt;="&amp;DATE(2020,8,31))</f>
        <v>6</v>
      </c>
      <c r="J18" s="20">
        <f>SUMIFS(P_violacea_Spain_Med!$J:$J, P_violacea_Spain_Med!$B:$B, "&gt;="&amp;DATE(2020,9,1), P_violacea_Spain_Med!$B:$B, "&lt;="&amp;DATE(2020,9,30))</f>
        <v>3</v>
      </c>
      <c r="K18" s="20">
        <f>SUMIFS(P_violacea_Spain_Med!$J:$J, P_violacea_Spain_Med!$B:$B, "&gt;="&amp;DATE(2020,10,1), P_violacea_Spain_Med!$B:$B, "&lt;="&amp;DATE(2020,10,31))</f>
        <v>0</v>
      </c>
      <c r="L18" s="20">
        <f>SUMIFS(P_violacea_Spain_Med!$J:$J, P_violacea_Spain_Med!$B:$B, "&gt;="&amp;DATE(2020,11,1), P_violacea_Spain_Med!$B:$B, "&lt;="&amp;DATE(2020,11,30))</f>
        <v>0</v>
      </c>
      <c r="M18" s="17">
        <f>SUMIFS(P_violacea_Spain_Med!$J:$J, P_violacea_Spain_Med!$B:$B, "&gt;="&amp;DATE(2020,12,1), P_violacea_Spain_Med!$B:$B, "&lt;="&amp;DATE(2020,12,31))</f>
        <v>1</v>
      </c>
      <c r="N18" s="41">
        <f t="shared" si="6"/>
        <v>77</v>
      </c>
      <c r="O18" s="19">
        <f>SUMIFS(P_violacea_Spain_Med!$J:$J, P_violacea_Spain_Med!$B:$B, "&gt;="&amp;DATE(2020,1,1), P_violacea_Spain_Med!$B:$B, "&lt;"&amp;DATE(2021,1,1), P_violacea_Spain_Med!$F:$F, "Girona")</f>
        <v>3</v>
      </c>
      <c r="P18" s="19">
        <f>SUMIFS(P_violacea_Spain_Med!$J:$J, P_violacea_Spain_Med!$B:$B, "&gt;="&amp;DATE(2020,1,1), P_violacea_Spain_Med!$B:$B, "&lt;"&amp;DATE(2021,1,1), P_violacea_Spain_Med!$F:$F, "Barcelona")</f>
        <v>0</v>
      </c>
      <c r="Q18" s="19">
        <f>SUMIFS(P_violacea_Spain_Med!$J:$J, P_violacea_Spain_Med!$B:$B, "&gt;="&amp;DATE(2020,1,1), P_violacea_Spain_Med!$B:$B, "&lt;"&amp;DATE(2021,1,1), P_violacea_Spain_Med!$F:$F, "Tarragona")</f>
        <v>1</v>
      </c>
      <c r="R18" s="23">
        <f t="shared" si="7"/>
        <v>4</v>
      </c>
      <c r="S18" s="20">
        <f>SUMIFS(P_violacea_Spain_Med!$J:$J, P_violacea_Spain_Med!$B:$B, "&gt;="&amp;DATE(2020,1,1), P_violacea_Spain_Med!$B:$B, "&lt;"&amp;DATE(2021,1,1), P_violacea_Spain_Med!$F:$F, "Castellón")</f>
        <v>4</v>
      </c>
      <c r="T18" s="20">
        <f>SUMIFS(P_violacea_Spain_Med!$J:$J, P_violacea_Spain_Med!$B:$B, "&gt;="&amp;DATE(2020,1,1), P_violacea_Spain_Med!$B:$B, "&lt;"&amp;DATE(2021,1,1), P_violacea_Spain_Med!$F:$F, "Valencia")</f>
        <v>0</v>
      </c>
      <c r="U18" s="20">
        <f>SUMIFS(P_violacea_Spain_Med!$J:$J, P_violacea_Spain_Med!$B:$B, "&gt;="&amp;DATE(2020,1,1), P_violacea_Spain_Med!$B:$B, "&lt;"&amp;DATE(2021,1,1), P_violacea_Spain_Med!$F:$F, "Alicante")</f>
        <v>21</v>
      </c>
      <c r="V18" s="24">
        <f t="shared" si="8"/>
        <v>25</v>
      </c>
      <c r="W18" s="25">
        <f>SUMIFS(P_violacea_Spain_Med!$J:$J, P_violacea_Spain_Med!$B:$B, "&gt;="&amp;DATE(2020,1,1), P_violacea_Spain_Med!$B:$B, "&lt;"&amp;DATE(2021,1,1), P_violacea_Spain_Med!$F:$F, "Región de Murcia")</f>
        <v>33</v>
      </c>
      <c r="X18" s="18">
        <f>SUMIFS(P_violacea_Spain_Med!$J:$J, P_violacea_Spain_Med!$B:$B, "&gt;="&amp;DATE(2020,1,1), P_violacea_Spain_Med!$B:$B, "&lt;"&amp;DATE(2021,1,1), P_violacea_Spain_Med!$F:$F, "Almería")</f>
        <v>4</v>
      </c>
      <c r="Y18" s="18">
        <f>SUMIFS(P_violacea_Spain_Med!$J:$J, P_violacea_Spain_Med!$B:$B, "&gt;="&amp;DATE(2020,1,1), P_violacea_Spain_Med!$B:$B, "&lt;"&amp;DATE(2021,1,1), P_violacea_Spain_Med!$F:$F, "Granada")</f>
        <v>6</v>
      </c>
      <c r="Z18" s="18">
        <f>SUMIFS(P_violacea_Spain_Med!$J:$J, P_violacea_Spain_Med!$B:$B, "&gt;="&amp;DATE(2020,1,1), P_violacea_Spain_Med!$B:$B, "&lt;"&amp;DATE(2021,1,1), P_violacea_Spain_Med!$F:$F, "Málaga")</f>
        <v>2</v>
      </c>
      <c r="AA18" s="18">
        <f>SUMIFS(P_violacea_Spain_Med!$J:$J, P_violacea_Spain_Med!$B:$B, "&gt;="&amp;DATE(2020,1,1), P_violacea_Spain_Med!$B:$B, "&lt;"&amp;DATE(2021,1,1), P_violacea_Spain_Med!$F:$F, "Cádiz")</f>
        <v>0</v>
      </c>
      <c r="AB18" s="26">
        <f t="shared" si="9"/>
        <v>12</v>
      </c>
      <c r="AC18" s="27">
        <f>SUMIFS(P_violacea_Spain_Med!$J:$J, P_violacea_Spain_Med!$B:$B, "&gt;="&amp;DATE(2020,1,1), P_violacea_Spain_Med!$B:$B, "&lt;"&amp;DATE(2021,1,1), P_violacea_Spain_Med!$F:$F, "Islas Baleares")</f>
        <v>2</v>
      </c>
      <c r="AD18" s="28">
        <f>SUMIFS(P_violacea_Spain_Med!$J:$J, P_violacea_Spain_Med!$B:$B, "&gt;="&amp;DATE(2020,1,1), P_violacea_Spain_Med!$B:$B, "&lt;"&amp;DATE(2021,1,1), P_violacea_Spain_Med!$F:$F, "Ceuta")</f>
        <v>1</v>
      </c>
      <c r="AE18" s="29">
        <f>SUMIFS(P_violacea_Spain_Med!$J:$J, P_violacea_Spain_Med!$B:$B, "&gt;="&amp;DATE(2020,1,1), P_violacea_Spain_Med!$B:$B, "&lt;"&amp;DATE(2021,1,1), P_violacea_Spain_Med!$F:$F, "Melilla")</f>
        <v>0</v>
      </c>
      <c r="AF18" s="46">
        <f>SUMIFS(P_violacea_Spain_Med!$J:$J, P_violacea_Spain_Med!$B:$B, "&gt;="&amp;DATE(2020,1,1), P_violacea_Spain_Med!$B:$B, "&lt;"&amp;DATE(2021,1,1), P_violacea_Spain_Med!$F:$F, "nd")</f>
        <v>0</v>
      </c>
      <c r="AG18" s="41">
        <f t="shared" si="4"/>
        <v>77</v>
      </c>
      <c r="AH18" s="43">
        <f t="shared" si="10"/>
        <v>0</v>
      </c>
    </row>
    <row r="19" spans="1:34" x14ac:dyDescent="0.25">
      <c r="A19" s="10">
        <v>2021</v>
      </c>
      <c r="B19" s="16">
        <f>SUMIFS(P_violacea_Spain_Med!$J:$J, P_violacea_Spain_Med!$B:$B, "&gt;="&amp;DATE(2021,1,1), P_violacea_Spain_Med!$B:$B, "&lt;="&amp;DATE(2021,1,31))</f>
        <v>0</v>
      </c>
      <c r="C19" s="17">
        <f>SUMIFS(P_violacea_Spain_Med!$J:$J, P_violacea_Spain_Med!$B:$B, "&gt;="&amp;DATE(2021,2,1), P_violacea_Spain_Med!$B:$B, "&lt;="&amp;DATE(2021,2,20))</f>
        <v>0</v>
      </c>
      <c r="D19" s="18">
        <f>SUMIFS(P_violacea_Spain_Med!$J:$J, P_violacea_Spain_Med!$B:$B, "&gt;="&amp;DATE(2021,3,1), P_violacea_Spain_Med!$B:$B, "&lt;="&amp;DATE(2021,3,31))</f>
        <v>0</v>
      </c>
      <c r="E19" s="18">
        <f>SUMIFS(P_violacea_Spain_Med!$J:$J, P_violacea_Spain_Med!$B:$B, "&gt;="&amp;DATE(2021,4,1), P_violacea_Spain_Med!$B:$B, "&lt;="&amp;DATE(2021,4,30))</f>
        <v>0</v>
      </c>
      <c r="F19" s="18">
        <f>SUMIFS(P_violacea_Spain_Med!$J:$J, P_violacea_Spain_Med!$B:$B, "&gt;="&amp;DATE(2021,5,1), P_violacea_Spain_Med!$B:$B, "&lt;="&amp;DATE(2021,5,31))</f>
        <v>0</v>
      </c>
      <c r="G19" s="19">
        <f>SUMIFS(P_violacea_Spain_Med!$J:$J, P_violacea_Spain_Med!$B:$B, "&gt;="&amp;DATE(2021,6,1), P_violacea_Spain_Med!$B:$B, "&lt;="&amp;DATE(2021,6,30))</f>
        <v>7</v>
      </c>
      <c r="H19" s="19">
        <f>SUMIFS(P_violacea_Spain_Med!$J:$J, P_violacea_Spain_Med!$B:$B, "&gt;="&amp;DATE(2021,7,1), P_violacea_Spain_Med!$B:$B, "&lt;="&amp;DATE(2021,7,31))</f>
        <v>7</v>
      </c>
      <c r="I19" s="19">
        <f>SUMIFS(P_violacea_Spain_Med!$J:$J, P_violacea_Spain_Med!$B:$B, "&gt;="&amp;DATE(2021,8,1), P_violacea_Spain_Med!$B:$B, "&lt;="&amp;DATE(2021,8,31))</f>
        <v>1</v>
      </c>
      <c r="J19" s="20">
        <f>SUMIFS(P_violacea_Spain_Med!$J:$J, P_violacea_Spain_Med!$B:$B, "&gt;="&amp;DATE(2021,9,1), P_violacea_Spain_Med!$B:$B, "&lt;="&amp;DATE(2021,9,30))</f>
        <v>0</v>
      </c>
      <c r="K19" s="20">
        <f>SUMIFS(P_violacea_Spain_Med!$J:$J, P_violacea_Spain_Med!$B:$B, "&gt;="&amp;DATE(2021,10,1), P_violacea_Spain_Med!$B:$B, "&lt;="&amp;DATE(2021,10,31))</f>
        <v>1</v>
      </c>
      <c r="L19" s="20">
        <f>SUMIFS(P_violacea_Spain_Med!$J:$J, P_violacea_Spain_Med!$B:$B, "&gt;="&amp;DATE(2021,11,1), P_violacea_Spain_Med!$B:$B, "&lt;="&amp;DATE(2021,11,30))</f>
        <v>0</v>
      </c>
      <c r="M19" s="17">
        <f>SUMIFS(P_violacea_Spain_Med!$J:$J, P_violacea_Spain_Med!$B:$B, "&gt;="&amp;DATE(2021,12,1), P_violacea_Spain_Med!$B:$B, "&lt;="&amp;DATE(2021,12,31))</f>
        <v>0</v>
      </c>
      <c r="N19" s="41">
        <f t="shared" si="6"/>
        <v>16</v>
      </c>
      <c r="O19" s="19">
        <f>SUMIFS(P_violacea_Spain_Med!$J:$J, P_violacea_Spain_Med!$B:$B, "&gt;="&amp;DATE(2021,1,1), P_violacea_Spain_Med!$B:$B, "&lt;"&amp;DATE(2022,1,1), P_violacea_Spain_Med!$F:$F, "Girona")</f>
        <v>1</v>
      </c>
      <c r="P19" s="19">
        <f>SUMIFS(P_violacea_Spain_Med!$J:$J, P_violacea_Spain_Med!$B:$B, "&gt;="&amp;DATE(2021,1,1), P_violacea_Spain_Med!$B:$B, "&lt;"&amp;DATE(2022,1,1), P_violacea_Spain_Med!$F:$F, "Barcelona")</f>
        <v>0</v>
      </c>
      <c r="Q19" s="19">
        <f>SUMIFS(P_violacea_Spain_Med!$J:$J, P_violacea_Spain_Med!$B:$B, "&gt;="&amp;DATE(2021,1,1), P_violacea_Spain_Med!$B:$B, "&lt;"&amp;DATE(2022,1,1), P_violacea_Spain_Med!$F:$F, "Tarragona")</f>
        <v>0</v>
      </c>
      <c r="R19" s="23">
        <f t="shared" si="7"/>
        <v>1</v>
      </c>
      <c r="S19" s="20">
        <f>SUMIFS(P_violacea_Spain_Med!$J:$J, P_violacea_Spain_Med!$B:$B, "&gt;="&amp;DATE(2021,1,1), P_violacea_Spain_Med!$B:$B, "&lt;"&amp;DATE(2022,1,1), P_violacea_Spain_Med!$F:$F, "Castellón")</f>
        <v>9</v>
      </c>
      <c r="T19" s="20">
        <f>SUMIFS(P_violacea_Spain_Med!$J:$J, P_violacea_Spain_Med!$B:$B, "&gt;="&amp;DATE(2021,1,1), P_violacea_Spain_Med!$B:$B, "&lt;"&amp;DATE(2022,1,1), P_violacea_Spain_Med!$F:$F, "Valencia")</f>
        <v>0</v>
      </c>
      <c r="U19" s="20">
        <f>SUMIFS(P_violacea_Spain_Med!$J:$J, P_violacea_Spain_Med!$B:$B, "&gt;="&amp;DATE(2021,1,1), P_violacea_Spain_Med!$B:$B, "&lt;"&amp;DATE(2022,1,1), P_violacea_Spain_Med!$F:$F, "Alicante")</f>
        <v>1</v>
      </c>
      <c r="V19" s="24">
        <f t="shared" si="8"/>
        <v>10</v>
      </c>
      <c r="W19" s="25">
        <f>SUMIFS(P_violacea_Spain_Med!$J:$J, P_violacea_Spain_Med!$B:$B, "&gt;="&amp;DATE(2021,1,1), P_violacea_Spain_Med!$B:$B, "&lt;"&amp;DATE(2022,1,1), P_violacea_Spain_Med!$F:$F, "Región de Murcia")</f>
        <v>0</v>
      </c>
      <c r="X19" s="18">
        <f>SUMIFS(P_violacea_Spain_Med!$J:$J, P_violacea_Spain_Med!$B:$B, "&gt;="&amp;DATE(2021,1,1), P_violacea_Spain_Med!$B:$B, "&lt;"&amp;DATE(2022,1,1), P_violacea_Spain_Med!$F:$F, "Almería")</f>
        <v>0</v>
      </c>
      <c r="Y19" s="18">
        <f>SUMIFS(P_violacea_Spain_Med!$J:$J, P_violacea_Spain_Med!$B:$B, "&gt;="&amp;DATE(2021,1,1), P_violacea_Spain_Med!$B:$B, "&lt;"&amp;DATE(2022,1,1), P_violacea_Spain_Med!$F:$F, "Granada")</f>
        <v>0</v>
      </c>
      <c r="Z19" s="18">
        <f>SUMIFS(P_violacea_Spain_Med!$J:$J, P_violacea_Spain_Med!$B:$B, "&gt;="&amp;DATE(2021,1,1), P_violacea_Spain_Med!$B:$B, "&lt;"&amp;DATE(2022,1,1), P_violacea_Spain_Med!$F:$F, "Málaga")</f>
        <v>0</v>
      </c>
      <c r="AA19" s="18">
        <f>SUMIFS(P_violacea_Spain_Med!$J:$J, P_violacea_Spain_Med!$B:$B, "&gt;="&amp;DATE(2021,1,1), P_violacea_Spain_Med!$B:$B, "&lt;"&amp;DATE(2022,1,1), P_violacea_Spain_Med!$F:$F, "Cádiz")</f>
        <v>0</v>
      </c>
      <c r="AB19" s="26">
        <f t="shared" si="9"/>
        <v>0</v>
      </c>
      <c r="AC19" s="27">
        <f>SUMIFS(P_violacea_Spain_Med!$J:$J, P_violacea_Spain_Med!$B:$B, "&gt;="&amp;DATE(2021,1,1), P_violacea_Spain_Med!$B:$B, "&lt;"&amp;DATE(2022,1,1), P_violacea_Spain_Med!$F:$F, "Islas Baleares")</f>
        <v>5</v>
      </c>
      <c r="AD19" s="28">
        <f>SUMIFS(P_violacea_Spain_Med!$J:$J, P_violacea_Spain_Med!$B:$B, "&gt;="&amp;DATE(2021,1,1), P_violacea_Spain_Med!$B:$B, "&lt;"&amp;DATE(2022,1,1), P_violacea_Spain_Med!$F:$F, "Ceuta")</f>
        <v>0</v>
      </c>
      <c r="AE19" s="29">
        <f>SUMIFS(P_violacea_Spain_Med!$J:$J, P_violacea_Spain_Med!$B:$B, "&gt;="&amp;DATE(2021,1,1), P_violacea_Spain_Med!$B:$B, "&lt;"&amp;DATE(2022,1,1), P_violacea_Spain_Med!$F:$F, "Melilla")</f>
        <v>0</v>
      </c>
      <c r="AF19" s="46">
        <f>SUMIFS(P_violacea_Spain_Med!$J:$J, P_violacea_Spain_Med!$B:$B, "&gt;="&amp;DATE(2021,1,1), P_violacea_Spain_Med!$B:$B, "&lt;"&amp;DATE(2022,1,1), P_violacea_Spain_Med!$F:$F, "nd")</f>
        <v>0</v>
      </c>
      <c r="AG19" s="41">
        <f t="shared" si="4"/>
        <v>16</v>
      </c>
      <c r="AH19" s="43">
        <f t="shared" si="10"/>
        <v>0</v>
      </c>
    </row>
    <row r="20" spans="1:34" x14ac:dyDescent="0.25">
      <c r="A20" s="10">
        <v>2022</v>
      </c>
      <c r="B20" s="16">
        <f>SUMIFS(P_violacea_Spain_Med!$J:$J, P_violacea_Spain_Med!$B:$B, "&gt;="&amp;DATE(2022,1,1), P_violacea_Spain_Med!$B:$B, "&lt;="&amp;DATE(2022,1,31))</f>
        <v>0</v>
      </c>
      <c r="C20" s="17">
        <f>SUMIFS(P_violacea_Spain_Med!$J:$J, P_violacea_Spain_Med!$B:$B, "&gt;="&amp;DATE(2022,2,1), P_violacea_Spain_Med!$B:$B, "&lt;="&amp;DATE(2022,2,20))</f>
        <v>0</v>
      </c>
      <c r="D20" s="18">
        <f>SUMIFS(P_violacea_Spain_Med!$J:$J, P_violacea_Spain_Med!$B:$B, "&gt;="&amp;DATE(2022,3,1), P_violacea_Spain_Med!$B:$B, "&lt;="&amp;DATE(2022,3,31))</f>
        <v>1</v>
      </c>
      <c r="E20" s="18">
        <f>SUMIFS(P_violacea_Spain_Med!$J:$J, P_violacea_Spain_Med!$B:$B, "&gt;="&amp;DATE(2022,4,1), P_violacea_Spain_Med!$B:$B, "&lt;="&amp;DATE(2022,4,30))</f>
        <v>0</v>
      </c>
      <c r="F20" s="18">
        <f>SUMIFS(P_violacea_Spain_Med!$J:$J, P_violacea_Spain_Med!$B:$B, "&gt;="&amp;DATE(2022,5,1), P_violacea_Spain_Med!$B:$B, "&lt;="&amp;DATE(2022,5,31))</f>
        <v>0</v>
      </c>
      <c r="G20" s="19">
        <f>SUMIFS(P_violacea_Spain_Med!$J:$J, P_violacea_Spain_Med!$B:$B, "&gt;="&amp;DATE(2022,6,1), P_violacea_Spain_Med!$B:$B, "&lt;="&amp;DATE(2022,6,30))</f>
        <v>0</v>
      </c>
      <c r="H20" s="19">
        <f>SUMIFS(P_violacea_Spain_Med!$J:$J, P_violacea_Spain_Med!$B:$B, "&gt;="&amp;DATE(2022,7,1), P_violacea_Spain_Med!$B:$B, "&lt;="&amp;DATE(2022,7,31))</f>
        <v>12</v>
      </c>
      <c r="I20" s="19">
        <f>SUMIFS(P_violacea_Spain_Med!$J:$J, P_violacea_Spain_Med!$B:$B, "&gt;="&amp;DATE(2022,8,1), P_violacea_Spain_Med!$B:$B, "&lt;="&amp;DATE(2022,8,31))</f>
        <v>14</v>
      </c>
      <c r="J20" s="20">
        <f>SUMIFS(P_violacea_Spain_Med!$J:$J, P_violacea_Spain_Med!$B:$B, "&gt;="&amp;DATE(2022,9,1), P_violacea_Spain_Med!$B:$B, "&lt;="&amp;DATE(2022,9,30))</f>
        <v>1</v>
      </c>
      <c r="K20" s="20">
        <f>SUMIFS(P_violacea_Spain_Med!$J:$J, P_violacea_Spain_Med!$B:$B, "&gt;="&amp;DATE(2022,10,1), P_violacea_Spain_Med!$B:$B, "&lt;="&amp;DATE(2022,10,31))</f>
        <v>0</v>
      </c>
      <c r="L20" s="20">
        <f>SUMIFS(P_violacea_Spain_Med!$J:$J, P_violacea_Spain_Med!$B:$B, "&gt;="&amp;DATE(2022,11,1), P_violacea_Spain_Med!$B:$B, "&lt;="&amp;DATE(2022,11,30))</f>
        <v>1</v>
      </c>
      <c r="M20" s="17">
        <f>SUMIFS(P_violacea_Spain_Med!$J:$J, P_violacea_Spain_Med!$B:$B, "&gt;="&amp;DATE(2022,12,1), P_violacea_Spain_Med!$B:$B, "&lt;="&amp;DATE(2022,12,31))</f>
        <v>1</v>
      </c>
      <c r="N20" s="41">
        <f t="shared" si="6"/>
        <v>30</v>
      </c>
      <c r="O20" s="19">
        <f>SUMIFS(P_violacea_Spain_Med!$J:$J, P_violacea_Spain_Med!$B:$B, "&gt;="&amp;DATE(2022,1,1), P_violacea_Spain_Med!$B:$B, "&lt;"&amp;DATE(2023,1,1), P_violacea_Spain_Med!$F:$F, "Girona")</f>
        <v>6</v>
      </c>
      <c r="P20" s="19">
        <f>SUMIFS(P_violacea_Spain_Med!$J:$J, P_violacea_Spain_Med!$B:$B, "&gt;="&amp;DATE(2022,1,1), P_violacea_Spain_Med!$B:$B, "&lt;"&amp;DATE(2023,1,1), P_violacea_Spain_Med!$F:$F, "Barcelona")</f>
        <v>2</v>
      </c>
      <c r="Q20" s="19">
        <f>SUMIFS(P_violacea_Spain_Med!$J:$J, P_violacea_Spain_Med!$B:$B, "&gt;="&amp;DATE(2022,1,1), P_violacea_Spain_Med!$B:$B, "&lt;"&amp;DATE(2023,1,1), P_violacea_Spain_Med!$F:$F, "Tarragona")</f>
        <v>1</v>
      </c>
      <c r="R20" s="23">
        <f t="shared" si="7"/>
        <v>9</v>
      </c>
      <c r="S20" s="20">
        <f>SUMIFS(P_violacea_Spain_Med!$J:$J, P_violacea_Spain_Med!$B:$B, "&gt;="&amp;DATE(2022,1,1), P_violacea_Spain_Med!$B:$B, "&lt;"&amp;DATE(2023,1,1), P_violacea_Spain_Med!$F:$F, "Castellón")</f>
        <v>0</v>
      </c>
      <c r="T20" s="20">
        <f>SUMIFS(P_violacea_Spain_Med!$J:$J, P_violacea_Spain_Med!$B:$B, "&gt;="&amp;DATE(2022,1,1), P_violacea_Spain_Med!$B:$B, "&lt;"&amp;DATE(2023,1,1), P_violacea_Spain_Med!$F:$F, "Valencia")</f>
        <v>0</v>
      </c>
      <c r="U20" s="20">
        <f>SUMIFS(P_violacea_Spain_Med!$J:$J, P_violacea_Spain_Med!$B:$B, "&gt;="&amp;DATE(2022,1,1), P_violacea_Spain_Med!$B:$B, "&lt;"&amp;DATE(2023,1,1), P_violacea_Spain_Med!$F:$F, "Alicante")</f>
        <v>5</v>
      </c>
      <c r="V20" s="24">
        <f t="shared" si="8"/>
        <v>5</v>
      </c>
      <c r="W20" s="25">
        <f>SUMIFS(P_violacea_Spain_Med!$J:$J, P_violacea_Spain_Med!$B:$B, "&gt;="&amp;DATE(2022,1,1), P_violacea_Spain_Med!$B:$B, "&lt;"&amp;DATE(2023,1,1), P_violacea_Spain_Med!$F:$F, "Región de Murcia")</f>
        <v>5</v>
      </c>
      <c r="X20" s="18">
        <f>SUMIFS(P_violacea_Spain_Med!$J:$J, P_violacea_Spain_Med!$B:$B, "&gt;="&amp;DATE(2022,1,1), P_violacea_Spain_Med!$B:$B, "&lt;"&amp;DATE(2023,1,1), P_violacea_Spain_Med!$F:$F, "Almería")</f>
        <v>3</v>
      </c>
      <c r="Y20" s="18">
        <f>SUMIFS(P_violacea_Spain_Med!$J:$J, P_violacea_Spain_Med!$B:$B, "&gt;="&amp;DATE(2022,1,1), P_violacea_Spain_Med!$B:$B, "&lt;"&amp;DATE(2023,1,1), P_violacea_Spain_Med!$F:$F, "Granada")</f>
        <v>2</v>
      </c>
      <c r="Z20" s="18">
        <f>SUMIFS(P_violacea_Spain_Med!$J:$J, P_violacea_Spain_Med!$B:$B, "&gt;="&amp;DATE(2022,1,1), P_violacea_Spain_Med!$B:$B, "&lt;"&amp;DATE(2023,1,1), P_violacea_Spain_Med!$F:$F, "Málaga")</f>
        <v>1</v>
      </c>
      <c r="AA20" s="18">
        <f>SUMIFS(P_violacea_Spain_Med!$J:$J, P_violacea_Spain_Med!$B:$B, "&gt;="&amp;DATE(2022,1,1), P_violacea_Spain_Med!$B:$B, "&lt;"&amp;DATE(2023,1,1), P_violacea_Spain_Med!$F:$F, "Cádiz")</f>
        <v>0</v>
      </c>
      <c r="AB20" s="26">
        <f t="shared" si="9"/>
        <v>6</v>
      </c>
      <c r="AC20" s="27">
        <f>SUMIFS(P_violacea_Spain_Med!$J:$J, P_violacea_Spain_Med!$B:$B, "&gt;="&amp;DATE(2022,1,1), P_violacea_Spain_Med!$B:$B, "&lt;"&amp;DATE(2023,1,1), P_violacea_Spain_Med!$F:$F, "Islas Baleares")</f>
        <v>5</v>
      </c>
      <c r="AD20" s="28">
        <f>SUMIFS(P_violacea_Spain_Med!$J:$J, P_violacea_Spain_Med!$B:$B, "&gt;="&amp;DATE(2022,1,1), P_violacea_Spain_Med!$B:$B, "&lt;"&amp;DATE(2023,1,1), P_violacea_Spain_Med!$F:$F, "Ceuta")</f>
        <v>0</v>
      </c>
      <c r="AE20" s="29">
        <f>SUMIFS(P_violacea_Spain_Med!$J:$J, P_violacea_Spain_Med!$B:$B, "&gt;="&amp;DATE(2022,1,1), P_violacea_Spain_Med!$B:$B, "&lt;"&amp;DATE(2023,1,1), P_violacea_Spain_Med!$F:$F, "Melilla")</f>
        <v>0</v>
      </c>
      <c r="AF20" s="46">
        <f>SUMIFS(P_violacea_Spain_Med!$J:$J, P_violacea_Spain_Med!$B:$B, "&gt;="&amp;DATE(2022,1,1), P_violacea_Spain_Med!$B:$B, "&lt;"&amp;DATE(2023,1,1), P_violacea_Spain_Med!$F:$F, "nd")</f>
        <v>0</v>
      </c>
      <c r="AG20" s="41">
        <f t="shared" si="4"/>
        <v>30</v>
      </c>
      <c r="AH20" s="43">
        <f t="shared" si="10"/>
        <v>0</v>
      </c>
    </row>
    <row r="21" spans="1:34" x14ac:dyDescent="0.25">
      <c r="A21" s="10">
        <v>2023</v>
      </c>
      <c r="B21" s="16">
        <f>SUMIFS(P_violacea_Spain_Med!$J:$J, P_violacea_Spain_Med!$B:$B, "&gt;="&amp;DATE(2023,1,1), P_violacea_Spain_Med!$B:$B, "&lt;="&amp;DATE(2023,1,31))</f>
        <v>0</v>
      </c>
      <c r="C21" s="17">
        <f>SUMIFS(P_violacea_Spain_Med!$J:$J, P_violacea_Spain_Med!$B:$B, "&gt;="&amp;DATE(2023,2,1), P_violacea_Spain_Med!$B:$B, "&lt;="&amp;DATE(2023,2,20))</f>
        <v>0</v>
      </c>
      <c r="D21" s="18">
        <f>SUMIFS(P_violacea_Spain_Med!$J:$J, P_violacea_Spain_Med!$B:$B, "&gt;="&amp;DATE(2023,3,1), P_violacea_Spain_Med!$B:$B, "&lt;="&amp;DATE(2023,3,31))</f>
        <v>0</v>
      </c>
      <c r="E21" s="18">
        <f>SUMIFS(P_violacea_Spain_Med!$J:$J, P_violacea_Spain_Med!$B:$B, "&gt;="&amp;DATE(2023,4,1), P_violacea_Spain_Med!$B:$B, "&lt;="&amp;DATE(2023,4,30))</f>
        <v>0</v>
      </c>
      <c r="F21" s="18">
        <f>SUMIFS(P_violacea_Spain_Med!$J:$J, P_violacea_Spain_Med!$B:$B, "&gt;="&amp;DATE(2023,5,1), P_violacea_Spain_Med!$B:$B, "&lt;="&amp;DATE(2023,5,31))</f>
        <v>0</v>
      </c>
      <c r="G21" s="19">
        <f>SUMIFS(P_violacea_Spain_Med!$J:$J, P_violacea_Spain_Med!$B:$B, "&gt;="&amp;DATE(2023,6,1), P_violacea_Spain_Med!$B:$B, "&lt;="&amp;DATE(2023,6,30))</f>
        <v>0</v>
      </c>
      <c r="H21" s="19">
        <f>SUMIFS(P_violacea_Spain_Med!$J:$J, P_violacea_Spain_Med!$B:$B, "&gt;="&amp;DATE(2023,7,1), P_violacea_Spain_Med!$B:$B, "&lt;="&amp;DATE(2023,7,31))</f>
        <v>4</v>
      </c>
      <c r="I21" s="19">
        <f>SUMIFS(P_violacea_Spain_Med!$J:$J, P_violacea_Spain_Med!$B:$B, "&gt;="&amp;DATE(2023,8,1), P_violacea_Spain_Med!$B:$B, "&lt;="&amp;DATE(2023,8,31))</f>
        <v>8</v>
      </c>
      <c r="J21" s="20">
        <f>SUMIFS(P_violacea_Spain_Med!$J:$J, P_violacea_Spain_Med!$B:$B, "&gt;="&amp;DATE(2023,9,1), P_violacea_Spain_Med!$B:$B, "&lt;="&amp;DATE(2023,9,30))</f>
        <v>1</v>
      </c>
      <c r="K21" s="20">
        <f>SUMIFS(P_violacea_Spain_Med!$J:$J, P_violacea_Spain_Med!$B:$B, "&gt;="&amp;DATE(2023,10,1), P_violacea_Spain_Med!$B:$B, "&lt;="&amp;DATE(2023,10,31))</f>
        <v>1</v>
      </c>
      <c r="L21" s="20">
        <f>SUMIFS(P_violacea_Spain_Med!$J:$J, P_violacea_Spain_Med!$B:$B, "&gt;="&amp;DATE(2023,11,1), P_violacea_Spain_Med!$B:$B, "&lt;="&amp;DATE(2023,11,30))</f>
        <v>0</v>
      </c>
      <c r="M21" s="17">
        <f>SUMIFS(P_violacea_Spain_Med!$J:$J, P_violacea_Spain_Med!$B:$B, "&gt;="&amp;DATE(2023,12,1), P_violacea_Spain_Med!$B:$B, "&lt;="&amp;DATE(2023,12,31))</f>
        <v>0</v>
      </c>
      <c r="N21" s="41">
        <f t="shared" si="6"/>
        <v>14</v>
      </c>
      <c r="O21" s="19">
        <f>SUMIFS(P_violacea_Spain_Med!$J:$J, P_violacea_Spain_Med!$B:$B, "&gt;="&amp;DATE(2023,1,1), P_violacea_Spain_Med!$B:$B, "&lt;"&amp;DATE(2024,1,1), P_violacea_Spain_Med!$F:$F, "Girona")</f>
        <v>3</v>
      </c>
      <c r="P21" s="19">
        <f>SUMIFS(P_violacea_Spain_Med!$J:$J, P_violacea_Spain_Med!$B:$B, "&gt;="&amp;DATE(2023,1,1), P_violacea_Spain_Med!$B:$B, "&lt;"&amp;DATE(2024,1,1), P_violacea_Spain_Med!$F:$F, "Barcelona")</f>
        <v>3</v>
      </c>
      <c r="Q21" s="19">
        <f>SUMIFS(P_violacea_Spain_Med!$J:$J, P_violacea_Spain_Med!$B:$B, "&gt;="&amp;DATE(2023,1,1), P_violacea_Spain_Med!$B:$B, "&lt;"&amp;DATE(2024,1,1), P_violacea_Spain_Med!$F:$F, "Tarragona")</f>
        <v>0</v>
      </c>
      <c r="R21" s="23">
        <f t="shared" si="7"/>
        <v>6</v>
      </c>
      <c r="S21" s="20">
        <f>SUMIFS(P_violacea_Spain_Med!$J:$J, P_violacea_Spain_Med!$B:$B, "&gt;="&amp;DATE(2023,1,1), P_violacea_Spain_Med!$B:$B, "&lt;"&amp;DATE(2024,1,1), P_violacea_Spain_Med!$F:$F, "Castellón")</f>
        <v>0</v>
      </c>
      <c r="T21" s="20">
        <f>SUMIFS(P_violacea_Spain_Med!$J:$J, P_violacea_Spain_Med!$B:$B, "&gt;="&amp;DATE(2023,1,1), P_violacea_Spain_Med!$B:$B, "&lt;"&amp;DATE(2024,1,1), P_violacea_Spain_Med!$F:$F, "Valencia")</f>
        <v>0</v>
      </c>
      <c r="U21" s="20">
        <f>SUMIFS(P_violacea_Spain_Med!$J:$J, P_violacea_Spain_Med!$B:$B, "&gt;="&amp;DATE(2023,1,1), P_violacea_Spain_Med!$B:$B, "&lt;"&amp;DATE(2024,1,1), P_violacea_Spain_Med!$F:$F, "Alicante")</f>
        <v>1</v>
      </c>
      <c r="V21" s="24">
        <f t="shared" si="8"/>
        <v>1</v>
      </c>
      <c r="W21" s="25">
        <f>SUMIFS(P_violacea_Spain_Med!$J:$J, P_violacea_Spain_Med!$B:$B, "&gt;="&amp;DATE(2023,1,1), P_violacea_Spain_Med!$B:$B, "&lt;"&amp;DATE(2024,1,1), P_violacea_Spain_Med!$F:$F, "Región de Murcia")</f>
        <v>2</v>
      </c>
      <c r="X21" s="18">
        <f>SUMIFS(P_violacea_Spain_Med!$J:$J, P_violacea_Spain_Med!$B:$B, "&gt;="&amp;DATE(2023,1,1), P_violacea_Spain_Med!$B:$B, "&lt;"&amp;DATE(2024,1,1), P_violacea_Spain_Med!$F:$F, "Almería")</f>
        <v>0</v>
      </c>
      <c r="Y21" s="18">
        <f>SUMIFS(P_violacea_Spain_Med!$J:$J, P_violacea_Spain_Med!$B:$B, "&gt;="&amp;DATE(2023,1,1), P_violacea_Spain_Med!$B:$B, "&lt;"&amp;DATE(2024,1,1), P_violacea_Spain_Med!$F:$F, "Granada")</f>
        <v>2</v>
      </c>
      <c r="Z21" s="18">
        <f>SUMIFS(P_violacea_Spain_Med!$J:$J, P_violacea_Spain_Med!$B:$B, "&gt;="&amp;DATE(2023,1,1), P_violacea_Spain_Med!$B:$B, "&lt;"&amp;DATE(2024,1,1), P_violacea_Spain_Med!$F:$F, "Málaga")</f>
        <v>1</v>
      </c>
      <c r="AA21" s="18">
        <f>SUMIFS(P_violacea_Spain_Med!$J:$J, P_violacea_Spain_Med!$B:$B, "&gt;="&amp;DATE(2023,1,1), P_violacea_Spain_Med!$B:$B, "&lt;"&amp;DATE(2024,1,1), P_violacea_Spain_Med!$F:$F, "Cádiz")</f>
        <v>0</v>
      </c>
      <c r="AB21" s="26">
        <f t="shared" si="9"/>
        <v>3</v>
      </c>
      <c r="AC21" s="27">
        <f>SUMIFS(P_violacea_Spain_Med!$J:$J, P_violacea_Spain_Med!$B:$B, "&gt;="&amp;DATE(2023,1,1), P_violacea_Spain_Med!$B:$B, "&lt;"&amp;DATE(2024,1,1), P_violacea_Spain_Med!$F:$F, "Islas Baleares")</f>
        <v>1</v>
      </c>
      <c r="AD21" s="28">
        <f>SUMIFS(P_violacea_Spain_Med!$J:$J, P_violacea_Spain_Med!$B:$B, "&gt;="&amp;DATE(2023,1,1), P_violacea_Spain_Med!$B:$B, "&lt;"&amp;DATE(2024,1,1), P_violacea_Spain_Med!$F:$F, "Ceuta")</f>
        <v>0</v>
      </c>
      <c r="AE21" s="29">
        <f>SUMIFS(P_violacea_Spain_Med!$J:$J, P_violacea_Spain_Med!$B:$B, "&gt;="&amp;DATE(2023,1,1), P_violacea_Spain_Med!$B:$B, "&lt;"&amp;DATE(2024,1,1), P_violacea_Spain_Med!$F:$F, "Melilla")</f>
        <v>0</v>
      </c>
      <c r="AF21" s="46">
        <f>SUMIFS(P_violacea_Spain_Med!$J:$J, P_violacea_Spain_Med!$B:$B, "&gt;="&amp;DATE(2023,1,1), P_violacea_Spain_Med!$B:$B, "&lt;"&amp;DATE(2024,1,1), P_violacea_Spain_Med!$F:$F, "nd")</f>
        <v>1</v>
      </c>
      <c r="AG21" s="41">
        <f t="shared" si="4"/>
        <v>14</v>
      </c>
      <c r="AH21" s="43">
        <f>N21-AG21</f>
        <v>0</v>
      </c>
    </row>
    <row r="22" spans="1:34" x14ac:dyDescent="0.25">
      <c r="A22" s="10">
        <v>2024</v>
      </c>
      <c r="B22" s="16">
        <f>SUMIFS(P_violacea_Spain_Med!$J:$J, P_violacea_Spain_Med!$B:$B, "&gt;="&amp;DATE(2024,1,1), P_violacea_Spain_Med!$B:$B, "&lt;="&amp;DATE(2024,1,31))</f>
        <v>0</v>
      </c>
      <c r="C22" s="17">
        <f>SUMIFS(P_violacea_Spain_Med!$J:$J, P_violacea_Spain_Med!$B:$B, "&gt;="&amp;DATE(2024,2,1), P_violacea_Spain_Med!$B:$B, "&lt;="&amp;DATE(2024,2,29))</f>
        <v>0</v>
      </c>
      <c r="D22" s="18">
        <f>SUMIFS(P_violacea_Spain_Med!$J:$J, P_violacea_Spain_Med!$B:$B, "&gt;="&amp;DATE(2024,3,1), P_violacea_Spain_Med!$B:$B, "&lt;="&amp;DATE(2024,3,31))</f>
        <v>0</v>
      </c>
      <c r="E22" s="18">
        <f>SUMIFS(P_violacea_Spain_Med!$J:$J, P_violacea_Spain_Med!$B:$B, "&gt;="&amp;DATE(2024,4,1), P_violacea_Spain_Med!$B:$B, "&lt;="&amp;DATE(2024,4,30))</f>
        <v>2</v>
      </c>
      <c r="F22" s="18">
        <f>SUMIFS(P_violacea_Spain_Med!$J:$J, P_violacea_Spain_Med!$B:$B, "&gt;="&amp;DATE(2024,5,1), P_violacea_Spain_Med!$B:$B, "&lt;="&amp;DATE(2024,5,31))</f>
        <v>2</v>
      </c>
      <c r="G22" s="19">
        <f>SUMIFS(P_violacea_Spain_Med!$J:$J, P_violacea_Spain_Med!$B:$B, "&gt;="&amp;DATE(2024,6,1), P_violacea_Spain_Med!$B:$B, "&lt;="&amp;DATE(2024,6,30))</f>
        <v>4</v>
      </c>
      <c r="H22" s="19">
        <f>SUMIFS(P_violacea_Spain_Med!$J:$J, P_violacea_Spain_Med!$B:$B, "&gt;="&amp;DATE(2024,7,1), P_violacea_Spain_Med!$B:$B, "&lt;="&amp;DATE(2024,7,31))</f>
        <v>40</v>
      </c>
      <c r="I22" s="19">
        <f>SUMIFS(P_violacea_Spain_Med!$J:$J, P_violacea_Spain_Med!$B:$B, "&gt;="&amp;DATE(2024,8,1), P_violacea_Spain_Med!$B:$B, "&lt;="&amp;DATE(2024,8,31))</f>
        <v>28</v>
      </c>
      <c r="J22" s="20">
        <f>SUMIFS(P_violacea_Spain_Med!$J:$J, P_violacea_Spain_Med!$B:$B, "&gt;="&amp;DATE(2024,9,1), P_violacea_Spain_Med!$B:$B, "&lt;="&amp;DATE(2024,9,30))</f>
        <v>4</v>
      </c>
      <c r="K22" s="20">
        <f>SUMIFS(P_violacea_Spain_Med!$J:$J, P_violacea_Spain_Med!$B:$B, "&gt;="&amp;DATE(2024,10,1), P_violacea_Spain_Med!$B:$B, "&lt;="&amp;DATE(2024,10,31))</f>
        <v>1</v>
      </c>
      <c r="L22" s="20">
        <f>SUMIFS(P_violacea_Spain_Med!$J:$J, P_violacea_Spain_Med!$B:$B, "&gt;="&amp;DATE(2024,11,1), P_violacea_Spain_Med!$B:$B, "&lt;="&amp;DATE(2024,11,30))</f>
        <v>0</v>
      </c>
      <c r="M22" s="17">
        <f>SUMIFS(P_violacea_Spain_Med!$J:$J, P_violacea_Spain_Med!$B:$B, "&gt;="&amp;DATE(2024,12,1), P_violacea_Spain_Med!$B:$B, "&lt;="&amp;DATE(2024,12,31))</f>
        <v>1</v>
      </c>
      <c r="N22" s="41">
        <f t="shared" si="6"/>
        <v>82</v>
      </c>
      <c r="O22" s="19">
        <f>SUMIFS(P_violacea_Spain_Med!$J:$J, P_violacea_Spain_Med!$B:$B, "&gt;="&amp;DATE(2024,1,1), P_violacea_Spain_Med!$B:$B, "&lt;"&amp;DATE(2025,1,1), P_violacea_Spain_Med!$F:$F, "Girona")</f>
        <v>2</v>
      </c>
      <c r="P22" s="19">
        <f>SUMIFS(P_violacea_Spain_Med!$J:$J, P_violacea_Spain_Med!$B:$B, "&gt;="&amp;DATE(2024,1,1), P_violacea_Spain_Med!$B:$B, "&lt;"&amp;DATE(2025,1,1), P_violacea_Spain_Med!$F:$F, "Barcelona")</f>
        <v>8</v>
      </c>
      <c r="Q22" s="19">
        <f>SUMIFS(P_violacea_Spain_Med!$J:$J, P_violacea_Spain_Med!$B:$B, "&gt;="&amp;DATE(2024,1,1), P_violacea_Spain_Med!$B:$B, "&lt;"&amp;DATE(2025,1,1), P_violacea_Spain_Med!$F:$F, "Tarragona")</f>
        <v>0</v>
      </c>
      <c r="R22" s="23">
        <f t="shared" si="7"/>
        <v>10</v>
      </c>
      <c r="S22" s="20">
        <f>SUMIFS(P_violacea_Spain_Med!$J:$J, P_violacea_Spain_Med!$B:$B, "&gt;="&amp;DATE(2024,1,1), P_violacea_Spain_Med!$B:$B, "&lt;"&amp;DATE(2025,1,1), P_violacea_Spain_Med!$F:$F, "Castellón")</f>
        <v>2</v>
      </c>
      <c r="T22" s="20">
        <f>SUMIFS(P_violacea_Spain_Med!$J:$J, P_violacea_Spain_Med!$B:$B, "&gt;="&amp;DATE(2024,1,1), P_violacea_Spain_Med!$B:$B, "&lt;"&amp;DATE(2025,1,1), P_violacea_Spain_Med!$F:$F, "Valencia")</f>
        <v>1</v>
      </c>
      <c r="U22" s="20">
        <f>SUMIFS(P_violacea_Spain_Med!$J:$J, P_violacea_Spain_Med!$B:$B, "&gt;="&amp;DATE(2024,1,1), P_violacea_Spain_Med!$B:$B, "&lt;"&amp;DATE(2025,1,1), P_violacea_Spain_Med!$F:$F, "Alicante")</f>
        <v>18</v>
      </c>
      <c r="V22" s="24">
        <f t="shared" si="8"/>
        <v>21</v>
      </c>
      <c r="W22" s="25">
        <f>SUMIFS(P_violacea_Spain_Med!$J:$J, P_violacea_Spain_Med!$B:$B, "&gt;="&amp;DATE(2024,1,1), P_violacea_Spain_Med!$B:$B, "&lt;"&amp;DATE(2025,1,1), P_violacea_Spain_Med!$F:$F, "Región de Murcia")</f>
        <v>24</v>
      </c>
      <c r="X22" s="18">
        <f>SUMIFS(P_violacea_Spain_Med!$J:$J, P_violacea_Spain_Med!$B:$B, "&gt;="&amp;DATE(2024,1,1), P_violacea_Spain_Med!$B:$B, "&lt;"&amp;DATE(2025,1,1), P_violacea_Spain_Med!$F:$F, "Almería")</f>
        <v>9</v>
      </c>
      <c r="Y22" s="18">
        <f>SUMIFS(P_violacea_Spain_Med!$J:$J, P_violacea_Spain_Med!$B:$B, "&gt;="&amp;DATE(2024,1,1), P_violacea_Spain_Med!$B:$B, "&lt;"&amp;DATE(2025,1,1), P_violacea_Spain_Med!$F:$F, "Granada")</f>
        <v>5</v>
      </c>
      <c r="Z22" s="18">
        <f>SUMIFS(P_violacea_Spain_Med!$J:$J, P_violacea_Spain_Med!$B:$B, "&gt;="&amp;DATE(2024,1,1), P_violacea_Spain_Med!$B:$B, "&lt;"&amp;DATE(2025,1,1), P_violacea_Spain_Med!$F:$F, "Málaga")</f>
        <v>4</v>
      </c>
      <c r="AA22" s="18">
        <f>SUMIFS(P_violacea_Spain_Med!$J:$J, P_violacea_Spain_Med!$B:$B, "&gt;="&amp;DATE(2024,1,1), P_violacea_Spain_Med!$B:$B, "&lt;"&amp;DATE(2025,1,1), P_violacea_Spain_Med!$F:$F, "Cádiz")</f>
        <v>0</v>
      </c>
      <c r="AB22" s="26">
        <f t="shared" si="9"/>
        <v>18</v>
      </c>
      <c r="AC22" s="27">
        <f>SUMIFS(P_violacea_Spain_Med!$J:$J, P_violacea_Spain_Med!$B:$B, "&gt;="&amp;DATE(2024,1,1), P_violacea_Spain_Med!$B:$B, "&lt;"&amp;DATE(2025,1,1), P_violacea_Spain_Med!$F:$F, "Islas Baleares")</f>
        <v>9</v>
      </c>
      <c r="AD22" s="28">
        <f>SUMIFS(P_violacea_Spain_Med!$J:$J, P_violacea_Spain_Med!$B:$B, "&gt;="&amp;DATE(2024,1,1), P_violacea_Spain_Med!$B:$B, "&lt;"&amp;DATE(2025,1,1), P_violacea_Spain_Med!$F:$F, "Ceuta")</f>
        <v>0</v>
      </c>
      <c r="AE22" s="29">
        <f>SUMIFS(P_violacea_Spain_Med!$J:$J, P_violacea_Spain_Med!$B:$B, "&gt;="&amp;DATE(2024,1,1), P_violacea_Spain_Med!$B:$B, "&lt;"&amp;DATE(2025,1,1), P_violacea_Spain_Med!$F:$F, "Melilla")</f>
        <v>0</v>
      </c>
      <c r="AF22" s="46">
        <f>SUMIFS(P_violacea_Spain_Med!$J:$J, P_violacea_Spain_Med!$B:$B, "&gt;="&amp;DATE(2024,1,1), P_violacea_Spain_Med!$B:$B, "&lt;"&amp;DATE(2025,1,1), P_violacea_Spain_Med!$F:$F, "nd")</f>
        <v>0</v>
      </c>
      <c r="AG22" s="41">
        <f t="shared" si="4"/>
        <v>82</v>
      </c>
      <c r="AH22" s="43">
        <f t="shared" si="10"/>
        <v>0</v>
      </c>
    </row>
    <row r="23" spans="1:34" x14ac:dyDescent="0.25">
      <c r="A23" s="10">
        <v>2025</v>
      </c>
      <c r="B23" s="16">
        <f>SUMIFS(P_violacea_Spain_Med!$J:$J, P_violacea_Spain_Med!$B:$B, "&gt;="&amp;DATE(2025,1,1), P_violacea_Spain_Med!$B:$B, "&lt;="&amp;DATE(2025,1,31))</f>
        <v>0</v>
      </c>
      <c r="C23" s="17">
        <f>SUMIFS(P_violacea_Spain_Med!$J:$J, P_violacea_Spain_Med!$B:$B, "&gt;="&amp;DATE(2025,2,1), P_violacea_Spain_Med!$B:$B, "&lt;="&amp;DATE(2025,2,20))</f>
        <v>0</v>
      </c>
      <c r="D23" s="18">
        <f>SUMIFS(P_violacea_Spain_Med!$J:$J, P_violacea_Spain_Med!$B:$B, "&gt;="&amp;DATE(2025,3,1), P_violacea_Spain_Med!$B:$B, "&lt;="&amp;DATE(2025,3,31))</f>
        <v>0</v>
      </c>
      <c r="E23" s="18">
        <f>SUMIFS(P_violacea_Spain_Med!$J:$J, P_violacea_Spain_Med!$B:$B, "&gt;="&amp;DATE(2025,4,1), P_violacea_Spain_Med!$B:$B, "&lt;="&amp;DATE(2025,4,30))</f>
        <v>0</v>
      </c>
      <c r="F23" s="18">
        <f>SUMIFS(P_violacea_Spain_Med!$J:$J, P_violacea_Spain_Med!$B:$B, "&gt;="&amp;DATE(2025,5,1), P_violacea_Spain_Med!$B:$B, "&lt;="&amp;DATE(2025,5,31))</f>
        <v>24</v>
      </c>
      <c r="G23" s="19">
        <f>SUMIFS(P_violacea_Spain_Med!$J:$J, P_violacea_Spain_Med!$B:$B, "&gt;="&amp;DATE(2025,6,1), P_violacea_Spain_Med!$B:$B, "&lt;="&amp;DATE(2025,6,30))</f>
        <v>73</v>
      </c>
      <c r="H23" s="19">
        <f>SUMIFS(P_violacea_Spain_Med!$J:$J, P_violacea_Spain_Med!$B:$B, "&gt;="&amp;DATE(2025,7,1), P_violacea_Spain_Med!$B:$B, "&lt;="&amp;DATE(2025,7,31))</f>
        <v>17</v>
      </c>
      <c r="I23" s="19">
        <f>SUMIFS(P_violacea_Spain_Med!$J:$J, P_violacea_Spain_Med!$B:$B, "&gt;="&amp;DATE(2025,8,1), P_violacea_Spain_Med!$B:$B, "&lt;="&amp;DATE(2025,8,31))</f>
        <v>9</v>
      </c>
      <c r="J23" s="20">
        <f>SUMIFS(P_violacea_Spain_Med!$J:$J, P_violacea_Spain_Med!$B:$B, "&gt;="&amp;DATE(2025,9,1), P_violacea_Spain_Med!$B:$B, "&lt;="&amp;DATE(2025,9,30))</f>
        <v>0</v>
      </c>
      <c r="K23" s="20">
        <f>SUMIFS(P_violacea_Spain_Med!$J:$J, P_violacea_Spain_Med!$B:$B, "&gt;="&amp;DATE(2025,10,1), P_violacea_Spain_Med!$B:$B, "&lt;="&amp;DATE(2025,10,31))</f>
        <v>7</v>
      </c>
      <c r="L23" s="20">
        <f>SUMIFS(P_violacea_Spain_Med!$J:$J, P_violacea_Spain_Med!$B:$B, "&gt;="&amp;DATE(2025,11,1), P_violacea_Spain_Med!$B:$B, "&lt;="&amp;DATE(2025,11,30))</f>
        <v>0</v>
      </c>
      <c r="M23" s="17">
        <f>SUMIFS(P_violacea_Spain_Med!$J:$J, P_violacea_Spain_Med!$B:$B, "&gt;="&amp;DATE(2025,12,1), P_violacea_Spain_Med!$B:$B, "&lt;="&amp;DATE(2025,12,31))</f>
        <v>1</v>
      </c>
      <c r="N23" s="41">
        <f t="shared" si="6"/>
        <v>131</v>
      </c>
      <c r="O23" s="19">
        <f>SUMIFS(P_violacea_Spain_Med!$J:$J, P_violacea_Spain_Med!$B:$B, "&gt;="&amp;DATE(2025,1,1), P_violacea_Spain_Med!$B:$B, "&lt;"&amp;DATE(2026,1,1), P_violacea_Spain_Med!$F:$F, "Girona")</f>
        <v>15</v>
      </c>
      <c r="P23" s="19">
        <f>SUMIFS(P_violacea_Spain_Med!$J:$J, P_violacea_Spain_Med!$B:$B, "&gt;="&amp;DATE(2025,1,1), P_violacea_Spain_Med!$B:$B, "&lt;"&amp;DATE(2026,1,1), P_violacea_Spain_Med!$F:$F, "Barcelona")</f>
        <v>25</v>
      </c>
      <c r="Q23" s="19">
        <f>SUMIFS(P_violacea_Spain_Med!$J:$J, P_violacea_Spain_Med!$B:$B, "&gt;="&amp;DATE(2025,1,1), P_violacea_Spain_Med!$B:$B, "&lt;"&amp;DATE(2026,1,1), P_violacea_Spain_Med!$F:$F, "Tarragona")</f>
        <v>9</v>
      </c>
      <c r="R23" s="23">
        <f t="shared" si="7"/>
        <v>49</v>
      </c>
      <c r="S23" s="20">
        <f>SUMIFS(P_violacea_Spain_Med!$J:$J, P_violacea_Spain_Med!$B:$B, "&gt;="&amp;DATE(2025,1,1), P_violacea_Spain_Med!$B:$B, "&lt;"&amp;DATE(2026,1,1), P_violacea_Spain_Med!$F:$F, "Castellón")</f>
        <v>2</v>
      </c>
      <c r="T23" s="20">
        <f>SUMIFS(P_violacea_Spain_Med!$J:$J, P_violacea_Spain_Med!$B:$B, "&gt;="&amp;DATE(2025,1,1), P_violacea_Spain_Med!$B:$B, "&lt;"&amp;DATE(2026,1,1), P_violacea_Spain_Med!$F:$F, "Valencia")</f>
        <v>3</v>
      </c>
      <c r="U23" s="20">
        <f>SUMIFS(P_violacea_Spain_Med!$J:$J, P_violacea_Spain_Med!$B:$B, "&gt;="&amp;DATE(2025,1,1), P_violacea_Spain_Med!$B:$B, "&lt;"&amp;DATE(2026,1,1), P_violacea_Spain_Med!$F:$F, "Alicante")</f>
        <v>5</v>
      </c>
      <c r="V23" s="24">
        <f t="shared" si="8"/>
        <v>10</v>
      </c>
      <c r="W23" s="25">
        <f>SUMIFS(P_violacea_Spain_Med!$J:$J, P_violacea_Spain_Med!$B:$B, "&gt;="&amp;DATE(2025,1,1), P_violacea_Spain_Med!$B:$B, "&lt;"&amp;DATE(2026,1,1), P_violacea_Spain_Med!$F:$F, "Región de Murcia")</f>
        <v>4</v>
      </c>
      <c r="X23" s="18">
        <f>SUMIFS(P_violacea_Spain_Med!$J:$J, P_violacea_Spain_Med!$B:$B, "&gt;="&amp;DATE(2025,1,1), P_violacea_Spain_Med!$B:$B, "&lt;"&amp;DATE(2026,1,1), P_violacea_Spain_Med!$F:$F, "Almería")</f>
        <v>0</v>
      </c>
      <c r="Y23" s="18">
        <f>SUMIFS(P_violacea_Spain_Med!$J:$J, P_violacea_Spain_Med!$B:$B, "&gt;="&amp;DATE(2025,1,1), P_violacea_Spain_Med!$B:$B, "&lt;"&amp;DATE(2026,1,1), P_violacea_Spain_Med!$F:$F, "Granada")</f>
        <v>0</v>
      </c>
      <c r="Z23" s="18">
        <f>SUMIFS(P_violacea_Spain_Med!$J:$J, P_violacea_Spain_Med!$B:$B, "&gt;="&amp;DATE(2025,1,1), P_violacea_Spain_Med!$B:$B, "&lt;"&amp;DATE(2026,1,1), P_violacea_Spain_Med!$F:$F, "Málaga")</f>
        <v>0</v>
      </c>
      <c r="AA23" s="18">
        <f>SUMIFS(P_violacea_Spain_Med!$J:$J, P_violacea_Spain_Med!$B:$B, "&gt;="&amp;DATE(2025,1,1), P_violacea_Spain_Med!$B:$B, "&lt;"&amp;DATE(2026,1,1), P_violacea_Spain_Med!$F:$F, "Cádiz")</f>
        <v>1</v>
      </c>
      <c r="AB23" s="26">
        <f t="shared" si="9"/>
        <v>1</v>
      </c>
      <c r="AC23" s="27">
        <f>SUMIFS(P_violacea_Spain_Med!$J:$J, P_violacea_Spain_Med!$B:$B, "&gt;="&amp;DATE(2025,1,1), P_violacea_Spain_Med!$B:$B, "&lt;"&amp;DATE(2026,1,1), P_violacea_Spain_Med!$F:$F, "Islas Baleares")</f>
        <v>66</v>
      </c>
      <c r="AD23" s="28">
        <f>SUMIFS(P_violacea_Spain_Med!$J:$J, P_violacea_Spain_Med!$B:$B, "&gt;="&amp;DATE(2025,1,1), P_violacea_Spain_Med!$B:$B, "&lt;"&amp;DATE(2026,1,1), P_violacea_Spain_Med!$F:$F, "Ceuta")</f>
        <v>0</v>
      </c>
      <c r="AE23" s="29">
        <f>SUMIFS(P_violacea_Spain_Med!$J:$J, P_violacea_Spain_Med!$B:$B, "&gt;="&amp;DATE(2025,1,1), P_violacea_Spain_Med!$B:$B, "&lt;"&amp;DATE(2026,1,1), P_violacea_Spain_Med!$F:$F, "Melilla")</f>
        <v>0</v>
      </c>
      <c r="AF23" s="46">
        <f>SUMIFS(P_violacea_Spain_Med!$J:$J, P_violacea_Spain_Med!$B:$B, "&gt;="&amp;DATE(2025,1,1), P_violacea_Spain_Med!$B:$B, "&lt;"&amp;DATE(2026,1,1), P_violacea_Spain_Med!$F:$F, "nd")</f>
        <v>1</v>
      </c>
      <c r="AG23" s="41">
        <f t="shared" si="4"/>
        <v>131</v>
      </c>
      <c r="AH23" s="43">
        <f t="shared" si="10"/>
        <v>0</v>
      </c>
    </row>
  </sheetData>
  <pageMargins left="0.7" right="0.7" top="0.75" bottom="0.75" header="0.3" footer="0.3"/>
  <pageSetup paperSize="9" orientation="portrait" r:id="rId1"/>
  <ignoredErrors>
    <ignoredError sqref="N3 R3 V3 AB3"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INFO</vt:lpstr>
      <vt:lpstr>P_violacea_Spain_Med</vt:lpstr>
      <vt:lpstr>Info_heridas</vt:lpstr>
      <vt:lpstr>P_violacea_Heridas</vt:lpstr>
      <vt:lpstr>Conteo_year</vt:lpstr>
      <vt:lpstr>Conteo_region</vt:lpstr>
      <vt:lpstr>Conteo_year_regions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 Carrasco</dc:creator>
  <cp:lastModifiedBy>Mara Segovia</cp:lastModifiedBy>
  <dcterms:created xsi:type="dcterms:W3CDTF">2025-05-25T08:31:31Z</dcterms:created>
  <dcterms:modified xsi:type="dcterms:W3CDTF">2026-01-21T09:35:39Z</dcterms:modified>
</cp:coreProperties>
</file>